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Brannon C Taylor" algorithmName="SHA-512" hashValue="KL/4AapPghOzd+aUQcfL32BWxUrO/kfLHQZmdycHCqFNUAWkeQgQ4fDR+tm96pV92Nsyfq5X5eoNnL8ZF3ko8Q==" saltValue="hhgLP1+2UPP7OcKykAA+FQ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W:\MdSt-KY Rate Case\2018 KY Rate Case\Staff Set 4 Model\"/>
    </mc:Choice>
  </mc:AlternateContent>
  <bookViews>
    <workbookView xWindow="-15" yWindow="6135" windowWidth="20505" windowHeight="1620" tabRatio="769" activeTab="3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B" sheetId="207" r:id="rId8"/>
    <sheet name="B.2 F" sheetId="213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B" sheetId="214" r:id="rId23"/>
    <sheet name="WP B.4.1F" sheetId="216" r:id="rId24"/>
    <sheet name="WP B.5 B" sheetId="230" r:id="rId25"/>
    <sheet name="WP B.5 F" sheetId="233" r:id="rId26"/>
    <sheet name="WP B.5 F1" sheetId="251" r:id="rId27"/>
    <sheet name="WP B.6 B" sheetId="241" r:id="rId28"/>
    <sheet name="WP B.6 F" sheetId="242" r:id="rId29"/>
    <sheet name="Cover C" sheetId="211" r:id="rId30"/>
    <sheet name="C.1" sheetId="47" r:id="rId31"/>
    <sheet name="C.2" sheetId="46" r:id="rId32"/>
    <sheet name="C.2.1 B" sheetId="45" r:id="rId33"/>
    <sheet name="C.2.1 F" sheetId="79" r:id="rId34"/>
    <sheet name="C.2.2 B 09" sheetId="44" r:id="rId35"/>
    <sheet name="C.2.2 B 02" sheetId="190" r:id="rId36"/>
    <sheet name="C.2.2 B 12" sheetId="193" r:id="rId37"/>
    <sheet name="C.2.2 B 91" sheetId="192" r:id="rId38"/>
    <sheet name="C.2.2-F 09" sheetId="222" r:id="rId39"/>
    <sheet name="C.2.2-F 02" sheetId="226" r:id="rId40"/>
    <sheet name="C.2.2-F 12" sheetId="227" r:id="rId41"/>
    <sheet name="C.2.2-F 91" sheetId="228" r:id="rId42"/>
    <sheet name="C.2.3 B" sheetId="171" r:id="rId43"/>
    <sheet name="C.2.3 F" sheetId="238" r:id="rId44"/>
    <sheet name="Cover D" sheetId="221" r:id="rId45"/>
    <sheet name="D.1" sheetId="51" r:id="rId46"/>
    <sheet name="D.2.1" sheetId="50" r:id="rId47"/>
    <sheet name="D.2.2" sheetId="49" r:id="rId48"/>
    <sheet name="D.2.3" sheetId="48" r:id="rId49"/>
    <sheet name="Cover E" sheetId="235" r:id="rId50"/>
    <sheet name="E" sheetId="84" r:id="rId51"/>
    <sheet name="Cover F" sheetId="245" r:id="rId52"/>
    <sheet name="F.1" sheetId="248" r:id="rId53"/>
    <sheet name="F.2.1" sheetId="107" r:id="rId54"/>
    <sheet name="F.2.2" sheetId="104" r:id="rId55"/>
    <sheet name="F.2.3" sheetId="105" r:id="rId56"/>
    <sheet name="F.3" sheetId="100" r:id="rId57"/>
    <sheet name="F.4" sheetId="247" r:id="rId58"/>
    <sheet name="F.5" sheetId="102" r:id="rId59"/>
    <sheet name="F.6" sheetId="106" r:id="rId60"/>
    <sheet name="F.7" sheetId="103" r:id="rId61"/>
    <sheet name="F.8" sheetId="239" r:id="rId62"/>
    <sheet name="F.9" sheetId="249" r:id="rId63"/>
    <sheet name="F.10" sheetId="250" r:id="rId64"/>
    <sheet name="F.11" sheetId="252" r:id="rId65"/>
    <sheet name="G.1" sheetId="36" r:id="rId66"/>
    <sheet name="G.2" sheetId="35" r:id="rId67"/>
    <sheet name="G.3" sheetId="34" r:id="rId68"/>
    <sheet name="H.1" sheetId="37" r:id="rId69"/>
    <sheet name="I.1" sheetId="42" r:id="rId70"/>
    <sheet name="I.2" sheetId="41" r:id="rId71"/>
    <sheet name="I.3" sheetId="39" r:id="rId72"/>
    <sheet name="J-1 Base" sheetId="4" r:id="rId73"/>
    <sheet name="J.1" sheetId="202" r:id="rId74"/>
    <sheet name="J-2 B" sheetId="5" r:id="rId75"/>
    <sheet name="J-3 B" sheetId="8" r:id="rId76"/>
    <sheet name="J-4" sheetId="9" r:id="rId77"/>
    <sheet name="J-1 F" sheetId="95" r:id="rId78"/>
    <sheet name="J-2 F" sheetId="98" r:id="rId79"/>
    <sheet name="J-3 F" sheetId="99" r:id="rId80"/>
    <sheet name="K" sheetId="10" r:id="rId81"/>
  </sheets>
  <externalReferences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p">A.1!$B$42:$B$43</definedName>
    <definedName name="_Div012" localSheetId="63">#REF!</definedName>
    <definedName name="_Div012" localSheetId="62">#REF!</definedName>
    <definedName name="_Div012">#REF!</definedName>
    <definedName name="_Div02" localSheetId="63">#REF!</definedName>
    <definedName name="_Div02" localSheetId="62">#REF!</definedName>
    <definedName name="_Div02">#REF!</definedName>
    <definedName name="_Div091" localSheetId="63">#REF!</definedName>
    <definedName name="_Div091" localSheetId="62">#REF!</definedName>
    <definedName name="_Div091">#REF!</definedName>
    <definedName name="_Regression_Int" localSheetId="3" hidden="1">1</definedName>
    <definedName name="Case_No._2006_00464" localSheetId="63">#REF!</definedName>
    <definedName name="Case_No._2006_00464" localSheetId="62">#REF!</definedName>
    <definedName name="Case_No._2006_00464">#REF!</definedName>
    <definedName name="csDesignMode">1</definedName>
    <definedName name="Div012Cap" localSheetId="63">#REF!</definedName>
    <definedName name="Div012Cap" localSheetId="62">#REF!</definedName>
    <definedName name="Div012Cap">#REF!</definedName>
    <definedName name="Div02Cap" localSheetId="63">#REF!</definedName>
    <definedName name="Div02Cap" localSheetId="62">#REF!</definedName>
    <definedName name="Div02Cap">#REF!</definedName>
    <definedName name="Div091Cap" localSheetId="63">#REF!</definedName>
    <definedName name="Div091Cap" localSheetId="62">#REF!</definedName>
    <definedName name="Div091Cap">#REF!</definedName>
    <definedName name="Div09cap" localSheetId="63">#REF!</definedName>
    <definedName name="Div09cap" localSheetId="62">#REF!</definedName>
    <definedName name="Div09cap">#REF!</definedName>
    <definedName name="EssOptions" localSheetId="53">"A1100000000030000000001100020_0000"</definedName>
    <definedName name="EssOptions" localSheetId="56">"A1100000000030000000001100020_0000"</definedName>
    <definedName name="kytax" localSheetId="63">#REF!</definedName>
    <definedName name="kytax" localSheetId="62">#REF!</definedName>
    <definedName name="kytax">#REF!</definedName>
    <definedName name="ltdrate" localSheetId="63">#REF!</definedName>
    <definedName name="ltdrate" localSheetId="62">#REF!</definedName>
    <definedName name="ltdrate">#REF!</definedName>
    <definedName name="_xlnm.Print_Area" localSheetId="3">A.1!$A$1:$G$39</definedName>
    <definedName name="_xlnm.Print_Area" localSheetId="1">Allocation!$A$1:$I$31</definedName>
    <definedName name="_xlnm.Print_Area" localSheetId="5">'B.1 B'!$A$1:$F$31</definedName>
    <definedName name="_xlnm.Print_Area" localSheetId="6">'B.1 F '!$A$1:$F$31</definedName>
    <definedName name="_xlnm.Print_Area" localSheetId="7">'B.2 B'!$A$1:$N$269</definedName>
    <definedName name="_xlnm.Print_Area" localSheetId="8">'B.2 F'!$A$1:$N$269</definedName>
    <definedName name="_xlnm.Print_Area" localSheetId="9">'B.3 B'!$A$1:$N$264</definedName>
    <definedName name="_xlnm.Print_Area" localSheetId="10">'B.3 F'!$A$1:$N$266</definedName>
    <definedName name="_xlnm.Print_Area" localSheetId="11">'B.3.1 F'!$A$1:$H$264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30">'C.1'!$A$1:$J$31</definedName>
    <definedName name="_xlnm.Print_Area" localSheetId="31">'C.2'!$A$1:$O$34</definedName>
    <definedName name="_xlnm.Print_Area" localSheetId="32">'C.2.1 B'!$A$1:$D$183</definedName>
    <definedName name="_xlnm.Print_Area" localSheetId="33">'C.2.1 F'!$A$1:$D$178</definedName>
    <definedName name="_xlnm.Print_Area" localSheetId="35">'C.2.2 B 02'!$A$14:$P$47</definedName>
    <definedName name="_xlnm.Print_Area" localSheetId="34">'C.2.2 B 09'!$A$12:$P$117</definedName>
    <definedName name="_xlnm.Print_Area" localSheetId="36">'C.2.2 B 12'!$A$12:$P$37</definedName>
    <definedName name="_xlnm.Print_Area" localSheetId="37">'C.2.2 B 91'!$A$14:$P$60</definedName>
    <definedName name="_xlnm.Print_Area" localSheetId="39">'C.2.2-F 02'!$A$12:$P$45</definedName>
    <definedName name="_xlnm.Print_Area" localSheetId="38">'C.2.2-F 09'!$A$12:$P$115</definedName>
    <definedName name="_xlnm.Print_Area" localSheetId="40">'C.2.2-F 12'!$A$12:$P$37</definedName>
    <definedName name="_xlnm.Print_Area" localSheetId="41">'C.2.2-F 91'!$A$12:$P$58</definedName>
    <definedName name="_xlnm.Print_Area" localSheetId="42">'C.2.3 B'!$A$1:$O$67</definedName>
    <definedName name="_xlnm.Print_Area" localSheetId="43">'C.2.3 F'!$A$1:$O$68</definedName>
    <definedName name="_xlnm.Print_Area" localSheetId="4">'Cover B'!$A$1:$C$24</definedName>
    <definedName name="_xlnm.Print_Area" localSheetId="29">'Cover C'!$A$1:$C$20</definedName>
    <definedName name="_xlnm.Print_Area" localSheetId="44">'Cover D'!$A$1:$C$23</definedName>
    <definedName name="_xlnm.Print_Area" localSheetId="49">'Cover E'!$A$1:$C$22</definedName>
    <definedName name="_xlnm.Print_Area" localSheetId="51">'Cover F'!$A$1:$C$30</definedName>
    <definedName name="_xlnm.Print_Area" localSheetId="45">D.1!$A$1:$P$172</definedName>
    <definedName name="_xlnm.Print_Area" localSheetId="46">'D.2.1'!$A$1:$D$72</definedName>
    <definedName name="_xlnm.Print_Area" localSheetId="47">'D.2.2'!$A$1:$D$45</definedName>
    <definedName name="_xlnm.Print_Area" localSheetId="48">'D.2.3'!$A$1:$D$23</definedName>
    <definedName name="_xlnm.Print_Area" localSheetId="50">E!$A$1:$H$37</definedName>
    <definedName name="_xlnm.Print_Area" localSheetId="52">F.1!$A$1:$G$163</definedName>
    <definedName name="_xlnm.Print_Area" localSheetId="63">F.10!$A$1:$F$43</definedName>
    <definedName name="_xlnm.Print_Area" localSheetId="64">F.11!$A$1:$F$20</definedName>
    <definedName name="_xlnm.Print_Area" localSheetId="53">'F.2.1'!$A$1:$F$40</definedName>
    <definedName name="_xlnm.Print_Area" localSheetId="54">'F.2.2'!$A$1:$J$28</definedName>
    <definedName name="_xlnm.Print_Area" localSheetId="55">'F.2.3'!$A$1:$J$37</definedName>
    <definedName name="_xlnm.Print_Area" localSheetId="56">F.3!$A$1:$J$78</definedName>
    <definedName name="_xlnm.Print_Area" localSheetId="57">F.4!$A$1:$K$32</definedName>
    <definedName name="_xlnm.Print_Area" localSheetId="58">F.5!$A$1:$I$39</definedName>
    <definedName name="_xlnm.Print_Area" localSheetId="59">F.6!$A$1:$T$64</definedName>
    <definedName name="_xlnm.Print_Area" localSheetId="60">F.7!$A$1:$I$51</definedName>
    <definedName name="_xlnm.Print_Area" localSheetId="61">F.8!$A$1:$I$28</definedName>
    <definedName name="_xlnm.Print_Area" localSheetId="62">F.9!$A$1:$G$24</definedName>
    <definedName name="_xlnm.Print_Area" localSheetId="65">G.1!$A$1:$L$32</definedName>
    <definedName name="_xlnm.Print_Area" localSheetId="66">G.2!$A$1:$P$51</definedName>
    <definedName name="_xlnm.Print_Area" localSheetId="67">G.3!$A$1:$L$46</definedName>
    <definedName name="_xlnm.Print_Area" localSheetId="68">H.1!$A$1:$E$36</definedName>
    <definedName name="_xlnm.Print_Area" localSheetId="69">I.1!$A$1:$P$48</definedName>
    <definedName name="_xlnm.Print_Area" localSheetId="70">I.2!$A$1:$S$39</definedName>
    <definedName name="_xlnm.Print_Area" localSheetId="71">I.3!$A$1:$S$44</definedName>
    <definedName name="_xlnm.Print_Area" localSheetId="73">J.1!$A$1:$V$54</definedName>
    <definedName name="_xlnm.Print_Area" localSheetId="72">'J-1 Base'!$A$1:$M$27</definedName>
    <definedName name="_xlnm.Print_Area" localSheetId="77">'J-1 F'!$A$1:$M$28</definedName>
    <definedName name="_xlnm.Print_Area" localSheetId="74">'J-2 B'!$A$1:$L$29</definedName>
    <definedName name="_xlnm.Print_Area" localSheetId="78">'J-2 F'!$A$1:$L$28</definedName>
    <definedName name="_xlnm.Print_Area" localSheetId="75">'J-3 B'!$A$1:$K$33</definedName>
    <definedName name="_xlnm.Print_Area" localSheetId="79">'J-3 F'!$A$1:$K$33</definedName>
    <definedName name="_xlnm.Print_Area" localSheetId="76">'J-4'!$A$1:$S$16</definedName>
    <definedName name="_xlnm.Print_Area" localSheetId="80">K!$A$1:$R$135</definedName>
    <definedName name="_xlnm.Print_Area" localSheetId="22">'WP B.4.1B'!$A$1:$P$53</definedName>
    <definedName name="_xlnm.Print_Area" localSheetId="23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B.5 F1'!$A$1:$E$34</definedName>
    <definedName name="_xlnm.Print_Area" localSheetId="27">'WP B.6 B'!$A$1:$Q$23</definedName>
    <definedName name="_xlnm.Print_Area" localSheetId="28">'WP B.6 F'!$A$1:$Q$23</definedName>
    <definedName name="Print_Area_MI">A.1!$A$1:$K$38</definedName>
    <definedName name="_xlnm.Print_Titles" localSheetId="5">'B.1 B'!$1:$8</definedName>
    <definedName name="_xlnm.Print_Titles" localSheetId="7">'B.2 B'!$1:$13</definedName>
    <definedName name="_xlnm.Print_Titles" localSheetId="8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2">'C.2.1 B'!$1:$12</definedName>
    <definedName name="_xlnm.Print_Titles" localSheetId="33">'C.2.1 F'!$1:$12</definedName>
    <definedName name="_xlnm.Print_Titles" localSheetId="35">'C.2.2 B 02'!$1:$11</definedName>
    <definedName name="_xlnm.Print_Titles" localSheetId="34">'C.2.2 B 09'!$1:$11</definedName>
    <definedName name="_xlnm.Print_Titles" localSheetId="36">'C.2.2 B 12'!$1:$11</definedName>
    <definedName name="_xlnm.Print_Titles" localSheetId="37">'C.2.2 B 91'!$1:$11</definedName>
    <definedName name="_xlnm.Print_Titles" localSheetId="39">'C.2.2-F 02'!$1:$11</definedName>
    <definedName name="_xlnm.Print_Titles" localSheetId="38">'C.2.2-F 09'!$1:$11</definedName>
    <definedName name="_xlnm.Print_Titles" localSheetId="40">'C.2.2-F 12'!$1:$11</definedName>
    <definedName name="_xlnm.Print_Titles" localSheetId="41">'C.2.2-F 91'!$1:$11</definedName>
    <definedName name="_xlnm.Print_Titles" localSheetId="42">'C.2.3 B'!$1:$10</definedName>
    <definedName name="_xlnm.Print_Titles" localSheetId="43">'C.2.3 F'!$1:$10</definedName>
    <definedName name="_xlnm.Print_Titles" localSheetId="45">D.1!$1:$9</definedName>
    <definedName name="_xlnm.Print_Titles" localSheetId="52">F.1!$1:$11</definedName>
    <definedName name="_xlnm.Print_Titles" localSheetId="80">K!$1:$13</definedName>
    <definedName name="_xlnm.Print_Titles" localSheetId="24">'WP B.5 B'!$1:$11</definedName>
    <definedName name="_xlnm.Print_Titles" localSheetId="25">'WP B.5 F'!$1:$11</definedName>
    <definedName name="_xlnm.Print_Titles" localSheetId="27">'WP B.6 B'!$1:$11</definedName>
    <definedName name="_xlnm.Print_Titles" localSheetId="28">'WP B.6 F'!$1:$11</definedName>
    <definedName name="ROR" localSheetId="63">#REF!</definedName>
    <definedName name="ROR" localSheetId="62">#REF!</definedName>
    <definedName name="ROR">#REF!</definedName>
    <definedName name="SCHEDA">A.1!$A$1:$K$38</definedName>
    <definedName name="stdrate" localSheetId="63">#REF!</definedName>
    <definedName name="stdrate" localSheetId="62">#REF!</definedName>
    <definedName name="stdrate">#REF!</definedName>
  </definedNames>
  <calcPr calcId="152511"/>
</workbook>
</file>

<file path=xl/calcChain.xml><?xml version="1.0" encoding="utf-8"?>
<calcChain xmlns="http://schemas.openxmlformats.org/spreadsheetml/2006/main">
  <c r="D22" i="251" l="1"/>
  <c r="D21" i="251"/>
  <c r="D20" i="251"/>
  <c r="D19" i="251"/>
  <c r="D18" i="251"/>
  <c r="D17" i="251"/>
  <c r="D16" i="251"/>
  <c r="D15" i="251"/>
  <c r="D14" i="251"/>
  <c r="D13" i="251"/>
  <c r="D12" i="251"/>
  <c r="D11" i="251"/>
  <c r="D10" i="251"/>
  <c r="D24" i="3"/>
  <c r="E22" i="251" l="1"/>
  <c r="E21" i="251"/>
  <c r="E20" i="251"/>
  <c r="E19" i="251"/>
  <c r="E18" i="251"/>
  <c r="E17" i="251"/>
  <c r="E16" i="251"/>
  <c r="E15" i="251"/>
  <c r="E14" i="251"/>
  <c r="E13" i="251"/>
  <c r="E12" i="251"/>
  <c r="E11" i="251"/>
  <c r="F24" i="3"/>
  <c r="G20" i="99" l="1"/>
  <c r="E20" i="99"/>
  <c r="L19" i="202" l="1"/>
  <c r="K21" i="4"/>
  <c r="G21" i="4"/>
  <c r="E25" i="212" l="1"/>
  <c r="E21" i="84"/>
  <c r="K38" i="42" l="1"/>
  <c r="H36" i="42"/>
  <c r="G36" i="42"/>
  <c r="F36" i="42"/>
  <c r="E36" i="42"/>
  <c r="D36" i="42"/>
  <c r="A4" i="233" l="1"/>
  <c r="K14" i="44" l="1"/>
  <c r="L14" i="44"/>
  <c r="M14" i="44"/>
  <c r="N14" i="44"/>
  <c r="O14" i="44"/>
  <c r="J14" i="44"/>
  <c r="J19" i="238" l="1"/>
  <c r="K19" i="238"/>
  <c r="L19" i="238"/>
  <c r="M19" i="238"/>
  <c r="N19" i="238"/>
  <c r="I19" i="238"/>
  <c r="D19" i="238"/>
  <c r="E19" i="238"/>
  <c r="F19" i="238"/>
  <c r="G19" i="238"/>
  <c r="H19" i="238"/>
  <c r="C19" i="238"/>
  <c r="J18" i="238"/>
  <c r="K18" i="238"/>
  <c r="L18" i="238"/>
  <c r="M18" i="238"/>
  <c r="N18" i="238"/>
  <c r="I18" i="238"/>
  <c r="D18" i="238"/>
  <c r="E18" i="238"/>
  <c r="F18" i="238"/>
  <c r="G18" i="238"/>
  <c r="H18" i="238"/>
  <c r="C18" i="238"/>
  <c r="J14" i="171" l="1"/>
  <c r="K14" i="171"/>
  <c r="I14" i="171"/>
  <c r="J57" i="171"/>
  <c r="K57" i="171"/>
  <c r="I57" i="171"/>
  <c r="I44" i="171" l="1"/>
  <c r="J44" i="171"/>
  <c r="K44" i="171"/>
  <c r="L44" i="171"/>
  <c r="M44" i="171"/>
  <c r="N44" i="171"/>
  <c r="D44" i="171"/>
  <c r="E44" i="171"/>
  <c r="F44" i="171"/>
  <c r="G44" i="171"/>
  <c r="H44" i="171"/>
  <c r="C44" i="171"/>
  <c r="I29" i="171"/>
  <c r="J29" i="171"/>
  <c r="K29" i="171"/>
  <c r="N29" i="171"/>
  <c r="M29" i="171"/>
  <c r="L29" i="171"/>
  <c r="D29" i="171"/>
  <c r="E29" i="171"/>
  <c r="F29" i="171"/>
  <c r="G29" i="171"/>
  <c r="H29" i="171"/>
  <c r="C29" i="171"/>
  <c r="M14" i="171"/>
  <c r="N14" i="171"/>
  <c r="L14" i="171"/>
  <c r="D14" i="171"/>
  <c r="E14" i="171"/>
  <c r="F14" i="171"/>
  <c r="G14" i="171"/>
  <c r="H14" i="171"/>
  <c r="C14" i="171"/>
  <c r="M57" i="171"/>
  <c r="N57" i="171"/>
  <c r="L57" i="171"/>
  <c r="D57" i="171"/>
  <c r="E57" i="171"/>
  <c r="F57" i="171"/>
  <c r="G57" i="171"/>
  <c r="H57" i="171"/>
  <c r="C57" i="171"/>
  <c r="J15" i="238"/>
  <c r="K15" i="238"/>
  <c r="L15" i="238"/>
  <c r="M15" i="238"/>
  <c r="N15" i="238"/>
  <c r="I15" i="238"/>
  <c r="D15" i="238"/>
  <c r="E15" i="238"/>
  <c r="F15" i="238"/>
  <c r="G15" i="238"/>
  <c r="H15" i="238"/>
  <c r="C15" i="238"/>
  <c r="J58" i="238"/>
  <c r="K58" i="238"/>
  <c r="L58" i="238"/>
  <c r="M58" i="238"/>
  <c r="N58" i="238"/>
  <c r="I58" i="238"/>
  <c r="D58" i="238"/>
  <c r="E58" i="238"/>
  <c r="F58" i="238"/>
  <c r="G58" i="238"/>
  <c r="H58" i="238"/>
  <c r="C58" i="238"/>
  <c r="A30" i="222" l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89" i="222" s="1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10" i="222" s="1"/>
  <c r="A111" i="222" s="1"/>
  <c r="A29" i="222"/>
  <c r="D17" i="252"/>
  <c r="D16" i="252"/>
  <c r="D15" i="252"/>
  <c r="D14" i="252"/>
  <c r="F16" i="252" l="1"/>
  <c r="D33" i="250" l="1"/>
  <c r="D22" i="230" l="1"/>
  <c r="E22" i="230"/>
  <c r="F22" i="230"/>
  <c r="G22" i="230"/>
  <c r="H22" i="230"/>
  <c r="I22" i="230"/>
  <c r="J22" i="230"/>
  <c r="D24" i="230"/>
  <c r="E24" i="230"/>
  <c r="F24" i="230"/>
  <c r="G24" i="230"/>
  <c r="H24" i="230"/>
  <c r="I24" i="230"/>
  <c r="J24" i="230"/>
  <c r="D26" i="230"/>
  <c r="E26" i="230"/>
  <c r="F26" i="230"/>
  <c r="G26" i="230"/>
  <c r="H26" i="230"/>
  <c r="I26" i="230"/>
  <c r="J26" i="230"/>
  <c r="H223" i="209" l="1"/>
  <c r="H224" i="209"/>
  <c r="H225" i="209"/>
  <c r="E193" i="209"/>
  <c r="E194" i="209"/>
  <c r="E195" i="209"/>
  <c r="E196" i="209"/>
  <c r="E197" i="209"/>
  <c r="E198" i="209"/>
  <c r="E199" i="209"/>
  <c r="E200" i="209"/>
  <c r="E201" i="209"/>
  <c r="E202" i="209"/>
  <c r="E203" i="209"/>
  <c r="E204" i="209"/>
  <c r="E205" i="209"/>
  <c r="E206" i="209"/>
  <c r="E192" i="209"/>
  <c r="L8" i="232" l="1"/>
  <c r="H9" i="69"/>
  <c r="H9" i="24"/>
  <c r="K9" i="215"/>
  <c r="K9" i="30"/>
  <c r="E8" i="67"/>
  <c r="H8" i="237"/>
  <c r="N8" i="209"/>
  <c r="N8" i="236"/>
  <c r="N8" i="213"/>
  <c r="C20" i="239" l="1"/>
  <c r="D30" i="238" l="1"/>
  <c r="G30" i="238"/>
  <c r="H30" i="238"/>
  <c r="M30" i="238" s="1"/>
  <c r="C30" i="238"/>
  <c r="E30" i="238"/>
  <c r="M30" i="171"/>
  <c r="N30" i="171"/>
  <c r="N31" i="238" s="1"/>
  <c r="L30" i="171"/>
  <c r="C31" i="238" l="1"/>
  <c r="L30" i="238"/>
  <c r="K30" i="238"/>
  <c r="L31" i="238"/>
  <c r="E31" i="238"/>
  <c r="F30" i="238"/>
  <c r="N30" i="238"/>
  <c r="J30" i="238"/>
  <c r="I31" i="238"/>
  <c r="M31" i="238"/>
  <c r="G31" i="238"/>
  <c r="I30" i="238"/>
  <c r="K31" i="238"/>
  <c r="F31" i="238"/>
  <c r="H31" i="238"/>
  <c r="D31" i="238"/>
  <c r="J31" i="238"/>
  <c r="C22" i="239"/>
  <c r="E23" i="251" l="1"/>
  <c r="G32" i="1" s="1"/>
  <c r="H16" i="5" l="1"/>
  <c r="E98" i="237" l="1"/>
  <c r="E97" i="237"/>
  <c r="E102" i="237"/>
  <c r="E101" i="237"/>
  <c r="E100" i="237"/>
  <c r="E99" i="237"/>
  <c r="Q17" i="106" l="1"/>
  <c r="Q18" i="106"/>
  <c r="Q19" i="106"/>
  <c r="Q20" i="106"/>
  <c r="Q21" i="106"/>
  <c r="Q22" i="106"/>
  <c r="Q23" i="106"/>
  <c r="Q24" i="106"/>
  <c r="Q25" i="106"/>
  <c r="Q16" i="106"/>
  <c r="M14" i="106"/>
  <c r="J38" i="106"/>
  <c r="I37" i="106"/>
  <c r="I38" i="106" s="1"/>
  <c r="I39" i="106" s="1"/>
  <c r="I40" i="106" s="1"/>
  <c r="I41" i="106" s="1"/>
  <c r="I42" i="106" s="1"/>
  <c r="I43" i="106" s="1"/>
  <c r="I44" i="106" s="1"/>
  <c r="I45" i="106" s="1"/>
  <c r="I46" i="106" s="1"/>
  <c r="I47" i="106" s="1"/>
  <c r="I48" i="106" s="1"/>
  <c r="I49" i="106" s="1"/>
  <c r="I50" i="106" s="1"/>
  <c r="I51" i="106" s="1"/>
  <c r="I52" i="106" s="1"/>
  <c r="I53" i="106" s="1"/>
  <c r="I54" i="106" s="1"/>
  <c r="J37" i="106"/>
  <c r="J39" i="106"/>
  <c r="J40" i="106"/>
  <c r="J41" i="106"/>
  <c r="J42" i="106"/>
  <c r="J43" i="106"/>
  <c r="J44" i="106"/>
  <c r="J45" i="106"/>
  <c r="J46" i="106"/>
  <c r="J47" i="106"/>
  <c r="J48" i="106"/>
  <c r="J49" i="106"/>
  <c r="J50" i="106"/>
  <c r="J51" i="106"/>
  <c r="J52" i="106"/>
  <c r="J53" i="106"/>
  <c r="J54" i="106"/>
  <c r="I16" i="106"/>
  <c r="I14" i="106"/>
  <c r="D31" i="105" l="1"/>
  <c r="H31" i="105"/>
  <c r="L22" i="230" l="1"/>
  <c r="M22" i="230"/>
  <c r="N22" i="230"/>
  <c r="O22" i="230"/>
  <c r="P22" i="230"/>
  <c r="K22" i="230"/>
  <c r="A178" i="45" l="1"/>
  <c r="A179" i="45"/>
  <c r="A180" i="45" s="1"/>
  <c r="A181" i="45" s="1"/>
  <c r="A182" i="45" s="1"/>
  <c r="A183" i="45" s="1"/>
  <c r="A177" i="45"/>
  <c r="D13" i="252" l="1"/>
  <c r="F8" i="252" l="1"/>
  <c r="A2" i="252"/>
  <c r="A1" i="252"/>
  <c r="R26" i="106" l="1"/>
  <c r="Q15" i="106"/>
  <c r="R15" i="106"/>
  <c r="R16" i="106"/>
  <c r="R17" i="106"/>
  <c r="R18" i="106"/>
  <c r="R19" i="106"/>
  <c r="R20" i="106"/>
  <c r="R21" i="106"/>
  <c r="R22" i="106"/>
  <c r="R23" i="106"/>
  <c r="R24" i="106"/>
  <c r="R25" i="106"/>
  <c r="R14" i="106"/>
  <c r="Q14" i="106"/>
  <c r="J32" i="106"/>
  <c r="J33" i="106"/>
  <c r="J34" i="106"/>
  <c r="J35" i="106"/>
  <c r="J36" i="106"/>
  <c r="J31" i="106"/>
  <c r="J16" i="106"/>
  <c r="J17" i="106"/>
  <c r="J18" i="106"/>
  <c r="J19" i="106"/>
  <c r="J20" i="106"/>
  <c r="J21" i="106"/>
  <c r="J22" i="106"/>
  <c r="J23" i="106"/>
  <c r="J24" i="106"/>
  <c r="J25" i="106"/>
  <c r="J26" i="106"/>
  <c r="N14" i="106" l="1"/>
  <c r="D50" i="216" l="1"/>
  <c r="E50" i="216"/>
  <c r="F50" i="216"/>
  <c r="G50" i="216"/>
  <c r="H50" i="216"/>
  <c r="I50" i="216"/>
  <c r="J50" i="216"/>
  <c r="K50" i="216"/>
  <c r="L50" i="216"/>
  <c r="M50" i="216"/>
  <c r="N50" i="216"/>
  <c r="O50" i="216"/>
  <c r="C50" i="216"/>
  <c r="D48" i="216"/>
  <c r="E48" i="216"/>
  <c r="F48" i="216"/>
  <c r="G48" i="216"/>
  <c r="H48" i="216"/>
  <c r="I48" i="216"/>
  <c r="J48" i="216"/>
  <c r="K48" i="216"/>
  <c r="L48" i="216"/>
  <c r="M48" i="216"/>
  <c r="N48" i="216"/>
  <c r="O48" i="216"/>
  <c r="C48" i="216"/>
  <c r="D46" i="216"/>
  <c r="E46" i="216"/>
  <c r="F46" i="216"/>
  <c r="G46" i="216"/>
  <c r="H46" i="216"/>
  <c r="I46" i="216"/>
  <c r="J46" i="216"/>
  <c r="K46" i="216"/>
  <c r="L46" i="216"/>
  <c r="M46" i="216"/>
  <c r="N46" i="216"/>
  <c r="O46" i="216"/>
  <c r="C46" i="216"/>
  <c r="D44" i="216"/>
  <c r="E44" i="216"/>
  <c r="F44" i="216"/>
  <c r="G44" i="216"/>
  <c r="H44" i="216"/>
  <c r="I44" i="216"/>
  <c r="J44" i="216"/>
  <c r="K44" i="216"/>
  <c r="L44" i="216"/>
  <c r="M44" i="216"/>
  <c r="N44" i="216"/>
  <c r="O44" i="216"/>
  <c r="C44" i="216"/>
  <c r="D50" i="214"/>
  <c r="E50" i="214"/>
  <c r="F50" i="214"/>
  <c r="G50" i="214"/>
  <c r="H50" i="214"/>
  <c r="I50" i="214"/>
  <c r="J50" i="214"/>
  <c r="K50" i="214"/>
  <c r="L50" i="214"/>
  <c r="M50" i="214"/>
  <c r="N50" i="214"/>
  <c r="O50" i="214"/>
  <c r="C50" i="214"/>
  <c r="D48" i="214"/>
  <c r="E48" i="214"/>
  <c r="F48" i="214"/>
  <c r="G48" i="214"/>
  <c r="H48" i="214"/>
  <c r="I48" i="214"/>
  <c r="J48" i="214"/>
  <c r="K48" i="214"/>
  <c r="L48" i="214"/>
  <c r="M48" i="214"/>
  <c r="N48" i="214"/>
  <c r="O48" i="214"/>
  <c r="C48" i="214"/>
  <c r="D46" i="214"/>
  <c r="E46" i="214"/>
  <c r="F46" i="214"/>
  <c r="G46" i="214"/>
  <c r="H46" i="214"/>
  <c r="I46" i="214"/>
  <c r="J46" i="214"/>
  <c r="K46" i="214"/>
  <c r="L46" i="214"/>
  <c r="M46" i="214"/>
  <c r="N46" i="214"/>
  <c r="O46" i="214"/>
  <c r="C46" i="214"/>
  <c r="D44" i="214"/>
  <c r="E44" i="214"/>
  <c r="F44" i="214"/>
  <c r="G44" i="214"/>
  <c r="H44" i="214"/>
  <c r="I44" i="214"/>
  <c r="J44" i="214"/>
  <c r="K44" i="214"/>
  <c r="L44" i="214"/>
  <c r="M44" i="214"/>
  <c r="N44" i="214"/>
  <c r="O44" i="214"/>
  <c r="C44" i="214"/>
  <c r="E42" i="227" l="1"/>
  <c r="F42" i="227"/>
  <c r="G42" i="227"/>
  <c r="H42" i="227"/>
  <c r="I42" i="227"/>
  <c r="J42" i="227"/>
  <c r="K42" i="227"/>
  <c r="L42" i="227"/>
  <c r="M42" i="227"/>
  <c r="N42" i="227"/>
  <c r="O42" i="227"/>
  <c r="D42" i="227"/>
  <c r="E51" i="226"/>
  <c r="F51" i="226"/>
  <c r="G51" i="226"/>
  <c r="H51" i="226"/>
  <c r="I51" i="226"/>
  <c r="J51" i="226"/>
  <c r="K51" i="226"/>
  <c r="L51" i="226"/>
  <c r="M51" i="226"/>
  <c r="N51" i="226"/>
  <c r="O51" i="226"/>
  <c r="D51" i="226"/>
  <c r="E21" i="37" l="1"/>
  <c r="D21" i="37"/>
  <c r="O34" i="214" l="1"/>
  <c r="N34" i="214" l="1"/>
  <c r="M34" i="214"/>
  <c r="L34" i="214"/>
  <c r="K34" i="214"/>
  <c r="J34" i="214"/>
  <c r="S19" i="39" l="1"/>
  <c r="R19" i="39"/>
  <c r="Q19" i="39"/>
  <c r="O19" i="39"/>
  <c r="M19" i="39"/>
  <c r="S18" i="39"/>
  <c r="R18" i="39"/>
  <c r="Q18" i="39"/>
  <c r="O18" i="39"/>
  <c r="M18" i="39"/>
  <c r="S17" i="39"/>
  <c r="R17" i="39"/>
  <c r="Q17" i="39"/>
  <c r="O17" i="39"/>
  <c r="M17" i="39"/>
  <c r="S16" i="39"/>
  <c r="R16" i="39"/>
  <c r="Q16" i="39"/>
  <c r="O16" i="39"/>
  <c r="M16" i="39"/>
  <c r="S28" i="41"/>
  <c r="R28" i="41"/>
  <c r="Q28" i="41"/>
  <c r="O28" i="41"/>
  <c r="M28" i="41"/>
  <c r="S27" i="41"/>
  <c r="R27" i="41"/>
  <c r="Q27" i="41"/>
  <c r="O27" i="41"/>
  <c r="M27" i="41"/>
  <c r="S26" i="41"/>
  <c r="R26" i="41"/>
  <c r="Q26" i="41"/>
  <c r="O26" i="41"/>
  <c r="M26" i="41"/>
  <c r="S25" i="41"/>
  <c r="R25" i="41"/>
  <c r="Q25" i="41"/>
  <c r="O25" i="41"/>
  <c r="M25" i="41"/>
  <c r="S19" i="41"/>
  <c r="R19" i="41"/>
  <c r="Q19" i="41"/>
  <c r="S18" i="41"/>
  <c r="R18" i="41"/>
  <c r="Q18" i="41"/>
  <c r="S17" i="41"/>
  <c r="R17" i="41"/>
  <c r="Q17" i="41"/>
  <c r="S16" i="41"/>
  <c r="R16" i="41"/>
  <c r="Q16" i="41"/>
  <c r="P21" i="42"/>
  <c r="O21" i="42"/>
  <c r="N21" i="42"/>
  <c r="P19" i="42"/>
  <c r="O19" i="42"/>
  <c r="N19" i="42"/>
  <c r="P17" i="42"/>
  <c r="O17" i="42"/>
  <c r="N17" i="42"/>
  <c r="P16" i="42"/>
  <c r="O16" i="42"/>
  <c r="N16" i="42"/>
  <c r="O28" i="222"/>
  <c r="N28" i="222"/>
  <c r="M28" i="222"/>
  <c r="L28" i="222"/>
  <c r="K28" i="222"/>
  <c r="J28" i="222"/>
  <c r="I28" i="222"/>
  <c r="H28" i="222"/>
  <c r="G28" i="222"/>
  <c r="F28" i="222"/>
  <c r="E28" i="222"/>
  <c r="D28" i="222"/>
  <c r="O27" i="222"/>
  <c r="N27" i="222"/>
  <c r="M27" i="222"/>
  <c r="L27" i="222"/>
  <c r="K27" i="222"/>
  <c r="J27" i="222"/>
  <c r="I27" i="222"/>
  <c r="H27" i="222"/>
  <c r="G27" i="222"/>
  <c r="F27" i="222"/>
  <c r="E27" i="222"/>
  <c r="D27" i="222"/>
  <c r="O26" i="222"/>
  <c r="N26" i="222"/>
  <c r="M26" i="222"/>
  <c r="L26" i="222"/>
  <c r="K26" i="222"/>
  <c r="J26" i="222"/>
  <c r="I26" i="222"/>
  <c r="H26" i="222"/>
  <c r="G26" i="222"/>
  <c r="F26" i="222"/>
  <c r="E26" i="222"/>
  <c r="D26" i="222"/>
  <c r="O25" i="222"/>
  <c r="N25" i="222"/>
  <c r="M25" i="222"/>
  <c r="L25" i="222"/>
  <c r="K25" i="222"/>
  <c r="J25" i="222"/>
  <c r="I25" i="222"/>
  <c r="H25" i="222"/>
  <c r="G25" i="222"/>
  <c r="F25" i="222"/>
  <c r="E25" i="222"/>
  <c r="D25" i="222"/>
  <c r="O23" i="222"/>
  <c r="N23" i="222"/>
  <c r="M23" i="222"/>
  <c r="L23" i="222"/>
  <c r="K23" i="222"/>
  <c r="J23" i="222"/>
  <c r="I23" i="222"/>
  <c r="H23" i="222"/>
  <c r="G23" i="222"/>
  <c r="F23" i="222"/>
  <c r="E23" i="222"/>
  <c r="D23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O17" i="222"/>
  <c r="N17" i="222"/>
  <c r="M17" i="222"/>
  <c r="L17" i="222"/>
  <c r="K17" i="222"/>
  <c r="J17" i="222"/>
  <c r="I17" i="222"/>
  <c r="H17" i="222"/>
  <c r="G17" i="222"/>
  <c r="F17" i="222"/>
  <c r="E17" i="222"/>
  <c r="D17" i="222"/>
  <c r="O28" i="44"/>
  <c r="N28" i="44"/>
  <c r="M28" i="44"/>
  <c r="L28" i="44"/>
  <c r="K28" i="44"/>
  <c r="J28" i="44"/>
  <c r="O27" i="44"/>
  <c r="N27" i="44"/>
  <c r="M27" i="44"/>
  <c r="L27" i="44"/>
  <c r="K27" i="44"/>
  <c r="J27" i="44"/>
  <c r="O26" i="44"/>
  <c r="N26" i="44"/>
  <c r="M26" i="44"/>
  <c r="L26" i="44"/>
  <c r="K26" i="44"/>
  <c r="J26" i="44"/>
  <c r="O25" i="44"/>
  <c r="N25" i="44"/>
  <c r="M25" i="44"/>
  <c r="L25" i="44"/>
  <c r="K25" i="44"/>
  <c r="J25" i="44"/>
  <c r="O23" i="44"/>
  <c r="N23" i="44"/>
  <c r="M23" i="44"/>
  <c r="L23" i="44"/>
  <c r="K23" i="44"/>
  <c r="J23" i="44"/>
  <c r="O20" i="44"/>
  <c r="N20" i="44"/>
  <c r="M20" i="44"/>
  <c r="L20" i="44"/>
  <c r="K20" i="44"/>
  <c r="J20" i="44"/>
  <c r="O19" i="44"/>
  <c r="N19" i="44"/>
  <c r="M19" i="44"/>
  <c r="L19" i="44"/>
  <c r="K19" i="44"/>
  <c r="J19" i="44"/>
  <c r="O17" i="44"/>
  <c r="N17" i="44"/>
  <c r="M17" i="44"/>
  <c r="L17" i="44"/>
  <c r="K17" i="44"/>
  <c r="J17" i="44"/>
  <c r="O34" i="216"/>
  <c r="N34" i="216"/>
  <c r="M34" i="216"/>
  <c r="L34" i="216"/>
  <c r="K34" i="216"/>
  <c r="J34" i="216"/>
  <c r="I34" i="216"/>
  <c r="H34" i="216"/>
  <c r="G34" i="216"/>
  <c r="F34" i="216"/>
  <c r="E34" i="216"/>
  <c r="D34" i="216"/>
  <c r="C34" i="216"/>
  <c r="I31" i="190" l="1"/>
  <c r="E165" i="237" l="1"/>
  <c r="E164" i="237"/>
  <c r="E162" i="237"/>
  <c r="E32" i="222" l="1"/>
  <c r="F32" i="222"/>
  <c r="G32" i="222"/>
  <c r="H32" i="222"/>
  <c r="I32" i="222"/>
  <c r="J32" i="222"/>
  <c r="K32" i="222"/>
  <c r="L32" i="222"/>
  <c r="M32" i="222"/>
  <c r="N32" i="222"/>
  <c r="O32" i="222"/>
  <c r="E33" i="222"/>
  <c r="F33" i="222"/>
  <c r="G33" i="222"/>
  <c r="H33" i="222"/>
  <c r="I33" i="222"/>
  <c r="J33" i="222"/>
  <c r="K33" i="222"/>
  <c r="L33" i="222"/>
  <c r="M33" i="222"/>
  <c r="N33" i="222"/>
  <c r="O33" i="222"/>
  <c r="E34" i="222"/>
  <c r="F34" i="222"/>
  <c r="G34" i="222"/>
  <c r="H34" i="222"/>
  <c r="I34" i="222"/>
  <c r="J34" i="222"/>
  <c r="K34" i="222"/>
  <c r="L34" i="222"/>
  <c r="M34" i="222"/>
  <c r="N34" i="222"/>
  <c r="O34" i="222"/>
  <c r="E35" i="222"/>
  <c r="F35" i="222"/>
  <c r="G35" i="222"/>
  <c r="H35" i="222"/>
  <c r="I35" i="222"/>
  <c r="J35" i="222"/>
  <c r="K35" i="222"/>
  <c r="L35" i="222"/>
  <c r="M35" i="222"/>
  <c r="N35" i="222"/>
  <c r="O35" i="222"/>
  <c r="E36" i="222"/>
  <c r="F36" i="222"/>
  <c r="G36" i="222"/>
  <c r="H36" i="222"/>
  <c r="I36" i="222"/>
  <c r="J36" i="222"/>
  <c r="K36" i="222"/>
  <c r="L36" i="222"/>
  <c r="M36" i="222"/>
  <c r="N36" i="222"/>
  <c r="O36" i="222"/>
  <c r="E37" i="222"/>
  <c r="F37" i="222"/>
  <c r="G37" i="222"/>
  <c r="H37" i="222"/>
  <c r="I37" i="222"/>
  <c r="J37" i="222"/>
  <c r="K37" i="222"/>
  <c r="L37" i="222"/>
  <c r="M37" i="222"/>
  <c r="N37" i="222"/>
  <c r="O37" i="222"/>
  <c r="E38" i="222"/>
  <c r="F38" i="222"/>
  <c r="G38" i="222"/>
  <c r="H38" i="222"/>
  <c r="I38" i="222"/>
  <c r="J38" i="222"/>
  <c r="K38" i="222"/>
  <c r="L38" i="222"/>
  <c r="M38" i="222"/>
  <c r="N38" i="222"/>
  <c r="O38" i="222"/>
  <c r="E39" i="222"/>
  <c r="F39" i="222"/>
  <c r="G39" i="222"/>
  <c r="H39" i="222"/>
  <c r="I39" i="222"/>
  <c r="J39" i="222"/>
  <c r="K39" i="222"/>
  <c r="L39" i="222"/>
  <c r="M39" i="222"/>
  <c r="N39" i="222"/>
  <c r="O39" i="222"/>
  <c r="E40" i="222"/>
  <c r="F40" i="222"/>
  <c r="G40" i="222"/>
  <c r="H40" i="222"/>
  <c r="I40" i="222"/>
  <c r="J40" i="222"/>
  <c r="K40" i="222"/>
  <c r="L40" i="222"/>
  <c r="M40" i="222"/>
  <c r="N40" i="222"/>
  <c r="O40" i="222"/>
  <c r="E41" i="222"/>
  <c r="F41" i="222"/>
  <c r="G41" i="222"/>
  <c r="H41" i="222"/>
  <c r="I41" i="222"/>
  <c r="J41" i="222"/>
  <c r="K41" i="222"/>
  <c r="L41" i="222"/>
  <c r="M41" i="222"/>
  <c r="N41" i="222"/>
  <c r="O41" i="222"/>
  <c r="E42" i="222"/>
  <c r="F42" i="222"/>
  <c r="G42" i="222"/>
  <c r="H42" i="222"/>
  <c r="I42" i="222"/>
  <c r="J42" i="222"/>
  <c r="K42" i="222"/>
  <c r="L42" i="222"/>
  <c r="M42" i="222"/>
  <c r="N42" i="222"/>
  <c r="O42" i="222"/>
  <c r="E43" i="222"/>
  <c r="F43" i="222"/>
  <c r="G43" i="222"/>
  <c r="H43" i="222"/>
  <c r="I43" i="222"/>
  <c r="J43" i="222"/>
  <c r="K43" i="222"/>
  <c r="L43" i="222"/>
  <c r="M43" i="222"/>
  <c r="N43" i="222"/>
  <c r="O43" i="222"/>
  <c r="E44" i="222"/>
  <c r="F44" i="222"/>
  <c r="G44" i="222"/>
  <c r="H44" i="222"/>
  <c r="I44" i="222"/>
  <c r="J44" i="222"/>
  <c r="K44" i="222"/>
  <c r="L44" i="222"/>
  <c r="M44" i="222"/>
  <c r="N44" i="222"/>
  <c r="O44" i="222"/>
  <c r="E45" i="222"/>
  <c r="F45" i="222"/>
  <c r="G45" i="222"/>
  <c r="H45" i="222"/>
  <c r="I45" i="222"/>
  <c r="J45" i="222"/>
  <c r="K45" i="222"/>
  <c r="L45" i="222"/>
  <c r="M45" i="222"/>
  <c r="N45" i="222"/>
  <c r="O45" i="222"/>
  <c r="E46" i="222"/>
  <c r="F46" i="222"/>
  <c r="G46" i="222"/>
  <c r="H46" i="222"/>
  <c r="I46" i="222"/>
  <c r="J46" i="222"/>
  <c r="K46" i="222"/>
  <c r="L46" i="222"/>
  <c r="M46" i="222"/>
  <c r="N46" i="222"/>
  <c r="O46" i="222"/>
  <c r="D33" i="222"/>
  <c r="D34" i="222"/>
  <c r="D35" i="222"/>
  <c r="D36" i="222"/>
  <c r="D37" i="222"/>
  <c r="D38" i="222"/>
  <c r="D39" i="222"/>
  <c r="D40" i="222"/>
  <c r="D41" i="222"/>
  <c r="D42" i="222"/>
  <c r="D43" i="222"/>
  <c r="D44" i="222"/>
  <c r="D45" i="222"/>
  <c r="D46" i="222"/>
  <c r="D32" i="222"/>
  <c r="K32" i="44"/>
  <c r="L32" i="44"/>
  <c r="M32" i="44"/>
  <c r="N32" i="44"/>
  <c r="O32" i="44"/>
  <c r="K33" i="44"/>
  <c r="L33" i="44"/>
  <c r="M33" i="44"/>
  <c r="N33" i="44"/>
  <c r="O33" i="44"/>
  <c r="K34" i="44"/>
  <c r="L34" i="44"/>
  <c r="M34" i="44"/>
  <c r="N34" i="44"/>
  <c r="O34" i="44"/>
  <c r="K35" i="44"/>
  <c r="L35" i="44"/>
  <c r="M35" i="44"/>
  <c r="N35" i="44"/>
  <c r="O35" i="44"/>
  <c r="K36" i="44"/>
  <c r="L36" i="44"/>
  <c r="M36" i="44"/>
  <c r="N36" i="44"/>
  <c r="O36" i="44"/>
  <c r="K37" i="44"/>
  <c r="L37" i="44"/>
  <c r="M37" i="44"/>
  <c r="N37" i="44"/>
  <c r="O37" i="44"/>
  <c r="K38" i="44"/>
  <c r="L38" i="44"/>
  <c r="M38" i="44"/>
  <c r="N38" i="44"/>
  <c r="O38" i="44"/>
  <c r="K39" i="44"/>
  <c r="L39" i="44"/>
  <c r="M39" i="44"/>
  <c r="N39" i="44"/>
  <c r="O39" i="44"/>
  <c r="K40" i="44"/>
  <c r="L40" i="44"/>
  <c r="M40" i="44"/>
  <c r="N40" i="44"/>
  <c r="O40" i="44"/>
  <c r="K41" i="44"/>
  <c r="L41" i="44"/>
  <c r="M41" i="44"/>
  <c r="N41" i="44"/>
  <c r="O41" i="44"/>
  <c r="K42" i="44"/>
  <c r="L42" i="44"/>
  <c r="M42" i="44"/>
  <c r="N42" i="44"/>
  <c r="O42" i="44"/>
  <c r="K43" i="44"/>
  <c r="L43" i="44"/>
  <c r="M43" i="44"/>
  <c r="N43" i="44"/>
  <c r="O43" i="44"/>
  <c r="K44" i="44"/>
  <c r="L44" i="44"/>
  <c r="M44" i="44"/>
  <c r="N44" i="44"/>
  <c r="O44" i="44"/>
  <c r="K45" i="44"/>
  <c r="L45" i="44"/>
  <c r="M45" i="44"/>
  <c r="N45" i="44"/>
  <c r="O45" i="44"/>
  <c r="K46" i="44"/>
  <c r="L46" i="44"/>
  <c r="M46" i="44"/>
  <c r="N46" i="44"/>
  <c r="O46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32" i="44"/>
  <c r="C32" i="103" l="1"/>
  <c r="C25" i="103"/>
  <c r="C18" i="103"/>
  <c r="E27" i="106" l="1"/>
  <c r="E24" i="106"/>
  <c r="E21" i="106"/>
  <c r="D16" i="106"/>
  <c r="D17" i="106"/>
  <c r="D15" i="106"/>
  <c r="D33" i="49" l="1"/>
  <c r="D20" i="49"/>
  <c r="D19" i="49"/>
  <c r="D14" i="49"/>
  <c r="D27" i="49" s="1"/>
  <c r="D13" i="49"/>
  <c r="O36" i="35"/>
  <c r="M36" i="35"/>
  <c r="O30" i="35"/>
  <c r="M30" i="35"/>
  <c r="D37" i="250"/>
  <c r="D36" i="250"/>
  <c r="D31" i="250"/>
  <c r="D30" i="250"/>
  <c r="D28" i="250"/>
  <c r="D27" i="250"/>
  <c r="D19" i="250"/>
  <c r="D17" i="250"/>
  <c r="D15" i="250"/>
  <c r="G16" i="249" l="1"/>
  <c r="G18" i="249"/>
  <c r="C32" i="102" l="1"/>
  <c r="C33" i="102"/>
  <c r="G32" i="102"/>
  <c r="G33" i="102"/>
  <c r="C27" i="102"/>
  <c r="C28" i="102"/>
  <c r="G27" i="102"/>
  <c r="G28" i="102"/>
  <c r="C23" i="102"/>
  <c r="C22" i="102"/>
  <c r="G23" i="102"/>
  <c r="G22" i="102"/>
  <c r="G18" i="102"/>
  <c r="G17" i="102"/>
  <c r="C17" i="102"/>
  <c r="C18" i="102"/>
  <c r="D26" i="105"/>
  <c r="H26" i="105"/>
  <c r="H21" i="105"/>
  <c r="D21" i="105"/>
  <c r="D141" i="51" l="1"/>
  <c r="D140" i="51"/>
  <c r="D139" i="51"/>
  <c r="D138" i="51"/>
  <c r="J100" i="51" l="1"/>
  <c r="J101" i="51"/>
  <c r="J102" i="51"/>
  <c r="J103" i="51"/>
  <c r="J104" i="51"/>
  <c r="J105" i="51"/>
  <c r="J106" i="51"/>
  <c r="J107" i="51"/>
  <c r="J108" i="51"/>
  <c r="J109" i="51"/>
  <c r="J110" i="51"/>
  <c r="J111" i="51"/>
  <c r="J112" i="51"/>
  <c r="J113" i="51"/>
  <c r="J114" i="51"/>
  <c r="J115" i="51"/>
  <c r="J116" i="51"/>
  <c r="J117" i="51"/>
  <c r="J118" i="51"/>
  <c r="J119" i="51"/>
  <c r="J120" i="51"/>
  <c r="J121" i="51"/>
  <c r="J122" i="51"/>
  <c r="J123" i="51"/>
  <c r="J124" i="51"/>
  <c r="J125" i="51"/>
  <c r="J126" i="51"/>
  <c r="J127" i="51"/>
  <c r="J128" i="51"/>
  <c r="J129" i="51"/>
  <c r="J130" i="51"/>
  <c r="J131" i="51"/>
  <c r="J132" i="51"/>
  <c r="J99" i="51"/>
  <c r="H100" i="51"/>
  <c r="H101" i="51"/>
  <c r="H102" i="51"/>
  <c r="H103" i="51"/>
  <c r="H104" i="51"/>
  <c r="H105" i="51"/>
  <c r="H106" i="51"/>
  <c r="H107" i="51"/>
  <c r="H108" i="51"/>
  <c r="H109" i="51"/>
  <c r="H110" i="51"/>
  <c r="H111" i="51"/>
  <c r="H112" i="51"/>
  <c r="H113" i="51"/>
  <c r="H114" i="51"/>
  <c r="H115" i="51"/>
  <c r="H116" i="51"/>
  <c r="H117" i="51"/>
  <c r="H118" i="51"/>
  <c r="H119" i="51"/>
  <c r="H120" i="51"/>
  <c r="H121" i="51"/>
  <c r="H122" i="51"/>
  <c r="H123" i="51"/>
  <c r="H124" i="51"/>
  <c r="H125" i="51"/>
  <c r="H126" i="51"/>
  <c r="H127" i="51"/>
  <c r="H128" i="51"/>
  <c r="H129" i="51"/>
  <c r="H130" i="51"/>
  <c r="H131" i="51"/>
  <c r="H132" i="51"/>
  <c r="H99" i="51"/>
  <c r="F100" i="51"/>
  <c r="F101" i="51"/>
  <c r="F102" i="51"/>
  <c r="F103" i="51"/>
  <c r="F104" i="51"/>
  <c r="F105" i="51"/>
  <c r="F106" i="51"/>
  <c r="F107" i="51"/>
  <c r="F108" i="51"/>
  <c r="F109" i="51"/>
  <c r="F110" i="51"/>
  <c r="F111" i="51"/>
  <c r="F112" i="51"/>
  <c r="F113" i="51"/>
  <c r="F114" i="51"/>
  <c r="F115" i="51"/>
  <c r="F116" i="51"/>
  <c r="F117" i="51"/>
  <c r="F118" i="51"/>
  <c r="F119" i="51"/>
  <c r="F120" i="51"/>
  <c r="F121" i="51"/>
  <c r="F122" i="51"/>
  <c r="F123" i="51"/>
  <c r="F124" i="51"/>
  <c r="F125" i="51"/>
  <c r="F126" i="51"/>
  <c r="F127" i="51"/>
  <c r="F128" i="51"/>
  <c r="F129" i="51"/>
  <c r="F130" i="51"/>
  <c r="F131" i="51"/>
  <c r="F132" i="51"/>
  <c r="F99" i="51"/>
  <c r="J49" i="51"/>
  <c r="J50" i="51"/>
  <c r="J51" i="51"/>
  <c r="J52" i="51"/>
  <c r="J53" i="51"/>
  <c r="J54" i="51"/>
  <c r="J55" i="51"/>
  <c r="J56" i="51"/>
  <c r="J57" i="51"/>
  <c r="J58" i="51"/>
  <c r="J59" i="51"/>
  <c r="J60" i="51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J76" i="51"/>
  <c r="J77" i="51"/>
  <c r="J78" i="51"/>
  <c r="J79" i="51"/>
  <c r="J80" i="51"/>
  <c r="J81" i="51"/>
  <c r="J82" i="51"/>
  <c r="J83" i="51"/>
  <c r="J84" i="51"/>
  <c r="J85" i="51"/>
  <c r="J86" i="51"/>
  <c r="J87" i="51"/>
  <c r="J88" i="51"/>
  <c r="J89" i="51"/>
  <c r="J90" i="51"/>
  <c r="J91" i="51"/>
  <c r="J92" i="51"/>
  <c r="J93" i="51"/>
  <c r="J48" i="51"/>
  <c r="H49" i="51"/>
  <c r="H50" i="51"/>
  <c r="H51" i="51"/>
  <c r="H52" i="51"/>
  <c r="H53" i="51"/>
  <c r="H54" i="51"/>
  <c r="H55" i="51"/>
  <c r="H56" i="51"/>
  <c r="H57" i="51"/>
  <c r="H58" i="51"/>
  <c r="H59" i="51"/>
  <c r="H60" i="51"/>
  <c r="H61" i="51"/>
  <c r="H62" i="51"/>
  <c r="H63" i="51"/>
  <c r="H64" i="51"/>
  <c r="H65" i="51"/>
  <c r="H66" i="51"/>
  <c r="H67" i="51"/>
  <c r="H68" i="51"/>
  <c r="H69" i="51"/>
  <c r="H70" i="51"/>
  <c r="H71" i="51"/>
  <c r="H72" i="51"/>
  <c r="H73" i="51"/>
  <c r="H74" i="51"/>
  <c r="H75" i="51"/>
  <c r="H76" i="51"/>
  <c r="H77" i="51"/>
  <c r="H78" i="51"/>
  <c r="H79" i="51"/>
  <c r="H80" i="51"/>
  <c r="H81" i="51"/>
  <c r="H82" i="51"/>
  <c r="H83" i="51"/>
  <c r="H84" i="51"/>
  <c r="H85" i="51"/>
  <c r="H86" i="51"/>
  <c r="H87" i="51"/>
  <c r="H88" i="51"/>
  <c r="H89" i="51"/>
  <c r="H90" i="51"/>
  <c r="H91" i="51"/>
  <c r="H92" i="51"/>
  <c r="H93" i="51"/>
  <c r="H48" i="51"/>
  <c r="F49" i="51"/>
  <c r="F50" i="51"/>
  <c r="F51" i="51"/>
  <c r="F52" i="51"/>
  <c r="F53" i="51"/>
  <c r="F54" i="51"/>
  <c r="F55" i="51"/>
  <c r="F56" i="51"/>
  <c r="F57" i="51"/>
  <c r="F58" i="51"/>
  <c r="F59" i="51"/>
  <c r="F60" i="51"/>
  <c r="F61" i="51"/>
  <c r="F62" i="51"/>
  <c r="F63" i="51"/>
  <c r="F64" i="51"/>
  <c r="F65" i="51"/>
  <c r="F66" i="51"/>
  <c r="F67" i="51"/>
  <c r="F68" i="51"/>
  <c r="F69" i="51"/>
  <c r="F70" i="51"/>
  <c r="F71" i="51"/>
  <c r="F72" i="51"/>
  <c r="F73" i="51"/>
  <c r="F74" i="51"/>
  <c r="F75" i="51"/>
  <c r="F76" i="51"/>
  <c r="F77" i="51"/>
  <c r="F78" i="51"/>
  <c r="F79" i="51"/>
  <c r="F80" i="51"/>
  <c r="F81" i="51"/>
  <c r="F82" i="51"/>
  <c r="F83" i="51"/>
  <c r="F84" i="51"/>
  <c r="F85" i="51"/>
  <c r="F86" i="51"/>
  <c r="F87" i="51"/>
  <c r="F88" i="51"/>
  <c r="F89" i="51"/>
  <c r="F90" i="51"/>
  <c r="F91" i="51"/>
  <c r="F92" i="51"/>
  <c r="F93" i="51"/>
  <c r="F48" i="51"/>
  <c r="J14" i="193" l="1"/>
  <c r="K14" i="193"/>
  <c r="L14" i="193"/>
  <c r="M14" i="193"/>
  <c r="N14" i="193"/>
  <c r="O14" i="193"/>
  <c r="C27" i="247" l="1"/>
  <c r="C24" i="247"/>
  <c r="C21" i="247"/>
  <c r="D21" i="247"/>
  <c r="D18" i="247"/>
  <c r="C18" i="247"/>
  <c r="N60" i="171" l="1"/>
  <c r="M60" i="171"/>
  <c r="L60" i="171"/>
  <c r="K60" i="171"/>
  <c r="J60" i="171"/>
  <c r="I60" i="171"/>
  <c r="H60" i="171"/>
  <c r="G60" i="171"/>
  <c r="F60" i="171"/>
  <c r="E60" i="171"/>
  <c r="D60" i="171"/>
  <c r="C60" i="171"/>
  <c r="K59" i="171"/>
  <c r="J59" i="171"/>
  <c r="I59" i="171"/>
  <c r="H59" i="171"/>
  <c r="G59" i="171"/>
  <c r="F59" i="171"/>
  <c r="E59" i="171"/>
  <c r="D59" i="171"/>
  <c r="C59" i="171"/>
  <c r="N58" i="171"/>
  <c r="M58" i="171"/>
  <c r="L58" i="171"/>
  <c r="K58" i="171"/>
  <c r="J58" i="171"/>
  <c r="I58" i="171"/>
  <c r="H58" i="171"/>
  <c r="G58" i="171"/>
  <c r="F58" i="171"/>
  <c r="E58" i="171"/>
  <c r="D58" i="171"/>
  <c r="C58" i="171"/>
  <c r="K45" i="171"/>
  <c r="J45" i="171"/>
  <c r="I45" i="171"/>
  <c r="H45" i="171"/>
  <c r="G45" i="171"/>
  <c r="F45" i="171"/>
  <c r="E45" i="171"/>
  <c r="D45" i="171"/>
  <c r="C45" i="171"/>
  <c r="N32" i="171"/>
  <c r="M32" i="171"/>
  <c r="L32" i="171"/>
  <c r="K32" i="171"/>
  <c r="J32" i="171"/>
  <c r="I32" i="171"/>
  <c r="H32" i="171"/>
  <c r="G32" i="171"/>
  <c r="F32" i="171"/>
  <c r="E32" i="171"/>
  <c r="D32" i="171"/>
  <c r="C32" i="171"/>
  <c r="N31" i="171"/>
  <c r="M31" i="171"/>
  <c r="L31" i="171"/>
  <c r="K31" i="171"/>
  <c r="J31" i="171"/>
  <c r="I31" i="171"/>
  <c r="H31" i="171"/>
  <c r="G31" i="171"/>
  <c r="F31" i="171"/>
  <c r="E31" i="171"/>
  <c r="D31" i="171"/>
  <c r="C31" i="171"/>
  <c r="K30" i="171"/>
  <c r="J30" i="171"/>
  <c r="I30" i="171"/>
  <c r="H30" i="171"/>
  <c r="G30" i="171"/>
  <c r="F30" i="171"/>
  <c r="E30" i="171"/>
  <c r="D30" i="171"/>
  <c r="C30" i="171"/>
  <c r="H22" i="171"/>
  <c r="G22" i="171"/>
  <c r="F22" i="171"/>
  <c r="E22" i="171"/>
  <c r="D22" i="171"/>
  <c r="C22" i="171"/>
  <c r="H21" i="171"/>
  <c r="G21" i="171"/>
  <c r="F21" i="171"/>
  <c r="E21" i="171"/>
  <c r="D21" i="171"/>
  <c r="C21" i="171"/>
  <c r="H20" i="171"/>
  <c r="G20" i="171"/>
  <c r="F20" i="171"/>
  <c r="E20" i="171"/>
  <c r="D20" i="171"/>
  <c r="C20" i="171"/>
  <c r="N19" i="171"/>
  <c r="M19" i="171"/>
  <c r="L19" i="171"/>
  <c r="K19" i="171"/>
  <c r="J19" i="171"/>
  <c r="I19" i="171"/>
  <c r="H19" i="171"/>
  <c r="G19" i="171"/>
  <c r="F19" i="171"/>
  <c r="E19" i="171"/>
  <c r="D19" i="171"/>
  <c r="C19" i="171"/>
  <c r="N18" i="171"/>
  <c r="M18" i="171"/>
  <c r="L18" i="171"/>
  <c r="K18" i="171"/>
  <c r="J18" i="171"/>
  <c r="I18" i="171"/>
  <c r="H18" i="171"/>
  <c r="G18" i="171"/>
  <c r="F18" i="171"/>
  <c r="E18" i="171"/>
  <c r="D18" i="171"/>
  <c r="C18" i="171"/>
  <c r="N17" i="171"/>
  <c r="M17" i="171"/>
  <c r="L17" i="171"/>
  <c r="K17" i="171"/>
  <c r="J17" i="171"/>
  <c r="I17" i="171"/>
  <c r="H17" i="171"/>
  <c r="G17" i="171"/>
  <c r="F17" i="171"/>
  <c r="E17" i="171"/>
  <c r="D17" i="171"/>
  <c r="C17" i="171"/>
  <c r="K16" i="171"/>
  <c r="J16" i="171"/>
  <c r="I16" i="171"/>
  <c r="H16" i="171"/>
  <c r="G16" i="171"/>
  <c r="F16" i="171"/>
  <c r="E16" i="171"/>
  <c r="D16" i="171"/>
  <c r="C16" i="171"/>
  <c r="N15" i="171"/>
  <c r="M15" i="171"/>
  <c r="L15" i="171"/>
  <c r="K15" i="171"/>
  <c r="J15" i="171"/>
  <c r="I15" i="171"/>
  <c r="H15" i="171"/>
  <c r="G15" i="171"/>
  <c r="F15" i="171"/>
  <c r="E15" i="171"/>
  <c r="D15" i="171"/>
  <c r="C15" i="171"/>
  <c r="E45" i="238" l="1"/>
  <c r="C45" i="238"/>
  <c r="D45" i="238"/>
  <c r="F45" i="238"/>
  <c r="G45" i="238"/>
  <c r="H45" i="238"/>
  <c r="M45" i="238" l="1"/>
  <c r="K45" i="238"/>
  <c r="L45" i="238"/>
  <c r="J45" i="238"/>
  <c r="N45" i="238"/>
  <c r="I45" i="238"/>
  <c r="D47" i="228" l="1"/>
  <c r="E47" i="228"/>
  <c r="F47" i="228"/>
  <c r="G47" i="228"/>
  <c r="H47" i="228"/>
  <c r="I47" i="228"/>
  <c r="J47" i="228"/>
  <c r="K47" i="228"/>
  <c r="L47" i="228"/>
  <c r="M47" i="228"/>
  <c r="N47" i="228"/>
  <c r="O47" i="228"/>
  <c r="A47" i="228"/>
  <c r="A48" i="228" s="1"/>
  <c r="A49" i="228" s="1"/>
  <c r="A50" i="228" s="1"/>
  <c r="A51" i="228" s="1"/>
  <c r="A52" i="228" s="1"/>
  <c r="A53" i="228" s="1"/>
  <c r="A54" i="228" s="1"/>
  <c r="A55" i="228" s="1"/>
  <c r="E62" i="228"/>
  <c r="F62" i="228"/>
  <c r="G62" i="228"/>
  <c r="H62" i="228"/>
  <c r="I62" i="228"/>
  <c r="J62" i="228"/>
  <c r="K62" i="228"/>
  <c r="L62" i="228"/>
  <c r="M62" i="228"/>
  <c r="N62" i="228"/>
  <c r="O62" i="228"/>
  <c r="D62" i="228"/>
  <c r="P47" i="228" l="1"/>
  <c r="E65" i="192"/>
  <c r="F65" i="192"/>
  <c r="G65" i="192"/>
  <c r="H65" i="192"/>
  <c r="I65" i="192"/>
  <c r="J65" i="192"/>
  <c r="K65" i="192"/>
  <c r="L65" i="192"/>
  <c r="M65" i="192"/>
  <c r="N65" i="192"/>
  <c r="O65" i="192"/>
  <c r="D65" i="192"/>
  <c r="D14" i="227" l="1"/>
  <c r="E14" i="227"/>
  <c r="F14" i="227"/>
  <c r="G14" i="227"/>
  <c r="H14" i="227"/>
  <c r="I14" i="227"/>
  <c r="J14" i="227"/>
  <c r="K14" i="227"/>
  <c r="L14" i="227"/>
  <c r="M14" i="227"/>
  <c r="N14" i="227"/>
  <c r="O14" i="227"/>
  <c r="D26" i="226"/>
  <c r="E26" i="226"/>
  <c r="F26" i="226"/>
  <c r="G26" i="226"/>
  <c r="H26" i="226"/>
  <c r="I26" i="226"/>
  <c r="J26" i="226"/>
  <c r="K26" i="226"/>
  <c r="L26" i="226"/>
  <c r="M26" i="226"/>
  <c r="N26" i="226"/>
  <c r="O26" i="226"/>
  <c r="A27" i="226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39" i="226" s="1"/>
  <c r="A40" i="226" s="1"/>
  <c r="A41" i="226" s="1"/>
  <c r="A42" i="226" s="1"/>
  <c r="A26" i="226"/>
  <c r="D20" i="226"/>
  <c r="E20" i="226"/>
  <c r="F20" i="226"/>
  <c r="G20" i="226"/>
  <c r="H20" i="226"/>
  <c r="I20" i="226"/>
  <c r="J20" i="226"/>
  <c r="K20" i="226"/>
  <c r="L20" i="226"/>
  <c r="M20" i="226"/>
  <c r="N20" i="226"/>
  <c r="O20" i="226"/>
  <c r="O37" i="226"/>
  <c r="N37" i="226"/>
  <c r="M37" i="226"/>
  <c r="L37" i="226"/>
  <c r="K37" i="226"/>
  <c r="J37" i="226"/>
  <c r="I37" i="226"/>
  <c r="H37" i="226"/>
  <c r="G37" i="226"/>
  <c r="F37" i="226"/>
  <c r="E37" i="226"/>
  <c r="D37" i="226"/>
  <c r="O36" i="226"/>
  <c r="N36" i="226"/>
  <c r="M36" i="226"/>
  <c r="L36" i="226"/>
  <c r="K36" i="226"/>
  <c r="J36" i="226"/>
  <c r="I36" i="226"/>
  <c r="H36" i="226"/>
  <c r="G36" i="226"/>
  <c r="F36" i="226"/>
  <c r="E36" i="226"/>
  <c r="D36" i="226"/>
  <c r="O35" i="226"/>
  <c r="N35" i="226"/>
  <c r="M35" i="226"/>
  <c r="L35" i="226"/>
  <c r="K35" i="226"/>
  <c r="J35" i="226"/>
  <c r="I35" i="226"/>
  <c r="H35" i="226"/>
  <c r="G35" i="226"/>
  <c r="F35" i="226"/>
  <c r="E35" i="226"/>
  <c r="D35" i="226"/>
  <c r="O34" i="226"/>
  <c r="N34" i="226"/>
  <c r="M34" i="226"/>
  <c r="L34" i="226"/>
  <c r="K34" i="226"/>
  <c r="J34" i="226"/>
  <c r="I34" i="226"/>
  <c r="H34" i="226"/>
  <c r="G34" i="226"/>
  <c r="F34" i="226"/>
  <c r="E34" i="226"/>
  <c r="D34" i="226"/>
  <c r="O33" i="226"/>
  <c r="N33" i="226"/>
  <c r="M33" i="226"/>
  <c r="L33" i="226"/>
  <c r="K33" i="226"/>
  <c r="J33" i="226"/>
  <c r="I33" i="226"/>
  <c r="H33" i="226"/>
  <c r="G33" i="226"/>
  <c r="F33" i="226"/>
  <c r="E33" i="226"/>
  <c r="D33" i="226"/>
  <c r="O32" i="226"/>
  <c r="N32" i="226"/>
  <c r="M32" i="226"/>
  <c r="L32" i="226"/>
  <c r="K32" i="226"/>
  <c r="J32" i="226"/>
  <c r="I32" i="226"/>
  <c r="H32" i="226"/>
  <c r="G32" i="226"/>
  <c r="F32" i="226"/>
  <c r="E32" i="226"/>
  <c r="D32" i="226"/>
  <c r="O31" i="226"/>
  <c r="N31" i="226"/>
  <c r="M31" i="226"/>
  <c r="L31" i="226"/>
  <c r="K31" i="226"/>
  <c r="J31" i="226"/>
  <c r="I31" i="226"/>
  <c r="H31" i="226"/>
  <c r="G31" i="226"/>
  <c r="F31" i="226"/>
  <c r="E31" i="226"/>
  <c r="D31" i="226"/>
  <c r="O30" i="226"/>
  <c r="N30" i="226"/>
  <c r="M30" i="226"/>
  <c r="L30" i="226"/>
  <c r="K30" i="226"/>
  <c r="J30" i="226"/>
  <c r="I30" i="226"/>
  <c r="H30" i="226"/>
  <c r="G30" i="226"/>
  <c r="F30" i="226"/>
  <c r="E30" i="226"/>
  <c r="D30" i="226"/>
  <c r="D15" i="226"/>
  <c r="E15" i="226"/>
  <c r="F15" i="226"/>
  <c r="G15" i="226"/>
  <c r="H15" i="226"/>
  <c r="I15" i="226"/>
  <c r="J15" i="226"/>
  <c r="K15" i="226"/>
  <c r="L15" i="226"/>
  <c r="M15" i="226"/>
  <c r="N15" i="226"/>
  <c r="O15" i="226"/>
  <c r="D16" i="226"/>
  <c r="E16" i="226"/>
  <c r="F16" i="226"/>
  <c r="G16" i="226"/>
  <c r="H16" i="226"/>
  <c r="I16" i="226"/>
  <c r="J16" i="226"/>
  <c r="K16" i="226"/>
  <c r="L16" i="226"/>
  <c r="M16" i="226"/>
  <c r="N16" i="226"/>
  <c r="O16" i="226"/>
  <c r="D17" i="226"/>
  <c r="E17" i="226"/>
  <c r="F17" i="226"/>
  <c r="G17" i="226"/>
  <c r="H17" i="226"/>
  <c r="I17" i="226"/>
  <c r="J17" i="226"/>
  <c r="K17" i="226"/>
  <c r="L17" i="226"/>
  <c r="M17" i="226"/>
  <c r="N17" i="226"/>
  <c r="O17" i="226"/>
  <c r="D18" i="226"/>
  <c r="E18" i="226"/>
  <c r="F18" i="226"/>
  <c r="G18" i="226"/>
  <c r="H18" i="226"/>
  <c r="I18" i="226"/>
  <c r="J18" i="226"/>
  <c r="K18" i="226"/>
  <c r="L18" i="226"/>
  <c r="M18" i="226"/>
  <c r="N18" i="226"/>
  <c r="O18" i="226"/>
  <c r="D19" i="226"/>
  <c r="E19" i="226"/>
  <c r="F19" i="226"/>
  <c r="G19" i="226"/>
  <c r="H19" i="226"/>
  <c r="I19" i="226"/>
  <c r="J19" i="226"/>
  <c r="K19" i="226"/>
  <c r="L19" i="226"/>
  <c r="M19" i="226"/>
  <c r="N19" i="226"/>
  <c r="O19" i="226"/>
  <c r="D21" i="226"/>
  <c r="E21" i="226"/>
  <c r="F21" i="226"/>
  <c r="G21" i="226"/>
  <c r="H21" i="226"/>
  <c r="I21" i="226"/>
  <c r="J21" i="226"/>
  <c r="K21" i="226"/>
  <c r="L21" i="226"/>
  <c r="M21" i="226"/>
  <c r="N21" i="226"/>
  <c r="O21" i="226"/>
  <c r="D22" i="226"/>
  <c r="E22" i="226"/>
  <c r="F22" i="226"/>
  <c r="G22" i="226"/>
  <c r="H22" i="226"/>
  <c r="I22" i="226"/>
  <c r="J22" i="226"/>
  <c r="K22" i="226"/>
  <c r="L22" i="226"/>
  <c r="M22" i="226"/>
  <c r="N22" i="226"/>
  <c r="O22" i="226"/>
  <c r="D23" i="226"/>
  <c r="E23" i="226"/>
  <c r="F23" i="226"/>
  <c r="G23" i="226"/>
  <c r="H23" i="226"/>
  <c r="I23" i="226"/>
  <c r="J23" i="226"/>
  <c r="K23" i="226"/>
  <c r="L23" i="226"/>
  <c r="M23" i="226"/>
  <c r="N23" i="226"/>
  <c r="O23" i="226"/>
  <c r="D24" i="226"/>
  <c r="E24" i="226"/>
  <c r="F24" i="226"/>
  <c r="G24" i="226"/>
  <c r="H24" i="226"/>
  <c r="I24" i="226"/>
  <c r="J24" i="226"/>
  <c r="K24" i="226"/>
  <c r="L24" i="226"/>
  <c r="M24" i="226"/>
  <c r="N24" i="226"/>
  <c r="O24" i="226"/>
  <c r="D25" i="226"/>
  <c r="E25" i="226"/>
  <c r="F25" i="226"/>
  <c r="G25" i="226"/>
  <c r="H25" i="226"/>
  <c r="I25" i="226"/>
  <c r="J25" i="226"/>
  <c r="K25" i="226"/>
  <c r="L25" i="226"/>
  <c r="M25" i="226"/>
  <c r="N25" i="226"/>
  <c r="O25" i="226"/>
  <c r="D27" i="226"/>
  <c r="E27" i="226"/>
  <c r="F27" i="226"/>
  <c r="G27" i="226"/>
  <c r="H27" i="226"/>
  <c r="I27" i="226"/>
  <c r="J27" i="226"/>
  <c r="K27" i="226"/>
  <c r="L27" i="226"/>
  <c r="M27" i="226"/>
  <c r="N27" i="226"/>
  <c r="O27" i="226"/>
  <c r="D28" i="226"/>
  <c r="E28" i="226"/>
  <c r="F28" i="226"/>
  <c r="G28" i="226"/>
  <c r="H28" i="226"/>
  <c r="I28" i="226"/>
  <c r="J28" i="226"/>
  <c r="K28" i="226"/>
  <c r="L28" i="226"/>
  <c r="M28" i="226"/>
  <c r="N28" i="226"/>
  <c r="O28" i="226"/>
  <c r="O14" i="226"/>
  <c r="N14" i="226"/>
  <c r="M14" i="226"/>
  <c r="L14" i="226"/>
  <c r="K14" i="226"/>
  <c r="J14" i="226"/>
  <c r="I14" i="226"/>
  <c r="H14" i="226"/>
  <c r="G14" i="226"/>
  <c r="F14" i="226"/>
  <c r="J18" i="190"/>
  <c r="K18" i="190"/>
  <c r="L18" i="190"/>
  <c r="M18" i="190"/>
  <c r="N18" i="190"/>
  <c r="O18" i="190"/>
  <c r="E18" i="190"/>
  <c r="F18" i="190"/>
  <c r="G18" i="190"/>
  <c r="H18" i="190"/>
  <c r="I18" i="190"/>
  <c r="D18" i="190"/>
  <c r="P18" i="190" l="1"/>
  <c r="P20" i="226"/>
  <c r="P26" i="226"/>
  <c r="E57" i="190"/>
  <c r="F57" i="190"/>
  <c r="G57" i="190"/>
  <c r="H57" i="190"/>
  <c r="I57" i="190"/>
  <c r="J57" i="190"/>
  <c r="K57" i="190"/>
  <c r="L57" i="190"/>
  <c r="M57" i="190"/>
  <c r="N57" i="190"/>
  <c r="O57" i="190"/>
  <c r="D57" i="190"/>
  <c r="P29" i="222"/>
  <c r="J111" i="44"/>
  <c r="J110" i="44"/>
  <c r="J109" i="44"/>
  <c r="J108" i="44"/>
  <c r="J107" i="44"/>
  <c r="J106" i="44"/>
  <c r="J105" i="44"/>
  <c r="J104" i="44"/>
  <c r="J103" i="44"/>
  <c r="J101" i="44"/>
  <c r="J100" i="44"/>
  <c r="J99" i="44"/>
  <c r="J98" i="44"/>
  <c r="J97" i="44"/>
  <c r="J96" i="44"/>
  <c r="J95" i="44"/>
  <c r="J94" i="44"/>
  <c r="J93" i="44"/>
  <c r="J92" i="44"/>
  <c r="J91" i="44"/>
  <c r="J90" i="44"/>
  <c r="J89" i="44"/>
  <c r="J88" i="44"/>
  <c r="J87" i="44"/>
  <c r="J86" i="44"/>
  <c r="J85" i="44"/>
  <c r="J84" i="44"/>
  <c r="J83" i="44"/>
  <c r="J82" i="44"/>
  <c r="J81" i="44"/>
  <c r="J80" i="44"/>
  <c r="J79" i="44"/>
  <c r="J78" i="44"/>
  <c r="J77" i="44"/>
  <c r="J76" i="44"/>
  <c r="J75" i="44"/>
  <c r="J74" i="44"/>
  <c r="J73" i="44"/>
  <c r="J72" i="44"/>
  <c r="J71" i="44"/>
  <c r="J70" i="44"/>
  <c r="J69" i="44"/>
  <c r="J68" i="44"/>
  <c r="J67" i="44"/>
  <c r="J66" i="44"/>
  <c r="J65" i="44"/>
  <c r="J64" i="44"/>
  <c r="J63" i="44"/>
  <c r="J62" i="44"/>
  <c r="J61" i="44"/>
  <c r="J60" i="44"/>
  <c r="J59" i="44"/>
  <c r="J58" i="44"/>
  <c r="J57" i="44"/>
  <c r="J56" i="44"/>
  <c r="J55" i="44"/>
  <c r="J54" i="44"/>
  <c r="J53" i="44"/>
  <c r="J52" i="44"/>
  <c r="J51" i="44"/>
  <c r="J50" i="44"/>
  <c r="J49" i="44"/>
  <c r="J48" i="44"/>
  <c r="J47" i="44"/>
  <c r="J31" i="44"/>
  <c r="J30" i="44"/>
  <c r="E124" i="44"/>
  <c r="F124" i="44"/>
  <c r="G124" i="44"/>
  <c r="H124" i="44"/>
  <c r="I124" i="44"/>
  <c r="J124" i="44"/>
  <c r="D124" i="44"/>
  <c r="O49" i="228" l="1"/>
  <c r="N49" i="228"/>
  <c r="M49" i="228"/>
  <c r="L49" i="228"/>
  <c r="K49" i="228"/>
  <c r="J49" i="228"/>
  <c r="I49" i="228"/>
  <c r="H49" i="228"/>
  <c r="G49" i="228"/>
  <c r="F49" i="228"/>
  <c r="E49" i="228"/>
  <c r="D49" i="228"/>
  <c r="O48" i="228"/>
  <c r="N48" i="228"/>
  <c r="M48" i="228"/>
  <c r="L48" i="228"/>
  <c r="K48" i="228"/>
  <c r="J48" i="228"/>
  <c r="I48" i="228"/>
  <c r="H48" i="228"/>
  <c r="G48" i="228"/>
  <c r="F48" i="228"/>
  <c r="E48" i="228"/>
  <c r="D48" i="228"/>
  <c r="O46" i="228"/>
  <c r="N46" i="228"/>
  <c r="M46" i="228"/>
  <c r="L46" i="228"/>
  <c r="K46" i="228"/>
  <c r="J46" i="228"/>
  <c r="I46" i="228"/>
  <c r="H46" i="228"/>
  <c r="G46" i="228"/>
  <c r="F46" i="228"/>
  <c r="E46" i="228"/>
  <c r="D46" i="228"/>
  <c r="O45" i="228"/>
  <c r="N45" i="228"/>
  <c r="M45" i="228"/>
  <c r="L45" i="228"/>
  <c r="K45" i="228"/>
  <c r="J45" i="228"/>
  <c r="I45" i="228"/>
  <c r="H45" i="228"/>
  <c r="G45" i="228"/>
  <c r="F45" i="228"/>
  <c r="E45" i="228"/>
  <c r="D45" i="228"/>
  <c r="O44" i="228"/>
  <c r="N44" i="228"/>
  <c r="M44" i="228"/>
  <c r="L44" i="228"/>
  <c r="K44" i="228"/>
  <c r="J44" i="228"/>
  <c r="I44" i="228"/>
  <c r="H44" i="228"/>
  <c r="G44" i="228"/>
  <c r="F44" i="228"/>
  <c r="E44" i="228"/>
  <c r="D44" i="228"/>
  <c r="O43" i="228"/>
  <c r="N43" i="228"/>
  <c r="M43" i="228"/>
  <c r="L43" i="228"/>
  <c r="K43" i="228"/>
  <c r="J43" i="228"/>
  <c r="I43" i="228"/>
  <c r="H43" i="228"/>
  <c r="G43" i="228"/>
  <c r="F43" i="228"/>
  <c r="E43" i="228"/>
  <c r="D43" i="228"/>
  <c r="D16" i="228"/>
  <c r="E16" i="228"/>
  <c r="F16" i="228"/>
  <c r="G16" i="228"/>
  <c r="H16" i="228"/>
  <c r="I16" i="228"/>
  <c r="J16" i="228"/>
  <c r="K16" i="228"/>
  <c r="L16" i="228"/>
  <c r="M16" i="228"/>
  <c r="N16" i="228"/>
  <c r="O16" i="228"/>
  <c r="D17" i="228"/>
  <c r="E17" i="228"/>
  <c r="F17" i="228"/>
  <c r="G17" i="228"/>
  <c r="H17" i="228"/>
  <c r="I17" i="228"/>
  <c r="J17" i="228"/>
  <c r="K17" i="228"/>
  <c r="L17" i="228"/>
  <c r="M17" i="228"/>
  <c r="N17" i="228"/>
  <c r="O17" i="228"/>
  <c r="D18" i="228"/>
  <c r="E18" i="228"/>
  <c r="F18" i="228"/>
  <c r="G18" i="228"/>
  <c r="H18" i="228"/>
  <c r="I18" i="228"/>
  <c r="J18" i="228"/>
  <c r="K18" i="228"/>
  <c r="L18" i="228"/>
  <c r="M18" i="228"/>
  <c r="N18" i="228"/>
  <c r="O18" i="228"/>
  <c r="D19" i="228"/>
  <c r="E19" i="228"/>
  <c r="F19" i="228"/>
  <c r="G19" i="228"/>
  <c r="H19" i="228"/>
  <c r="I19" i="228"/>
  <c r="J19" i="228"/>
  <c r="K19" i="228"/>
  <c r="L19" i="228"/>
  <c r="M19" i="228"/>
  <c r="N19" i="228"/>
  <c r="O19" i="228"/>
  <c r="D20" i="228"/>
  <c r="E20" i="228"/>
  <c r="F20" i="228"/>
  <c r="G20" i="228"/>
  <c r="H20" i="228"/>
  <c r="I20" i="228"/>
  <c r="J20" i="228"/>
  <c r="K20" i="228"/>
  <c r="L20" i="228"/>
  <c r="M20" i="228"/>
  <c r="N20" i="228"/>
  <c r="O20" i="228"/>
  <c r="D21" i="228"/>
  <c r="E21" i="228"/>
  <c r="F21" i="228"/>
  <c r="G21" i="228"/>
  <c r="H21" i="228"/>
  <c r="I21" i="228"/>
  <c r="J21" i="228"/>
  <c r="K21" i="228"/>
  <c r="L21" i="228"/>
  <c r="M21" i="228"/>
  <c r="N21" i="228"/>
  <c r="O21" i="228"/>
  <c r="D22" i="228"/>
  <c r="E22" i="228"/>
  <c r="F22" i="228"/>
  <c r="G22" i="228"/>
  <c r="H22" i="228"/>
  <c r="I22" i="228"/>
  <c r="J22" i="228"/>
  <c r="K22" i="228"/>
  <c r="L22" i="228"/>
  <c r="M22" i="228"/>
  <c r="N22" i="228"/>
  <c r="O22" i="228"/>
  <c r="D23" i="228"/>
  <c r="E23" i="228"/>
  <c r="F23" i="228"/>
  <c r="G23" i="228"/>
  <c r="H23" i="228"/>
  <c r="I23" i="228"/>
  <c r="J23" i="228"/>
  <c r="K23" i="228"/>
  <c r="L23" i="228"/>
  <c r="M23" i="228"/>
  <c r="N23" i="228"/>
  <c r="O23" i="228"/>
  <c r="D24" i="228"/>
  <c r="E24" i="228"/>
  <c r="F24" i="228"/>
  <c r="G24" i="228"/>
  <c r="H24" i="228"/>
  <c r="I24" i="228"/>
  <c r="J24" i="228"/>
  <c r="K24" i="228"/>
  <c r="L24" i="228"/>
  <c r="M24" i="228"/>
  <c r="N24" i="228"/>
  <c r="O24" i="228"/>
  <c r="D25" i="228"/>
  <c r="E25" i="228"/>
  <c r="F25" i="228"/>
  <c r="G25" i="228"/>
  <c r="H25" i="228"/>
  <c r="I25" i="228"/>
  <c r="J25" i="228"/>
  <c r="K25" i="228"/>
  <c r="L25" i="228"/>
  <c r="M25" i="228"/>
  <c r="N25" i="228"/>
  <c r="O25" i="228"/>
  <c r="D26" i="228"/>
  <c r="E26" i="228"/>
  <c r="F26" i="228"/>
  <c r="G26" i="228"/>
  <c r="H26" i="228"/>
  <c r="I26" i="228"/>
  <c r="J26" i="228"/>
  <c r="K26" i="228"/>
  <c r="L26" i="228"/>
  <c r="M26" i="228"/>
  <c r="N26" i="228"/>
  <c r="O26" i="228"/>
  <c r="D27" i="228"/>
  <c r="E27" i="228"/>
  <c r="F27" i="228"/>
  <c r="G27" i="228"/>
  <c r="H27" i="228"/>
  <c r="I27" i="228"/>
  <c r="J27" i="228"/>
  <c r="K27" i="228"/>
  <c r="L27" i="228"/>
  <c r="M27" i="228"/>
  <c r="N27" i="228"/>
  <c r="O27" i="228"/>
  <c r="D28" i="228"/>
  <c r="E28" i="228"/>
  <c r="F28" i="228"/>
  <c r="G28" i="228"/>
  <c r="H28" i="228"/>
  <c r="I28" i="228"/>
  <c r="J28" i="228"/>
  <c r="K28" i="228"/>
  <c r="L28" i="228"/>
  <c r="M28" i="228"/>
  <c r="N28" i="228"/>
  <c r="O28" i="228"/>
  <c r="D29" i="228"/>
  <c r="E29" i="228"/>
  <c r="F29" i="228"/>
  <c r="G29" i="228"/>
  <c r="H29" i="228"/>
  <c r="I29" i="228"/>
  <c r="J29" i="228"/>
  <c r="K29" i="228"/>
  <c r="L29" i="228"/>
  <c r="M29" i="228"/>
  <c r="N29" i="228"/>
  <c r="O29" i="228"/>
  <c r="D30" i="228"/>
  <c r="E30" i="228"/>
  <c r="F30" i="228"/>
  <c r="G30" i="228"/>
  <c r="H30" i="228"/>
  <c r="I30" i="228"/>
  <c r="J30" i="228"/>
  <c r="K30" i="228"/>
  <c r="L30" i="228"/>
  <c r="M30" i="228"/>
  <c r="N30" i="228"/>
  <c r="O30" i="228"/>
  <c r="D31" i="228"/>
  <c r="E31" i="228"/>
  <c r="F31" i="228"/>
  <c r="G31" i="228"/>
  <c r="H31" i="228"/>
  <c r="I31" i="228"/>
  <c r="J31" i="228"/>
  <c r="K31" i="228"/>
  <c r="L31" i="228"/>
  <c r="M31" i="228"/>
  <c r="N31" i="228"/>
  <c r="O31" i="228"/>
  <c r="D32" i="228"/>
  <c r="E32" i="228"/>
  <c r="F32" i="228"/>
  <c r="G32" i="228"/>
  <c r="H32" i="228"/>
  <c r="I32" i="228"/>
  <c r="J32" i="228"/>
  <c r="K32" i="228"/>
  <c r="L32" i="228"/>
  <c r="M32" i="228"/>
  <c r="N32" i="228"/>
  <c r="O32" i="228"/>
  <c r="D33" i="228"/>
  <c r="E33" i="228"/>
  <c r="F33" i="228"/>
  <c r="G33" i="228"/>
  <c r="H33" i="228"/>
  <c r="I33" i="228"/>
  <c r="J33" i="228"/>
  <c r="K33" i="228"/>
  <c r="L33" i="228"/>
  <c r="M33" i="228"/>
  <c r="N33" i="228"/>
  <c r="O33" i="228"/>
  <c r="D34" i="228"/>
  <c r="E34" i="228"/>
  <c r="F34" i="228"/>
  <c r="G34" i="228"/>
  <c r="H34" i="228"/>
  <c r="I34" i="228"/>
  <c r="J34" i="228"/>
  <c r="K34" i="228"/>
  <c r="L34" i="228"/>
  <c r="M34" i="228"/>
  <c r="N34" i="228"/>
  <c r="O34" i="228"/>
  <c r="D35" i="228"/>
  <c r="E35" i="228"/>
  <c r="F35" i="228"/>
  <c r="G35" i="228"/>
  <c r="H35" i="228"/>
  <c r="I35" i="228"/>
  <c r="J35" i="228"/>
  <c r="K35" i="228"/>
  <c r="L35" i="228"/>
  <c r="M35" i="228"/>
  <c r="N35" i="228"/>
  <c r="O35" i="228"/>
  <c r="D36" i="228"/>
  <c r="E36" i="228"/>
  <c r="F36" i="228"/>
  <c r="G36" i="228"/>
  <c r="H36" i="228"/>
  <c r="I36" i="228"/>
  <c r="J36" i="228"/>
  <c r="K36" i="228"/>
  <c r="L36" i="228"/>
  <c r="M36" i="228"/>
  <c r="N36" i="228"/>
  <c r="O36" i="228"/>
  <c r="D37" i="228"/>
  <c r="E37" i="228"/>
  <c r="F37" i="228"/>
  <c r="G37" i="228"/>
  <c r="H37" i="228"/>
  <c r="I37" i="228"/>
  <c r="J37" i="228"/>
  <c r="K37" i="228"/>
  <c r="L37" i="228"/>
  <c r="M37" i="228"/>
  <c r="N37" i="228"/>
  <c r="O37" i="228"/>
  <c r="D38" i="228"/>
  <c r="E38" i="228"/>
  <c r="F38" i="228"/>
  <c r="G38" i="228"/>
  <c r="H38" i="228"/>
  <c r="I38" i="228"/>
  <c r="J38" i="228"/>
  <c r="K38" i="228"/>
  <c r="L38" i="228"/>
  <c r="M38" i="228"/>
  <c r="N38" i="228"/>
  <c r="O38" i="228"/>
  <c r="D39" i="228"/>
  <c r="E39" i="228"/>
  <c r="F39" i="228"/>
  <c r="G39" i="228"/>
  <c r="H39" i="228"/>
  <c r="I39" i="228"/>
  <c r="J39" i="228"/>
  <c r="K39" i="228"/>
  <c r="L39" i="228"/>
  <c r="M39" i="228"/>
  <c r="N39" i="228"/>
  <c r="O39" i="228"/>
  <c r="D40" i="228"/>
  <c r="E40" i="228"/>
  <c r="F40" i="228"/>
  <c r="G40" i="228"/>
  <c r="H40" i="228"/>
  <c r="I40" i="228"/>
  <c r="J40" i="228"/>
  <c r="K40" i="228"/>
  <c r="L40" i="228"/>
  <c r="M40" i="228"/>
  <c r="N40" i="228"/>
  <c r="O40" i="228"/>
  <c r="D41" i="228"/>
  <c r="E41" i="228"/>
  <c r="F41" i="228"/>
  <c r="G41" i="228"/>
  <c r="H41" i="228"/>
  <c r="I41" i="228"/>
  <c r="J41" i="228"/>
  <c r="K41" i="228"/>
  <c r="L41" i="228"/>
  <c r="M41" i="228"/>
  <c r="N41" i="228"/>
  <c r="O41" i="228"/>
  <c r="O15" i="228"/>
  <c r="N15" i="228"/>
  <c r="M15" i="228"/>
  <c r="L15" i="228"/>
  <c r="K15" i="228"/>
  <c r="J15" i="228"/>
  <c r="I15" i="228"/>
  <c r="H15" i="228"/>
  <c r="G15" i="228"/>
  <c r="F15" i="228"/>
  <c r="E15" i="228"/>
  <c r="D15" i="228"/>
  <c r="O28" i="227"/>
  <c r="N28" i="227"/>
  <c r="M28" i="227"/>
  <c r="L28" i="227"/>
  <c r="K28" i="227"/>
  <c r="J28" i="227"/>
  <c r="I28" i="227"/>
  <c r="H28" i="227"/>
  <c r="G28" i="227"/>
  <c r="F28" i="227"/>
  <c r="E28" i="227"/>
  <c r="D28" i="227"/>
  <c r="O27" i="227"/>
  <c r="N27" i="227"/>
  <c r="M27" i="227"/>
  <c r="L27" i="227"/>
  <c r="K27" i="227"/>
  <c r="J27" i="227"/>
  <c r="I27" i="227"/>
  <c r="H27" i="227"/>
  <c r="G27" i="227"/>
  <c r="F27" i="227"/>
  <c r="E27" i="227"/>
  <c r="D27" i="227"/>
  <c r="O26" i="227"/>
  <c r="N26" i="227"/>
  <c r="M26" i="227"/>
  <c r="L26" i="227"/>
  <c r="K26" i="227"/>
  <c r="J26" i="227"/>
  <c r="I26" i="227"/>
  <c r="H26" i="227"/>
  <c r="G26" i="227"/>
  <c r="F26" i="227"/>
  <c r="E26" i="227"/>
  <c r="D26" i="227"/>
  <c r="O25" i="227"/>
  <c r="N25" i="227"/>
  <c r="M25" i="227"/>
  <c r="L25" i="227"/>
  <c r="K25" i="227"/>
  <c r="J25" i="227"/>
  <c r="I25" i="227"/>
  <c r="H25" i="227"/>
  <c r="G25" i="227"/>
  <c r="F25" i="227"/>
  <c r="E25" i="227"/>
  <c r="D25" i="227"/>
  <c r="O24" i="227"/>
  <c r="N24" i="227"/>
  <c r="M24" i="227"/>
  <c r="L24" i="227"/>
  <c r="K24" i="227"/>
  <c r="J24" i="227"/>
  <c r="I24" i="227"/>
  <c r="H24" i="227"/>
  <c r="G24" i="227"/>
  <c r="F24" i="227"/>
  <c r="E24" i="227"/>
  <c r="D24" i="227"/>
  <c r="O23" i="227"/>
  <c r="N23" i="227"/>
  <c r="M23" i="227"/>
  <c r="L23" i="227"/>
  <c r="K23" i="227"/>
  <c r="J23" i="227"/>
  <c r="I23" i="227"/>
  <c r="H23" i="227"/>
  <c r="G23" i="227"/>
  <c r="F23" i="227"/>
  <c r="E23" i="227"/>
  <c r="D23" i="227"/>
  <c r="O21" i="227"/>
  <c r="N21" i="227"/>
  <c r="M21" i="227"/>
  <c r="L21" i="227"/>
  <c r="K21" i="227"/>
  <c r="J21" i="227"/>
  <c r="I21" i="227"/>
  <c r="H21" i="227"/>
  <c r="G21" i="227"/>
  <c r="F21" i="227"/>
  <c r="E21" i="227"/>
  <c r="D21" i="227"/>
  <c r="O20" i="227"/>
  <c r="N20" i="227"/>
  <c r="M20" i="227"/>
  <c r="L20" i="227"/>
  <c r="K20" i="227"/>
  <c r="J20" i="227"/>
  <c r="I20" i="227"/>
  <c r="H20" i="227"/>
  <c r="G20" i="227"/>
  <c r="F20" i="227"/>
  <c r="E20" i="227"/>
  <c r="D20" i="227"/>
  <c r="O19" i="227"/>
  <c r="N19" i="227"/>
  <c r="M19" i="227"/>
  <c r="L19" i="227"/>
  <c r="K19" i="227"/>
  <c r="J19" i="227"/>
  <c r="I19" i="227"/>
  <c r="H19" i="227"/>
  <c r="G19" i="227"/>
  <c r="F19" i="227"/>
  <c r="E19" i="227"/>
  <c r="D19" i="227"/>
  <c r="O18" i="227"/>
  <c r="N18" i="227"/>
  <c r="M18" i="227"/>
  <c r="L18" i="227"/>
  <c r="K18" i="227"/>
  <c r="J18" i="227"/>
  <c r="I18" i="227"/>
  <c r="H18" i="227"/>
  <c r="G18" i="227"/>
  <c r="F18" i="227"/>
  <c r="E18" i="227"/>
  <c r="D18" i="227"/>
  <c r="O17" i="227"/>
  <c r="N17" i="227"/>
  <c r="M17" i="227"/>
  <c r="L17" i="227"/>
  <c r="K17" i="227"/>
  <c r="J17" i="227"/>
  <c r="I17" i="227"/>
  <c r="H17" i="227"/>
  <c r="G17" i="227"/>
  <c r="F17" i="227"/>
  <c r="E17" i="227"/>
  <c r="D17" i="227"/>
  <c r="O16" i="227"/>
  <c r="N16" i="227"/>
  <c r="M16" i="227"/>
  <c r="L16" i="227"/>
  <c r="K16" i="227"/>
  <c r="J16" i="227"/>
  <c r="I16" i="227"/>
  <c r="H16" i="227"/>
  <c r="G16" i="227"/>
  <c r="F16" i="227"/>
  <c r="E16" i="227"/>
  <c r="D16" i="227"/>
  <c r="O15" i="227"/>
  <c r="N15" i="227"/>
  <c r="M15" i="227"/>
  <c r="L15" i="227"/>
  <c r="K15" i="227"/>
  <c r="J15" i="227"/>
  <c r="I15" i="227"/>
  <c r="H15" i="227"/>
  <c r="G15" i="227"/>
  <c r="F15" i="227"/>
  <c r="E15" i="227"/>
  <c r="D15" i="227"/>
  <c r="E14" i="226"/>
  <c r="D14" i="226"/>
  <c r="A50" i="192"/>
  <c r="A51" i="192" s="1"/>
  <c r="A52" i="192" s="1"/>
  <c r="A53" i="192" s="1"/>
  <c r="A54" i="192" s="1"/>
  <c r="A55" i="192" s="1"/>
  <c r="A56" i="192" s="1"/>
  <c r="A57" i="192" s="1"/>
  <c r="O49" i="192"/>
  <c r="N49" i="192"/>
  <c r="M49" i="192"/>
  <c r="L49" i="192"/>
  <c r="K49" i="192"/>
  <c r="J49" i="192"/>
  <c r="O51" i="192"/>
  <c r="N51" i="192"/>
  <c r="M51" i="192"/>
  <c r="L51" i="192"/>
  <c r="K51" i="192"/>
  <c r="J51" i="192"/>
  <c r="O50" i="192"/>
  <c r="N50" i="192"/>
  <c r="M50" i="192"/>
  <c r="L50" i="192"/>
  <c r="K50" i="192"/>
  <c r="J50" i="192"/>
  <c r="O48" i="192"/>
  <c r="N48" i="192"/>
  <c r="M48" i="192"/>
  <c r="L48" i="192"/>
  <c r="K48" i="192"/>
  <c r="J48" i="192"/>
  <c r="O47" i="192"/>
  <c r="N47" i="192"/>
  <c r="M47" i="192"/>
  <c r="L47" i="192"/>
  <c r="K47" i="192"/>
  <c r="J47" i="192"/>
  <c r="O46" i="192"/>
  <c r="N46" i="192"/>
  <c r="M46" i="192"/>
  <c r="L46" i="192"/>
  <c r="K46" i="192"/>
  <c r="J46" i="192"/>
  <c r="O45" i="192"/>
  <c r="N45" i="192"/>
  <c r="M45" i="192"/>
  <c r="L45" i="192"/>
  <c r="K45" i="192"/>
  <c r="J45" i="192"/>
  <c r="J18" i="192"/>
  <c r="K18" i="192"/>
  <c r="L18" i="192"/>
  <c r="M18" i="192"/>
  <c r="N18" i="192"/>
  <c r="O18" i="192"/>
  <c r="J19" i="192"/>
  <c r="K19" i="192"/>
  <c r="L19" i="192"/>
  <c r="M19" i="192"/>
  <c r="N19" i="192"/>
  <c r="O19" i="192"/>
  <c r="J20" i="192"/>
  <c r="K20" i="192"/>
  <c r="L20" i="192"/>
  <c r="M20" i="192"/>
  <c r="N20" i="192"/>
  <c r="O20" i="192"/>
  <c r="J21" i="192"/>
  <c r="K21" i="192"/>
  <c r="L21" i="192"/>
  <c r="M21" i="192"/>
  <c r="N21" i="192"/>
  <c r="O21" i="192"/>
  <c r="J22" i="192"/>
  <c r="K22" i="192"/>
  <c r="L22" i="192"/>
  <c r="M22" i="192"/>
  <c r="N22" i="192"/>
  <c r="O22" i="192"/>
  <c r="J23" i="192"/>
  <c r="K23" i="192"/>
  <c r="L23" i="192"/>
  <c r="M23" i="192"/>
  <c r="N23" i="192"/>
  <c r="O23" i="192"/>
  <c r="J24" i="192"/>
  <c r="K24" i="192"/>
  <c r="L24" i="192"/>
  <c r="M24" i="192"/>
  <c r="N24" i="192"/>
  <c r="O24" i="192"/>
  <c r="J25" i="192"/>
  <c r="K25" i="192"/>
  <c r="L25" i="192"/>
  <c r="M25" i="192"/>
  <c r="N25" i="192"/>
  <c r="O25" i="192"/>
  <c r="J26" i="192"/>
  <c r="K26" i="192"/>
  <c r="L26" i="192"/>
  <c r="M26" i="192"/>
  <c r="N26" i="192"/>
  <c r="O26" i="192"/>
  <c r="J27" i="192"/>
  <c r="K27" i="192"/>
  <c r="L27" i="192"/>
  <c r="M27" i="192"/>
  <c r="N27" i="192"/>
  <c r="O27" i="192"/>
  <c r="J28" i="192"/>
  <c r="K28" i="192"/>
  <c r="L28" i="192"/>
  <c r="M28" i="192"/>
  <c r="N28" i="192"/>
  <c r="O28" i="192"/>
  <c r="J29" i="192"/>
  <c r="K29" i="192"/>
  <c r="L29" i="192"/>
  <c r="M29" i="192"/>
  <c r="N29" i="192"/>
  <c r="O29" i="192"/>
  <c r="J30" i="192"/>
  <c r="K30" i="192"/>
  <c r="L30" i="192"/>
  <c r="M30" i="192"/>
  <c r="N30" i="192"/>
  <c r="O30" i="192"/>
  <c r="J31" i="192"/>
  <c r="K31" i="192"/>
  <c r="L31" i="192"/>
  <c r="M31" i="192"/>
  <c r="N31" i="192"/>
  <c r="O31" i="192"/>
  <c r="J32" i="192"/>
  <c r="K32" i="192"/>
  <c r="L32" i="192"/>
  <c r="M32" i="192"/>
  <c r="N32" i="192"/>
  <c r="O32" i="192"/>
  <c r="J33" i="192"/>
  <c r="K33" i="192"/>
  <c r="L33" i="192"/>
  <c r="M33" i="192"/>
  <c r="N33" i="192"/>
  <c r="O33" i="192"/>
  <c r="J34" i="192"/>
  <c r="K34" i="192"/>
  <c r="L34" i="192"/>
  <c r="M34" i="192"/>
  <c r="N34" i="192"/>
  <c r="O34" i="192"/>
  <c r="J35" i="192"/>
  <c r="K35" i="192"/>
  <c r="L35" i="192"/>
  <c r="M35" i="192"/>
  <c r="N35" i="192"/>
  <c r="O35" i="192"/>
  <c r="J36" i="192"/>
  <c r="K36" i="192"/>
  <c r="L36" i="192"/>
  <c r="M36" i="192"/>
  <c r="N36" i="192"/>
  <c r="O36" i="192"/>
  <c r="J37" i="192"/>
  <c r="K37" i="192"/>
  <c r="L37" i="192"/>
  <c r="M37" i="192"/>
  <c r="N37" i="192"/>
  <c r="O37" i="192"/>
  <c r="J38" i="192"/>
  <c r="K38" i="192"/>
  <c r="L38" i="192"/>
  <c r="M38" i="192"/>
  <c r="N38" i="192"/>
  <c r="O38" i="192"/>
  <c r="J39" i="192"/>
  <c r="K39" i="192"/>
  <c r="L39" i="192"/>
  <c r="M39" i="192"/>
  <c r="N39" i="192"/>
  <c r="O39" i="192"/>
  <c r="J40" i="192"/>
  <c r="K40" i="192"/>
  <c r="L40" i="192"/>
  <c r="M40" i="192"/>
  <c r="N40" i="192"/>
  <c r="O40" i="192"/>
  <c r="J41" i="192"/>
  <c r="K41" i="192"/>
  <c r="L41" i="192"/>
  <c r="M41" i="192"/>
  <c r="N41" i="192"/>
  <c r="O41" i="192"/>
  <c r="J42" i="192"/>
  <c r="K42" i="192"/>
  <c r="L42" i="192"/>
  <c r="M42" i="192"/>
  <c r="N42" i="192"/>
  <c r="O42" i="192"/>
  <c r="J43" i="192"/>
  <c r="K43" i="192"/>
  <c r="L43" i="192"/>
  <c r="M43" i="192"/>
  <c r="N43" i="192"/>
  <c r="O43" i="192"/>
  <c r="O17" i="192"/>
  <c r="N17" i="192"/>
  <c r="M17" i="192"/>
  <c r="L17" i="192"/>
  <c r="K17" i="192"/>
  <c r="J17" i="192"/>
  <c r="A49" i="192"/>
  <c r="A37" i="192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36" i="192"/>
  <c r="O28" i="193"/>
  <c r="N28" i="193"/>
  <c r="M28" i="193"/>
  <c r="L28" i="193"/>
  <c r="K28" i="193"/>
  <c r="J28" i="193"/>
  <c r="O27" i="193"/>
  <c r="N27" i="193"/>
  <c r="M27" i="193"/>
  <c r="L27" i="193"/>
  <c r="K27" i="193"/>
  <c r="J27" i="193"/>
  <c r="O26" i="193"/>
  <c r="N26" i="193"/>
  <c r="M26" i="193"/>
  <c r="L26" i="193"/>
  <c r="K26" i="193"/>
  <c r="J26" i="193"/>
  <c r="O25" i="193"/>
  <c r="N25" i="193"/>
  <c r="M25" i="193"/>
  <c r="L25" i="193"/>
  <c r="K25" i="193"/>
  <c r="J25" i="193"/>
  <c r="O24" i="193"/>
  <c r="N24" i="193"/>
  <c r="M24" i="193"/>
  <c r="L24" i="193"/>
  <c r="K24" i="193"/>
  <c r="J24" i="193"/>
  <c r="O23" i="193"/>
  <c r="N23" i="193"/>
  <c r="M23" i="193"/>
  <c r="L23" i="193"/>
  <c r="K23" i="193"/>
  <c r="J23" i="193"/>
  <c r="O21" i="193"/>
  <c r="N21" i="193"/>
  <c r="M21" i="193"/>
  <c r="L21" i="193"/>
  <c r="K21" i="193"/>
  <c r="J21" i="193"/>
  <c r="O20" i="193"/>
  <c r="N20" i="193"/>
  <c r="M20" i="193"/>
  <c r="L20" i="193"/>
  <c r="K20" i="193"/>
  <c r="J20" i="193"/>
  <c r="O19" i="193"/>
  <c r="N19" i="193"/>
  <c r="M19" i="193"/>
  <c r="L19" i="193"/>
  <c r="K19" i="193"/>
  <c r="J19" i="193"/>
  <c r="O18" i="193"/>
  <c r="N18" i="193"/>
  <c r="M18" i="193"/>
  <c r="L18" i="193"/>
  <c r="K18" i="193"/>
  <c r="J18" i="193"/>
  <c r="O17" i="193"/>
  <c r="N17" i="193"/>
  <c r="M17" i="193"/>
  <c r="L17" i="193"/>
  <c r="K17" i="193"/>
  <c r="J17" i="193"/>
  <c r="O16" i="193"/>
  <c r="N16" i="193"/>
  <c r="M16" i="193"/>
  <c r="L16" i="193"/>
  <c r="K16" i="193"/>
  <c r="J16" i="193"/>
  <c r="O15" i="193"/>
  <c r="N15" i="193"/>
  <c r="M15" i="193"/>
  <c r="L15" i="193"/>
  <c r="K15" i="193"/>
  <c r="J15" i="193"/>
  <c r="O39" i="190"/>
  <c r="N39" i="190"/>
  <c r="M39" i="190"/>
  <c r="L39" i="190"/>
  <c r="K39" i="190"/>
  <c r="J39" i="190"/>
  <c r="O38" i="190"/>
  <c r="N38" i="190"/>
  <c r="M38" i="190"/>
  <c r="L38" i="190"/>
  <c r="K38" i="190"/>
  <c r="J38" i="190"/>
  <c r="O37" i="190"/>
  <c r="N37" i="190"/>
  <c r="M37" i="190"/>
  <c r="L37" i="190"/>
  <c r="K37" i="190"/>
  <c r="J37" i="190"/>
  <c r="O36" i="190"/>
  <c r="N36" i="190"/>
  <c r="M36" i="190"/>
  <c r="L36" i="190"/>
  <c r="K36" i="190"/>
  <c r="J36" i="190"/>
  <c r="O35" i="190"/>
  <c r="N35" i="190"/>
  <c r="M35" i="190"/>
  <c r="L35" i="190"/>
  <c r="K35" i="190"/>
  <c r="J35" i="190"/>
  <c r="O34" i="190"/>
  <c r="N34" i="190"/>
  <c r="M34" i="190"/>
  <c r="L34" i="190"/>
  <c r="K34" i="190"/>
  <c r="J34" i="190"/>
  <c r="O33" i="190"/>
  <c r="N33" i="190"/>
  <c r="M33" i="190"/>
  <c r="L33" i="190"/>
  <c r="K33" i="190"/>
  <c r="J33" i="190"/>
  <c r="O32" i="190"/>
  <c r="N32" i="190"/>
  <c r="M32" i="190"/>
  <c r="L32" i="190"/>
  <c r="K32" i="190"/>
  <c r="J32" i="190"/>
  <c r="J17" i="190"/>
  <c r="K17" i="190"/>
  <c r="L17" i="190"/>
  <c r="M17" i="190"/>
  <c r="N17" i="190"/>
  <c r="O17" i="190"/>
  <c r="J19" i="190"/>
  <c r="K19" i="190"/>
  <c r="L19" i="190"/>
  <c r="M19" i="190"/>
  <c r="N19" i="190"/>
  <c r="O19" i="190"/>
  <c r="J20" i="190"/>
  <c r="K20" i="190"/>
  <c r="L20" i="190"/>
  <c r="M20" i="190"/>
  <c r="N20" i="190"/>
  <c r="O20" i="190"/>
  <c r="J21" i="190"/>
  <c r="K21" i="190"/>
  <c r="L21" i="190"/>
  <c r="M21" i="190"/>
  <c r="N21" i="190"/>
  <c r="O21" i="190"/>
  <c r="J22" i="190"/>
  <c r="K22" i="190"/>
  <c r="L22" i="190"/>
  <c r="M22" i="190"/>
  <c r="N22" i="190"/>
  <c r="O22" i="190"/>
  <c r="J23" i="190"/>
  <c r="K23" i="190"/>
  <c r="L23" i="190"/>
  <c r="M23" i="190"/>
  <c r="N23" i="190"/>
  <c r="O23" i="190"/>
  <c r="J24" i="190"/>
  <c r="K24" i="190"/>
  <c r="L24" i="190"/>
  <c r="M24" i="190"/>
  <c r="N24" i="190"/>
  <c r="O24" i="190"/>
  <c r="J25" i="190"/>
  <c r="K25" i="190"/>
  <c r="L25" i="190"/>
  <c r="M25" i="190"/>
  <c r="N25" i="190"/>
  <c r="O25" i="190"/>
  <c r="J26" i="190"/>
  <c r="K26" i="190"/>
  <c r="L26" i="190"/>
  <c r="M26" i="190"/>
  <c r="N26" i="190"/>
  <c r="O26" i="190"/>
  <c r="J27" i="190"/>
  <c r="K27" i="190"/>
  <c r="L27" i="190"/>
  <c r="M27" i="190"/>
  <c r="N27" i="190"/>
  <c r="O27" i="190"/>
  <c r="J28" i="190"/>
  <c r="K28" i="190"/>
  <c r="L28" i="190"/>
  <c r="M28" i="190"/>
  <c r="N28" i="190"/>
  <c r="O28" i="190"/>
  <c r="J29" i="190"/>
  <c r="K29" i="190"/>
  <c r="L29" i="190"/>
  <c r="M29" i="190"/>
  <c r="N29" i="190"/>
  <c r="O29" i="190"/>
  <c r="J30" i="190"/>
  <c r="K30" i="190"/>
  <c r="L30" i="190"/>
  <c r="M30" i="190"/>
  <c r="N30" i="190"/>
  <c r="O30" i="190"/>
  <c r="K16" i="190"/>
  <c r="L16" i="190"/>
  <c r="M16" i="190"/>
  <c r="N16" i="190"/>
  <c r="O16" i="190"/>
  <c r="J16" i="190"/>
  <c r="L29" i="34" l="1"/>
  <c r="H29" i="34"/>
  <c r="G25" i="34"/>
  <c r="F25" i="34"/>
  <c r="E25" i="34"/>
  <c r="H24" i="34"/>
  <c r="G23" i="34"/>
  <c r="F23" i="34"/>
  <c r="E23" i="34"/>
  <c r="G22" i="34"/>
  <c r="F22" i="34"/>
  <c r="E22" i="34"/>
  <c r="H19" i="34"/>
  <c r="H18" i="34"/>
  <c r="L56" i="209" l="1"/>
  <c r="M56" i="209"/>
  <c r="K56" i="209"/>
  <c r="N56" i="209" s="1"/>
  <c r="G56" i="209"/>
  <c r="H56" i="209"/>
  <c r="D56" i="209"/>
  <c r="F56" i="209" s="1"/>
  <c r="I56" i="209" s="1"/>
  <c r="F74" i="237"/>
  <c r="G74" i="237"/>
  <c r="F75" i="237"/>
  <c r="G75" i="237"/>
  <c r="A76" i="237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37" s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4" i="237" s="1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9" i="237" s="1"/>
  <c r="A230" i="237" s="1"/>
  <c r="A231" i="237" s="1"/>
  <c r="A232" i="237" s="1"/>
  <c r="A233" i="237" s="1"/>
  <c r="A234" i="237" s="1"/>
  <c r="A235" i="237" s="1"/>
  <c r="A236" i="237" s="1"/>
  <c r="A237" i="237" s="1"/>
  <c r="A238" i="237" s="1"/>
  <c r="A239" i="237" s="1"/>
  <c r="A240" i="237" s="1"/>
  <c r="A241" i="237" s="1"/>
  <c r="A242" i="237" s="1"/>
  <c r="A243" i="237" s="1"/>
  <c r="A244" i="237" s="1"/>
  <c r="A245" i="237" s="1"/>
  <c r="A246" i="237" s="1"/>
  <c r="A247" i="237" s="1"/>
  <c r="A248" i="237" s="1"/>
  <c r="A249" i="237" s="1"/>
  <c r="A250" i="237" s="1"/>
  <c r="A251" i="237" s="1"/>
  <c r="A252" i="237" s="1"/>
  <c r="A253" i="237" s="1"/>
  <c r="A254" i="237" s="1"/>
  <c r="A255" i="237" s="1"/>
  <c r="A256" i="237" s="1"/>
  <c r="A257" i="237" s="1"/>
  <c r="A258" i="237" s="1"/>
  <c r="A259" i="237" s="1"/>
  <c r="A260" i="237" s="1"/>
  <c r="A261" i="237" s="1"/>
  <c r="A262" i="237" s="1"/>
  <c r="A263" i="237" s="1"/>
  <c r="A264" i="237" s="1"/>
  <c r="A74" i="237"/>
  <c r="A75" i="237" s="1"/>
  <c r="K74" i="209" l="1"/>
  <c r="N74" i="209" s="1"/>
  <c r="L74" i="209"/>
  <c r="M74" i="209"/>
  <c r="K75" i="209"/>
  <c r="N75" i="209" s="1"/>
  <c r="L75" i="209"/>
  <c r="M75" i="209"/>
  <c r="G74" i="209"/>
  <c r="H74" i="209"/>
  <c r="G75" i="209"/>
  <c r="H75" i="209"/>
  <c r="D74" i="209"/>
  <c r="F74" i="209" s="1"/>
  <c r="I74" i="209" s="1"/>
  <c r="D75" i="209"/>
  <c r="F75" i="209" s="1"/>
  <c r="I75" i="209" s="1"/>
  <c r="A76" i="209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7" i="209" s="1"/>
  <c r="A108" i="209" s="1"/>
  <c r="A109" i="209" s="1"/>
  <c r="A110" i="209" s="1"/>
  <c r="A111" i="209" s="1"/>
  <c r="A112" i="209" s="1"/>
  <c r="A113" i="209" s="1"/>
  <c r="A114" i="209" s="1"/>
  <c r="A74" i="209"/>
  <c r="A75" i="209" s="1"/>
  <c r="A57" i="209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56" i="209"/>
  <c r="K74" i="213"/>
  <c r="N74" i="213" s="1"/>
  <c r="L74" i="213"/>
  <c r="M74" i="213"/>
  <c r="K75" i="213"/>
  <c r="N75" i="213" s="1"/>
  <c r="L75" i="213"/>
  <c r="M75" i="213"/>
  <c r="G74" i="213"/>
  <c r="H74" i="213"/>
  <c r="G75" i="213"/>
  <c r="H75" i="213"/>
  <c r="D74" i="213"/>
  <c r="F74" i="213" s="1"/>
  <c r="I74" i="213" s="1"/>
  <c r="D75" i="213"/>
  <c r="F75" i="213" s="1"/>
  <c r="I75" i="213" s="1"/>
  <c r="K56" i="213"/>
  <c r="N56" i="213" s="1"/>
  <c r="L56" i="213"/>
  <c r="M56" i="213"/>
  <c r="G56" i="213"/>
  <c r="H56" i="213"/>
  <c r="D56" i="213"/>
  <c r="F56" i="213" s="1"/>
  <c r="I56" i="213" s="1"/>
  <c r="A76" i="213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87" i="213" s="1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154" i="213" s="1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231" i="213" s="1"/>
  <c r="A232" i="213" s="1"/>
  <c r="A233" i="213" s="1"/>
  <c r="A234" i="213" s="1"/>
  <c r="A235" i="213" s="1"/>
  <c r="A236" i="213" s="1"/>
  <c r="A237" i="213" s="1"/>
  <c r="A238" i="213" s="1"/>
  <c r="A239" i="213" s="1"/>
  <c r="A240" i="213" s="1"/>
  <c r="A241" i="213" s="1"/>
  <c r="A242" i="213" s="1"/>
  <c r="A243" i="213" s="1"/>
  <c r="A244" i="213" s="1"/>
  <c r="A245" i="213" s="1"/>
  <c r="A246" i="213" s="1"/>
  <c r="A247" i="213" s="1"/>
  <c r="A248" i="213" s="1"/>
  <c r="A249" i="213" s="1"/>
  <c r="A250" i="213" s="1"/>
  <c r="A251" i="213" s="1"/>
  <c r="A252" i="213" s="1"/>
  <c r="A253" i="213" s="1"/>
  <c r="A254" i="213" s="1"/>
  <c r="A255" i="213" s="1"/>
  <c r="A256" i="213" s="1"/>
  <c r="A257" i="213" s="1"/>
  <c r="A258" i="213" s="1"/>
  <c r="A259" i="213" s="1"/>
  <c r="A260" i="213" s="1"/>
  <c r="A261" i="213" s="1"/>
  <c r="A262" i="213" s="1"/>
  <c r="A263" i="213" s="1"/>
  <c r="A264" i="213" s="1"/>
  <c r="A265" i="213" s="1"/>
  <c r="A266" i="213" s="1"/>
  <c r="A267" i="213" s="1"/>
  <c r="A268" i="213" s="1"/>
  <c r="A269" i="213" s="1"/>
  <c r="A270" i="213" s="1"/>
  <c r="A271" i="213" s="1"/>
  <c r="A272" i="213" s="1"/>
  <c r="A273" i="213" s="1"/>
  <c r="A74" i="213"/>
  <c r="A75" i="213" s="1"/>
  <c r="A57" i="213"/>
  <c r="A58" i="213"/>
  <c r="A59" i="213"/>
  <c r="A60" i="213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56" i="213"/>
  <c r="A76" i="236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94" i="236" s="1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150" i="236" s="1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182" i="236" s="1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228" i="236" s="1"/>
  <c r="A229" i="236" s="1"/>
  <c r="A230" i="236" s="1"/>
  <c r="A231" i="236" s="1"/>
  <c r="A232" i="236" s="1"/>
  <c r="A233" i="236" s="1"/>
  <c r="A234" i="236" s="1"/>
  <c r="A235" i="236" s="1"/>
  <c r="A236" i="236" s="1"/>
  <c r="A237" i="236" s="1"/>
  <c r="A238" i="236" s="1"/>
  <c r="A239" i="236" s="1"/>
  <c r="A240" i="236" s="1"/>
  <c r="A241" i="236" s="1"/>
  <c r="A242" i="236" s="1"/>
  <c r="A243" i="236" s="1"/>
  <c r="A244" i="236" s="1"/>
  <c r="A245" i="236" s="1"/>
  <c r="A246" i="236" s="1"/>
  <c r="A247" i="236" s="1"/>
  <c r="A248" i="236" s="1"/>
  <c r="A249" i="236" s="1"/>
  <c r="A250" i="236" s="1"/>
  <c r="A251" i="236" s="1"/>
  <c r="A252" i="236" s="1"/>
  <c r="A253" i="236" s="1"/>
  <c r="A254" i="236" s="1"/>
  <c r="A255" i="236" s="1"/>
  <c r="A256" i="236" s="1"/>
  <c r="A257" i="236" s="1"/>
  <c r="A258" i="236" s="1"/>
  <c r="A259" i="236" s="1"/>
  <c r="A260" i="236" s="1"/>
  <c r="A261" i="236" s="1"/>
  <c r="A262" i="236" s="1"/>
  <c r="A263" i="236" s="1"/>
  <c r="A264" i="236" s="1"/>
  <c r="A74" i="236"/>
  <c r="A75" i="236" s="1"/>
  <c r="A57" i="236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56" i="236"/>
  <c r="K74" i="236"/>
  <c r="N74" i="236" s="1"/>
  <c r="L74" i="236"/>
  <c r="M74" i="236"/>
  <c r="K75" i="236"/>
  <c r="N75" i="236" s="1"/>
  <c r="L75" i="236"/>
  <c r="M75" i="236"/>
  <c r="G74" i="236"/>
  <c r="H74" i="236"/>
  <c r="G75" i="236"/>
  <c r="H75" i="236"/>
  <c r="D74" i="236"/>
  <c r="F74" i="236" s="1"/>
  <c r="I74" i="236" s="1"/>
  <c r="D75" i="236"/>
  <c r="F75" i="236" s="1"/>
  <c r="I75" i="236" s="1"/>
  <c r="K56" i="236"/>
  <c r="N56" i="236" s="1"/>
  <c r="L56" i="236"/>
  <c r="M56" i="236"/>
  <c r="G56" i="236"/>
  <c r="H56" i="236"/>
  <c r="D56" i="236"/>
  <c r="F56" i="236" s="1"/>
  <c r="I56" i="236" s="1"/>
  <c r="A76" i="207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A181" i="207" s="1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A214" i="207" s="1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A233" i="207" s="1"/>
  <c r="A234" i="207" s="1"/>
  <c r="A235" i="207" s="1"/>
  <c r="A236" i="207" s="1"/>
  <c r="A237" i="207" s="1"/>
  <c r="A238" i="207" s="1"/>
  <c r="A239" i="207" s="1"/>
  <c r="A240" i="207" s="1"/>
  <c r="A241" i="207" s="1"/>
  <c r="A242" i="207" s="1"/>
  <c r="A243" i="207" s="1"/>
  <c r="A244" i="207" s="1"/>
  <c r="A245" i="207" s="1"/>
  <c r="A246" i="207" s="1"/>
  <c r="A247" i="207" s="1"/>
  <c r="A248" i="207" s="1"/>
  <c r="A249" i="207" s="1"/>
  <c r="A250" i="207" s="1"/>
  <c r="A251" i="207" s="1"/>
  <c r="A252" i="207" s="1"/>
  <c r="A253" i="207" s="1"/>
  <c r="A254" i="207" s="1"/>
  <c r="A255" i="207" s="1"/>
  <c r="A256" i="207" s="1"/>
  <c r="A257" i="207" s="1"/>
  <c r="A258" i="207" s="1"/>
  <c r="A259" i="207" s="1"/>
  <c r="A260" i="207" s="1"/>
  <c r="A261" i="207" s="1"/>
  <c r="A262" i="207" s="1"/>
  <c r="A263" i="207" s="1"/>
  <c r="A264" i="207" s="1"/>
  <c r="A265" i="207" s="1"/>
  <c r="A266" i="207" s="1"/>
  <c r="A267" i="207" s="1"/>
  <c r="A268" i="207" s="1"/>
  <c r="A74" i="207"/>
  <c r="A75" i="207" s="1"/>
  <c r="K74" i="207"/>
  <c r="N74" i="207" s="1"/>
  <c r="L74" i="207"/>
  <c r="M74" i="207"/>
  <c r="K75" i="207"/>
  <c r="N75" i="207" s="1"/>
  <c r="L75" i="207"/>
  <c r="M75" i="207"/>
  <c r="G74" i="207"/>
  <c r="H74" i="207"/>
  <c r="G75" i="207"/>
  <c r="H75" i="207"/>
  <c r="F75" i="207"/>
  <c r="I75" i="207" s="1"/>
  <c r="D74" i="207"/>
  <c r="F74" i="207" s="1"/>
  <c r="I74" i="207" s="1"/>
  <c r="D75" i="207"/>
  <c r="K56" i="207"/>
  <c r="N56" i="207" s="1"/>
  <c r="L56" i="207"/>
  <c r="M56" i="207"/>
  <c r="D56" i="207"/>
  <c r="F56" i="207" s="1"/>
  <c r="I56" i="207" s="1"/>
  <c r="G56" i="207"/>
  <c r="H56" i="207"/>
  <c r="E12" i="190" l="1"/>
  <c r="F12" i="190"/>
  <c r="G12" i="190"/>
  <c r="H12" i="190"/>
  <c r="I12" i="190"/>
  <c r="D12" i="190"/>
  <c r="D34" i="214" l="1"/>
  <c r="E34" i="214"/>
  <c r="F34" i="214"/>
  <c r="G34" i="214"/>
  <c r="H34" i="214"/>
  <c r="I34" i="214"/>
  <c r="C34" i="214"/>
  <c r="O29" i="214" l="1"/>
  <c r="N29" i="214"/>
  <c r="M29" i="214"/>
  <c r="L29" i="214"/>
  <c r="K29" i="214"/>
  <c r="J29" i="214"/>
  <c r="I29" i="214"/>
  <c r="H29" i="214"/>
  <c r="G29" i="214"/>
  <c r="F29" i="214"/>
  <c r="E29" i="214"/>
  <c r="D29" i="214"/>
  <c r="C29" i="214"/>
  <c r="O28" i="214"/>
  <c r="N28" i="214"/>
  <c r="M28" i="214"/>
  <c r="L28" i="214"/>
  <c r="K28" i="214"/>
  <c r="J28" i="214"/>
  <c r="I28" i="214"/>
  <c r="H28" i="214"/>
  <c r="G28" i="214"/>
  <c r="F28" i="214"/>
  <c r="E28" i="214"/>
  <c r="D28" i="214"/>
  <c r="C28" i="214"/>
  <c r="O24" i="214"/>
  <c r="N24" i="214"/>
  <c r="M24" i="214"/>
  <c r="L24" i="214"/>
  <c r="K24" i="214"/>
  <c r="J24" i="214"/>
  <c r="I24" i="214"/>
  <c r="H24" i="214"/>
  <c r="G24" i="214"/>
  <c r="F24" i="214"/>
  <c r="E24" i="214"/>
  <c r="D24" i="214"/>
  <c r="C24" i="214"/>
  <c r="O23" i="214"/>
  <c r="N23" i="214"/>
  <c r="M23" i="214"/>
  <c r="L23" i="214"/>
  <c r="K23" i="214"/>
  <c r="J23" i="214"/>
  <c r="I23" i="214"/>
  <c r="H23" i="214"/>
  <c r="G23" i="214"/>
  <c r="F23" i="214"/>
  <c r="E23" i="214"/>
  <c r="D23" i="214"/>
  <c r="C23" i="214"/>
  <c r="O19" i="214"/>
  <c r="N19" i="214"/>
  <c r="M19" i="214"/>
  <c r="L19" i="214"/>
  <c r="K19" i="214"/>
  <c r="J19" i="214"/>
  <c r="I19" i="214"/>
  <c r="H19" i="214"/>
  <c r="G19" i="214"/>
  <c r="F19" i="214"/>
  <c r="E19" i="214"/>
  <c r="D19" i="214"/>
  <c r="C19" i="214"/>
  <c r="O18" i="214"/>
  <c r="N18" i="214"/>
  <c r="M18" i="214"/>
  <c r="L18" i="214"/>
  <c r="K18" i="214"/>
  <c r="J18" i="214"/>
  <c r="I18" i="214"/>
  <c r="H18" i="214"/>
  <c r="G18" i="214"/>
  <c r="F18" i="214"/>
  <c r="E18" i="214"/>
  <c r="D18" i="214"/>
  <c r="C18" i="214"/>
  <c r="O14" i="214"/>
  <c r="N14" i="214"/>
  <c r="M14" i="214"/>
  <c r="L14" i="214"/>
  <c r="K14" i="214"/>
  <c r="J14" i="214"/>
  <c r="I14" i="214"/>
  <c r="H14" i="214"/>
  <c r="G14" i="214"/>
  <c r="F14" i="214"/>
  <c r="E14" i="214"/>
  <c r="D14" i="214"/>
  <c r="C14" i="214"/>
  <c r="O13" i="214"/>
  <c r="N13" i="214"/>
  <c r="M13" i="214"/>
  <c r="L13" i="214"/>
  <c r="K13" i="214"/>
  <c r="J13" i="214"/>
  <c r="I13" i="214"/>
  <c r="H13" i="214"/>
  <c r="G13" i="214"/>
  <c r="F13" i="214"/>
  <c r="E13" i="214"/>
  <c r="D13" i="214"/>
  <c r="C13" i="214"/>
  <c r="O29" i="216"/>
  <c r="N29" i="216"/>
  <c r="M29" i="216"/>
  <c r="L29" i="216"/>
  <c r="K29" i="216"/>
  <c r="J29" i="216"/>
  <c r="I29" i="216"/>
  <c r="H29" i="216"/>
  <c r="G29" i="216"/>
  <c r="F29" i="216"/>
  <c r="E29" i="216"/>
  <c r="D29" i="216"/>
  <c r="C29" i="216"/>
  <c r="O28" i="216"/>
  <c r="N28" i="216"/>
  <c r="M28" i="216"/>
  <c r="L28" i="216"/>
  <c r="K28" i="216"/>
  <c r="J28" i="216"/>
  <c r="I28" i="216"/>
  <c r="H28" i="216"/>
  <c r="G28" i="216"/>
  <c r="F28" i="216"/>
  <c r="E28" i="216"/>
  <c r="D28" i="216"/>
  <c r="C28" i="216"/>
  <c r="O24" i="216"/>
  <c r="N24" i="216"/>
  <c r="M24" i="216"/>
  <c r="L24" i="216"/>
  <c r="K24" i="216"/>
  <c r="J24" i="216"/>
  <c r="I24" i="216"/>
  <c r="H24" i="216"/>
  <c r="G24" i="216"/>
  <c r="F24" i="216"/>
  <c r="E24" i="216"/>
  <c r="D24" i="216"/>
  <c r="C24" i="216"/>
  <c r="O23" i="216"/>
  <c r="N23" i="216"/>
  <c r="M23" i="216"/>
  <c r="L23" i="216"/>
  <c r="K23" i="216"/>
  <c r="J23" i="216"/>
  <c r="I23" i="216"/>
  <c r="H23" i="216"/>
  <c r="G23" i="216"/>
  <c r="F23" i="216"/>
  <c r="E23" i="216"/>
  <c r="D23" i="216"/>
  <c r="C23" i="216"/>
  <c r="O19" i="216"/>
  <c r="N19" i="216"/>
  <c r="M19" i="216"/>
  <c r="L19" i="216"/>
  <c r="K19" i="216"/>
  <c r="J19" i="216"/>
  <c r="I19" i="216"/>
  <c r="H19" i="216"/>
  <c r="G19" i="216"/>
  <c r="F19" i="216"/>
  <c r="E19" i="216"/>
  <c r="D19" i="216"/>
  <c r="C19" i="216"/>
  <c r="O18" i="216"/>
  <c r="N18" i="216"/>
  <c r="M18" i="216"/>
  <c r="L18" i="216"/>
  <c r="K18" i="216"/>
  <c r="J18" i="216"/>
  <c r="I18" i="216"/>
  <c r="H18" i="216"/>
  <c r="G18" i="216"/>
  <c r="F18" i="216"/>
  <c r="E18" i="216"/>
  <c r="D18" i="216"/>
  <c r="C18" i="216"/>
  <c r="O14" i="216"/>
  <c r="N14" i="216"/>
  <c r="M14" i="216"/>
  <c r="L14" i="216"/>
  <c r="K14" i="216"/>
  <c r="J14" i="216"/>
  <c r="I14" i="216"/>
  <c r="H14" i="216"/>
  <c r="G14" i="216"/>
  <c r="F14" i="216"/>
  <c r="E14" i="216"/>
  <c r="D14" i="216"/>
  <c r="C14" i="216"/>
  <c r="O13" i="216"/>
  <c r="N13" i="216"/>
  <c r="M13" i="216"/>
  <c r="L13" i="216"/>
  <c r="K13" i="216"/>
  <c r="J13" i="216"/>
  <c r="I13" i="216"/>
  <c r="H13" i="216"/>
  <c r="G13" i="216"/>
  <c r="F13" i="216"/>
  <c r="E13" i="216"/>
  <c r="D13" i="216"/>
  <c r="C13" i="216"/>
  <c r="D36" i="107" l="1"/>
  <c r="D34" i="107"/>
  <c r="D33" i="107"/>
  <c r="D32" i="107"/>
  <c r="D31" i="107"/>
  <c r="D28" i="107"/>
  <c r="D23" i="107"/>
  <c r="D21" i="107"/>
  <c r="D20" i="107"/>
  <c r="D19" i="107"/>
  <c r="D18" i="107"/>
  <c r="A16" i="107"/>
  <c r="F16" i="107"/>
  <c r="D15" i="107"/>
  <c r="A153" i="248" l="1"/>
  <c r="A154" i="248"/>
  <c r="A155" i="248" s="1"/>
  <c r="A156" i="248" s="1"/>
  <c r="A157" i="248" s="1"/>
  <c r="A158" i="248" s="1"/>
  <c r="A159" i="248" s="1"/>
  <c r="A160" i="248" s="1"/>
  <c r="A161" i="248" s="1"/>
  <c r="D16" i="248"/>
  <c r="F16" i="248" s="1"/>
  <c r="D17" i="248"/>
  <c r="D93" i="248" s="1"/>
  <c r="D18" i="248"/>
  <c r="D94" i="248" s="1"/>
  <c r="D19" i="248"/>
  <c r="D95" i="248" s="1"/>
  <c r="D20" i="248"/>
  <c r="D96" i="248" s="1"/>
  <c r="D21" i="248"/>
  <c r="D97" i="248" s="1"/>
  <c r="D22" i="248"/>
  <c r="D98" i="248" s="1"/>
  <c r="D23" i="248"/>
  <c r="D99" i="248" s="1"/>
  <c r="D24" i="248"/>
  <c r="D100" i="248" s="1"/>
  <c r="D25" i="248"/>
  <c r="D101" i="248" s="1"/>
  <c r="D26" i="248"/>
  <c r="D102" i="248" s="1"/>
  <c r="D27" i="248"/>
  <c r="D103" i="248" s="1"/>
  <c r="D28" i="248"/>
  <c r="D104" i="248" s="1"/>
  <c r="D29" i="248"/>
  <c r="D105" i="248" s="1"/>
  <c r="D30" i="248"/>
  <c r="D106" i="248" s="1"/>
  <c r="D31" i="248"/>
  <c r="D107" i="248" s="1"/>
  <c r="D32" i="248"/>
  <c r="D108" i="248" s="1"/>
  <c r="D33" i="248"/>
  <c r="D109" i="248" s="1"/>
  <c r="D34" i="248"/>
  <c r="D110" i="248" s="1"/>
  <c r="D35" i="248"/>
  <c r="D111" i="248" s="1"/>
  <c r="D36" i="248"/>
  <c r="D112" i="248" s="1"/>
  <c r="D37" i="248"/>
  <c r="D113" i="248" s="1"/>
  <c r="D38" i="248"/>
  <c r="D114" i="248" s="1"/>
  <c r="D39" i="248"/>
  <c r="D115" i="248" s="1"/>
  <c r="D40" i="248"/>
  <c r="D116" i="248" s="1"/>
  <c r="D41" i="248"/>
  <c r="D117" i="248" s="1"/>
  <c r="D42" i="248"/>
  <c r="D118" i="248" s="1"/>
  <c r="D43" i="248"/>
  <c r="D119" i="248" s="1"/>
  <c r="D44" i="248"/>
  <c r="D120" i="248" s="1"/>
  <c r="D45" i="248"/>
  <c r="D121" i="248" s="1"/>
  <c r="D46" i="248"/>
  <c r="D122" i="248" s="1"/>
  <c r="D47" i="248"/>
  <c r="D123" i="248" s="1"/>
  <c r="D48" i="248"/>
  <c r="D124" i="248" s="1"/>
  <c r="D49" i="248"/>
  <c r="D125" i="248" s="1"/>
  <c r="D50" i="248"/>
  <c r="D126" i="248" s="1"/>
  <c r="D51" i="248"/>
  <c r="D127" i="248" s="1"/>
  <c r="D52" i="248"/>
  <c r="D128" i="248" s="1"/>
  <c r="D53" i="248"/>
  <c r="D129" i="248" s="1"/>
  <c r="D54" i="248"/>
  <c r="D130" i="248" s="1"/>
  <c r="D55" i="248"/>
  <c r="D131" i="248" s="1"/>
  <c r="D56" i="248"/>
  <c r="D132" i="248" s="1"/>
  <c r="D57" i="248"/>
  <c r="D133" i="248" s="1"/>
  <c r="D58" i="248"/>
  <c r="D134" i="248" s="1"/>
  <c r="D59" i="248"/>
  <c r="D135" i="248" s="1"/>
  <c r="D60" i="248"/>
  <c r="D136" i="248" s="1"/>
  <c r="D61" i="248"/>
  <c r="D137" i="248" s="1"/>
  <c r="D62" i="248"/>
  <c r="D138" i="248" s="1"/>
  <c r="D63" i="248"/>
  <c r="D139" i="248" s="1"/>
  <c r="D64" i="248"/>
  <c r="D140" i="248" s="1"/>
  <c r="D65" i="248"/>
  <c r="D141" i="248" s="1"/>
  <c r="D66" i="248"/>
  <c r="D142" i="248" s="1"/>
  <c r="D67" i="248"/>
  <c r="D143" i="248" s="1"/>
  <c r="D68" i="248"/>
  <c r="D144" i="248" s="1"/>
  <c r="D69" i="248"/>
  <c r="D145" i="248" s="1"/>
  <c r="D70" i="248"/>
  <c r="D146" i="248" s="1"/>
  <c r="D71" i="248"/>
  <c r="D147" i="248" s="1"/>
  <c r="D72" i="248"/>
  <c r="D148" i="248" s="1"/>
  <c r="D73" i="248"/>
  <c r="D149" i="248" s="1"/>
  <c r="D74" i="248"/>
  <c r="D150" i="248" s="1"/>
  <c r="D75" i="248"/>
  <c r="D151" i="248" s="1"/>
  <c r="D76" i="248"/>
  <c r="D152" i="248" s="1"/>
  <c r="D77" i="248"/>
  <c r="F77" i="248" s="1"/>
  <c r="D78" i="248"/>
  <c r="F78" i="248" s="1"/>
  <c r="D79" i="248"/>
  <c r="D155" i="248" s="1"/>
  <c r="F155" i="248" s="1"/>
  <c r="D80" i="248"/>
  <c r="F80" i="248" s="1"/>
  <c r="D81" i="248"/>
  <c r="F81" i="248" s="1"/>
  <c r="D82" i="248"/>
  <c r="F82" i="248" s="1"/>
  <c r="D83" i="248"/>
  <c r="D159" i="248" s="1"/>
  <c r="F159" i="248" s="1"/>
  <c r="D84" i="248"/>
  <c r="F84" i="248" s="1"/>
  <c r="D85" i="248"/>
  <c r="D161" i="248" s="1"/>
  <c r="F161" i="248" s="1"/>
  <c r="D15" i="248"/>
  <c r="D91" i="248" s="1"/>
  <c r="F79" i="248" l="1"/>
  <c r="D158" i="248"/>
  <c r="F158" i="248" s="1"/>
  <c r="D154" i="248"/>
  <c r="F154" i="248" s="1"/>
  <c r="D157" i="248"/>
  <c r="F157" i="248" s="1"/>
  <c r="D153" i="248"/>
  <c r="F153" i="248" s="1"/>
  <c r="D160" i="248"/>
  <c r="F160" i="248" s="1"/>
  <c r="D156" i="248"/>
  <c r="F156" i="248" s="1"/>
  <c r="D92" i="248"/>
  <c r="F83" i="248"/>
  <c r="E39" i="233"/>
  <c r="F39" i="233"/>
  <c r="G39" i="233"/>
  <c r="H39" i="233"/>
  <c r="I39" i="233"/>
  <c r="J39" i="233"/>
  <c r="K39" i="233"/>
  <c r="L39" i="233"/>
  <c r="M39" i="233"/>
  <c r="N39" i="233"/>
  <c r="O39" i="233"/>
  <c r="P39" i="233"/>
  <c r="E41" i="233"/>
  <c r="F41" i="233"/>
  <c r="G41" i="233"/>
  <c r="H41" i="233"/>
  <c r="I41" i="233"/>
  <c r="J41" i="233"/>
  <c r="K41" i="233"/>
  <c r="L41" i="233"/>
  <c r="M41" i="233"/>
  <c r="N41" i="233"/>
  <c r="O41" i="233"/>
  <c r="P41" i="233"/>
  <c r="E43" i="233"/>
  <c r="F43" i="233"/>
  <c r="G43" i="233"/>
  <c r="H43" i="233"/>
  <c r="I43" i="233"/>
  <c r="J43" i="233"/>
  <c r="K43" i="233"/>
  <c r="L43" i="233"/>
  <c r="M43" i="233"/>
  <c r="N43" i="233"/>
  <c r="O43" i="233"/>
  <c r="P43" i="233"/>
  <c r="D43" i="233"/>
  <c r="D41" i="233"/>
  <c r="D39" i="233"/>
  <c r="E30" i="233"/>
  <c r="F30" i="233"/>
  <c r="G30" i="233"/>
  <c r="H30" i="233"/>
  <c r="I30" i="233"/>
  <c r="J30" i="233"/>
  <c r="K30" i="233"/>
  <c r="L30" i="233"/>
  <c r="M30" i="233"/>
  <c r="N30" i="233"/>
  <c r="O30" i="233"/>
  <c r="P30" i="233"/>
  <c r="E32" i="233"/>
  <c r="F32" i="233"/>
  <c r="G32" i="233"/>
  <c r="H32" i="233"/>
  <c r="I32" i="233"/>
  <c r="J32" i="233"/>
  <c r="K32" i="233"/>
  <c r="L32" i="233"/>
  <c r="M32" i="233"/>
  <c r="N32" i="233"/>
  <c r="O32" i="233"/>
  <c r="P32" i="233"/>
  <c r="E34" i="233"/>
  <c r="F34" i="233"/>
  <c r="G34" i="233"/>
  <c r="H34" i="233"/>
  <c r="I34" i="233"/>
  <c r="J34" i="233"/>
  <c r="K34" i="233"/>
  <c r="L34" i="233"/>
  <c r="M34" i="233"/>
  <c r="N34" i="233"/>
  <c r="O34" i="233"/>
  <c r="P34" i="233"/>
  <c r="D34" i="233"/>
  <c r="D32" i="233"/>
  <c r="D30" i="233"/>
  <c r="E22" i="233"/>
  <c r="F22" i="233"/>
  <c r="G22" i="233"/>
  <c r="H22" i="233"/>
  <c r="I22" i="233"/>
  <c r="J22" i="233"/>
  <c r="K22" i="233"/>
  <c r="L22" i="233"/>
  <c r="M22" i="233"/>
  <c r="N22" i="233"/>
  <c r="O22" i="233"/>
  <c r="P22" i="233"/>
  <c r="E24" i="233"/>
  <c r="F24" i="233"/>
  <c r="G24" i="233"/>
  <c r="H24" i="233"/>
  <c r="I24" i="233"/>
  <c r="J24" i="233"/>
  <c r="K24" i="233"/>
  <c r="L24" i="233"/>
  <c r="M24" i="233"/>
  <c r="N24" i="233"/>
  <c r="O24" i="233"/>
  <c r="P24" i="233"/>
  <c r="E26" i="233"/>
  <c r="F26" i="233"/>
  <c r="G26" i="233"/>
  <c r="H26" i="233"/>
  <c r="I26" i="233"/>
  <c r="J26" i="233"/>
  <c r="K26" i="233"/>
  <c r="L26" i="233"/>
  <c r="M26" i="233"/>
  <c r="N26" i="233"/>
  <c r="O26" i="233"/>
  <c r="P26" i="233"/>
  <c r="D26" i="233"/>
  <c r="D24" i="233"/>
  <c r="D22" i="233"/>
  <c r="E13" i="233"/>
  <c r="F13" i="233"/>
  <c r="G13" i="233"/>
  <c r="H13" i="233"/>
  <c r="I13" i="233"/>
  <c r="J13" i="233"/>
  <c r="K13" i="233"/>
  <c r="L13" i="233"/>
  <c r="M13" i="233"/>
  <c r="N13" i="233"/>
  <c r="O13" i="233"/>
  <c r="P13" i="233"/>
  <c r="E15" i="233"/>
  <c r="F15" i="233"/>
  <c r="G15" i="233"/>
  <c r="H15" i="233"/>
  <c r="I15" i="233"/>
  <c r="J15" i="233"/>
  <c r="K15" i="233"/>
  <c r="L15" i="233"/>
  <c r="M15" i="233"/>
  <c r="N15" i="233"/>
  <c r="O15" i="233"/>
  <c r="P15" i="233"/>
  <c r="E17" i="233"/>
  <c r="F17" i="233"/>
  <c r="G17" i="233"/>
  <c r="H17" i="233"/>
  <c r="I17" i="233"/>
  <c r="J17" i="233"/>
  <c r="K17" i="233"/>
  <c r="L17" i="233"/>
  <c r="M17" i="233"/>
  <c r="N17" i="233"/>
  <c r="O17" i="233"/>
  <c r="P17" i="233"/>
  <c r="D17" i="233"/>
  <c r="D15" i="233"/>
  <c r="D13" i="233"/>
  <c r="E39" i="230"/>
  <c r="F39" i="230"/>
  <c r="G39" i="230"/>
  <c r="H39" i="230"/>
  <c r="I39" i="230"/>
  <c r="J39" i="230"/>
  <c r="K39" i="230"/>
  <c r="L39" i="230"/>
  <c r="M39" i="230"/>
  <c r="N39" i="230"/>
  <c r="O39" i="230"/>
  <c r="P39" i="230"/>
  <c r="E41" i="230"/>
  <c r="F41" i="230"/>
  <c r="G41" i="230"/>
  <c r="H41" i="230"/>
  <c r="I41" i="230"/>
  <c r="J41" i="230"/>
  <c r="K41" i="230"/>
  <c r="L41" i="230"/>
  <c r="M41" i="230"/>
  <c r="N41" i="230"/>
  <c r="O41" i="230"/>
  <c r="P41" i="230"/>
  <c r="E43" i="230"/>
  <c r="F43" i="230"/>
  <c r="G43" i="230"/>
  <c r="H43" i="230"/>
  <c r="I43" i="230"/>
  <c r="J43" i="230"/>
  <c r="K43" i="230"/>
  <c r="L43" i="230"/>
  <c r="M43" i="230"/>
  <c r="N43" i="230"/>
  <c r="O43" i="230"/>
  <c r="P43" i="230"/>
  <c r="D43" i="230"/>
  <c r="D41" i="230"/>
  <c r="D39" i="230"/>
  <c r="E30" i="230"/>
  <c r="F30" i="230"/>
  <c r="G30" i="230"/>
  <c r="H30" i="230"/>
  <c r="I30" i="230"/>
  <c r="J30" i="230"/>
  <c r="K30" i="230"/>
  <c r="L30" i="230"/>
  <c r="M30" i="230"/>
  <c r="N30" i="230"/>
  <c r="O30" i="230"/>
  <c r="P30" i="230"/>
  <c r="E32" i="230"/>
  <c r="F32" i="230"/>
  <c r="G32" i="230"/>
  <c r="H32" i="230"/>
  <c r="I32" i="230"/>
  <c r="J32" i="230"/>
  <c r="K32" i="230"/>
  <c r="L32" i="230"/>
  <c r="M32" i="230"/>
  <c r="N32" i="230"/>
  <c r="O32" i="230"/>
  <c r="P32" i="230"/>
  <c r="E34" i="230"/>
  <c r="F34" i="230"/>
  <c r="G34" i="230"/>
  <c r="H34" i="230"/>
  <c r="I34" i="230"/>
  <c r="J34" i="230"/>
  <c r="K34" i="230"/>
  <c r="L34" i="230"/>
  <c r="M34" i="230"/>
  <c r="N34" i="230"/>
  <c r="O34" i="230"/>
  <c r="P34" i="230"/>
  <c r="D34" i="230"/>
  <c r="D32" i="230"/>
  <c r="D30" i="230"/>
  <c r="K24" i="230"/>
  <c r="L24" i="230"/>
  <c r="M24" i="230"/>
  <c r="N24" i="230"/>
  <c r="O24" i="230"/>
  <c r="P24" i="230"/>
  <c r="K26" i="230"/>
  <c r="L26" i="230"/>
  <c r="M26" i="230"/>
  <c r="N26" i="230"/>
  <c r="O26" i="230"/>
  <c r="P26" i="230"/>
  <c r="E17" i="230"/>
  <c r="F17" i="230"/>
  <c r="G17" i="230"/>
  <c r="H17" i="230"/>
  <c r="I17" i="230"/>
  <c r="J17" i="230"/>
  <c r="K17" i="230"/>
  <c r="L17" i="230"/>
  <c r="M17" i="230"/>
  <c r="N17" i="230"/>
  <c r="O17" i="230"/>
  <c r="P17" i="230"/>
  <c r="D17" i="230"/>
  <c r="E15" i="230"/>
  <c r="F15" i="230"/>
  <c r="G15" i="230"/>
  <c r="H15" i="230"/>
  <c r="I15" i="230"/>
  <c r="J15" i="230"/>
  <c r="K15" i="230"/>
  <c r="L15" i="230"/>
  <c r="M15" i="230"/>
  <c r="N15" i="230"/>
  <c r="O15" i="230"/>
  <c r="P15" i="230"/>
  <c r="D15" i="230"/>
  <c r="E13" i="230"/>
  <c r="F13" i="230"/>
  <c r="G13" i="230"/>
  <c r="H13" i="230"/>
  <c r="I13" i="230"/>
  <c r="J13" i="230"/>
  <c r="K13" i="230"/>
  <c r="L13" i="230"/>
  <c r="M13" i="230"/>
  <c r="N13" i="230"/>
  <c r="O13" i="230"/>
  <c r="P13" i="230"/>
  <c r="D13" i="230"/>
  <c r="A63" i="44" l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62" i="44"/>
  <c r="A30" i="44"/>
  <c r="A31" i="44"/>
  <c r="A32" i="44"/>
  <c r="A33" i="44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29" i="44"/>
  <c r="E12" i="193"/>
  <c r="F12" i="193"/>
  <c r="G12" i="193"/>
  <c r="H12" i="193"/>
  <c r="I12" i="193"/>
  <c r="E13" i="193"/>
  <c r="F13" i="193"/>
  <c r="G13" i="193"/>
  <c r="H13" i="193"/>
  <c r="I13" i="193"/>
  <c r="E14" i="193"/>
  <c r="F14" i="193"/>
  <c r="G14" i="193"/>
  <c r="H14" i="193"/>
  <c r="I14" i="193"/>
  <c r="E15" i="193"/>
  <c r="F15" i="193"/>
  <c r="G15" i="193"/>
  <c r="H15" i="193"/>
  <c r="I15" i="193"/>
  <c r="E16" i="193"/>
  <c r="F16" i="193"/>
  <c r="G16" i="193"/>
  <c r="H16" i="193"/>
  <c r="I16" i="193"/>
  <c r="E17" i="193"/>
  <c r="F17" i="193"/>
  <c r="G17" i="193"/>
  <c r="H17" i="193"/>
  <c r="I17" i="193"/>
  <c r="E18" i="193"/>
  <c r="F18" i="193"/>
  <c r="G18" i="193"/>
  <c r="H18" i="193"/>
  <c r="I18" i="193"/>
  <c r="E19" i="193"/>
  <c r="F19" i="193"/>
  <c r="G19" i="193"/>
  <c r="H19" i="193"/>
  <c r="I19" i="193"/>
  <c r="E20" i="193"/>
  <c r="F20" i="193"/>
  <c r="G20" i="193"/>
  <c r="H20" i="193"/>
  <c r="I20" i="193"/>
  <c r="E21" i="193"/>
  <c r="F21" i="193"/>
  <c r="G21" i="193"/>
  <c r="H21" i="193"/>
  <c r="I21" i="193"/>
  <c r="E22" i="193"/>
  <c r="F22" i="193"/>
  <c r="G22" i="193"/>
  <c r="H22" i="193"/>
  <c r="I22" i="193"/>
  <c r="E23" i="193"/>
  <c r="F23" i="193"/>
  <c r="G23" i="193"/>
  <c r="H23" i="193"/>
  <c r="I23" i="193"/>
  <c r="E24" i="193"/>
  <c r="F24" i="193"/>
  <c r="G24" i="193"/>
  <c r="H24" i="193"/>
  <c r="I24" i="193"/>
  <c r="E25" i="193"/>
  <c r="F25" i="193"/>
  <c r="G25" i="193"/>
  <c r="H25" i="193"/>
  <c r="I25" i="193"/>
  <c r="E26" i="193"/>
  <c r="F26" i="193"/>
  <c r="G26" i="193"/>
  <c r="H26" i="193"/>
  <c r="I26" i="193"/>
  <c r="E27" i="193"/>
  <c r="F27" i="193"/>
  <c r="G27" i="193"/>
  <c r="H27" i="193"/>
  <c r="I27" i="193"/>
  <c r="E28" i="193"/>
  <c r="F28" i="193"/>
  <c r="G28" i="193"/>
  <c r="H28" i="193"/>
  <c r="I28" i="193"/>
  <c r="D20" i="193"/>
  <c r="D21" i="193"/>
  <c r="D22" i="193"/>
  <c r="D23" i="193"/>
  <c r="D24" i="193"/>
  <c r="D25" i="193"/>
  <c r="D26" i="193"/>
  <c r="D27" i="193"/>
  <c r="D28" i="193"/>
  <c r="D19" i="193"/>
  <c r="D18" i="193"/>
  <c r="D17" i="193"/>
  <c r="D15" i="193"/>
  <c r="D14" i="193"/>
  <c r="D13" i="193"/>
  <c r="D12" i="193"/>
  <c r="E14" i="192"/>
  <c r="F14" i="192"/>
  <c r="G14" i="192"/>
  <c r="H14" i="192"/>
  <c r="I14" i="192"/>
  <c r="E15" i="192"/>
  <c r="F15" i="192"/>
  <c r="G15" i="192"/>
  <c r="H15" i="192"/>
  <c r="I15" i="192"/>
  <c r="E16" i="192"/>
  <c r="F16" i="192"/>
  <c r="G16" i="192"/>
  <c r="H16" i="192"/>
  <c r="I16" i="192"/>
  <c r="E17" i="192"/>
  <c r="F17" i="192"/>
  <c r="G17" i="192"/>
  <c r="H17" i="192"/>
  <c r="I17" i="192"/>
  <c r="E18" i="192"/>
  <c r="F18" i="192"/>
  <c r="G18" i="192"/>
  <c r="H18" i="192"/>
  <c r="I18" i="192"/>
  <c r="E19" i="192"/>
  <c r="F19" i="192"/>
  <c r="G19" i="192"/>
  <c r="H19" i="192"/>
  <c r="I19" i="192"/>
  <c r="E20" i="192"/>
  <c r="F20" i="192"/>
  <c r="G20" i="192"/>
  <c r="H20" i="192"/>
  <c r="I20" i="192"/>
  <c r="E21" i="192"/>
  <c r="F21" i="192"/>
  <c r="G21" i="192"/>
  <c r="H21" i="192"/>
  <c r="I21" i="192"/>
  <c r="E22" i="192"/>
  <c r="F22" i="192"/>
  <c r="G22" i="192"/>
  <c r="H22" i="192"/>
  <c r="I22" i="192"/>
  <c r="E23" i="192"/>
  <c r="F23" i="192"/>
  <c r="G23" i="192"/>
  <c r="H23" i="192"/>
  <c r="I23" i="192"/>
  <c r="E24" i="192"/>
  <c r="F24" i="192"/>
  <c r="G24" i="192"/>
  <c r="H24" i="192"/>
  <c r="I24" i="192"/>
  <c r="E25" i="192"/>
  <c r="F25" i="192"/>
  <c r="G25" i="192"/>
  <c r="H25" i="192"/>
  <c r="I25" i="192"/>
  <c r="E26" i="192"/>
  <c r="F26" i="192"/>
  <c r="G26" i="192"/>
  <c r="H26" i="192"/>
  <c r="I26" i="192"/>
  <c r="E27" i="192"/>
  <c r="F27" i="192"/>
  <c r="G27" i="192"/>
  <c r="H27" i="192"/>
  <c r="I27" i="192"/>
  <c r="E28" i="192"/>
  <c r="F28" i="192"/>
  <c r="G28" i="192"/>
  <c r="H28" i="192"/>
  <c r="I28" i="192"/>
  <c r="E29" i="192"/>
  <c r="F29" i="192"/>
  <c r="G29" i="192"/>
  <c r="H29" i="192"/>
  <c r="I29" i="192"/>
  <c r="E30" i="192"/>
  <c r="F30" i="192"/>
  <c r="G30" i="192"/>
  <c r="H30" i="192"/>
  <c r="I30" i="192"/>
  <c r="E31" i="192"/>
  <c r="F31" i="192"/>
  <c r="G31" i="192"/>
  <c r="H31" i="192"/>
  <c r="I31" i="192"/>
  <c r="E32" i="192"/>
  <c r="F32" i="192"/>
  <c r="G32" i="192"/>
  <c r="H32" i="192"/>
  <c r="I32" i="192"/>
  <c r="E33" i="192"/>
  <c r="F33" i="192"/>
  <c r="G33" i="192"/>
  <c r="H33" i="192"/>
  <c r="I33" i="192"/>
  <c r="E34" i="192"/>
  <c r="F34" i="192"/>
  <c r="G34" i="192"/>
  <c r="H34" i="192"/>
  <c r="I34" i="192"/>
  <c r="E35" i="192"/>
  <c r="F35" i="192"/>
  <c r="G35" i="192"/>
  <c r="H35" i="192"/>
  <c r="I35" i="192"/>
  <c r="E36" i="192"/>
  <c r="F36" i="192"/>
  <c r="G36" i="192"/>
  <c r="H36" i="192"/>
  <c r="I36" i="192"/>
  <c r="E37" i="192"/>
  <c r="F37" i="192"/>
  <c r="G37" i="192"/>
  <c r="H37" i="192"/>
  <c r="I37" i="192"/>
  <c r="E38" i="192"/>
  <c r="F38" i="192"/>
  <c r="G38" i="192"/>
  <c r="H38" i="192"/>
  <c r="I38" i="192"/>
  <c r="E39" i="192"/>
  <c r="F39" i="192"/>
  <c r="G39" i="192"/>
  <c r="H39" i="192"/>
  <c r="I39" i="192"/>
  <c r="E40" i="192"/>
  <c r="F40" i="192"/>
  <c r="G40" i="192"/>
  <c r="H40" i="192"/>
  <c r="I40" i="192"/>
  <c r="E41" i="192"/>
  <c r="F41" i="192"/>
  <c r="G41" i="192"/>
  <c r="H41" i="192"/>
  <c r="I41" i="192"/>
  <c r="E42" i="192"/>
  <c r="F42" i="192"/>
  <c r="G42" i="192"/>
  <c r="H42" i="192"/>
  <c r="I42" i="192"/>
  <c r="E43" i="192"/>
  <c r="F43" i="192"/>
  <c r="G43" i="192"/>
  <c r="H43" i="192"/>
  <c r="I43" i="192"/>
  <c r="E44" i="192"/>
  <c r="E64" i="192" s="1"/>
  <c r="E66" i="192" s="1"/>
  <c r="F44" i="192"/>
  <c r="F64" i="192" s="1"/>
  <c r="F66" i="192" s="1"/>
  <c r="G44" i="192"/>
  <c r="G64" i="192" s="1"/>
  <c r="G66" i="192" s="1"/>
  <c r="H44" i="192"/>
  <c r="H64" i="192" s="1"/>
  <c r="H66" i="192" s="1"/>
  <c r="I44" i="192"/>
  <c r="E45" i="192"/>
  <c r="F45" i="192"/>
  <c r="G45" i="192"/>
  <c r="H45" i="192"/>
  <c r="I45" i="192"/>
  <c r="E46" i="192"/>
  <c r="F46" i="192"/>
  <c r="G46" i="192"/>
  <c r="H46" i="192"/>
  <c r="I46" i="192"/>
  <c r="E47" i="192"/>
  <c r="F47" i="192"/>
  <c r="G47" i="192"/>
  <c r="H47" i="192"/>
  <c r="I47" i="192"/>
  <c r="E48" i="192"/>
  <c r="F48" i="192"/>
  <c r="G48" i="192"/>
  <c r="H48" i="192"/>
  <c r="I48" i="192"/>
  <c r="E49" i="192"/>
  <c r="F49" i="192"/>
  <c r="G49" i="192"/>
  <c r="H49" i="192"/>
  <c r="I49" i="192"/>
  <c r="E50" i="192"/>
  <c r="F50" i="192"/>
  <c r="G50" i="192"/>
  <c r="H50" i="192"/>
  <c r="I50" i="192"/>
  <c r="E51" i="192"/>
  <c r="F51" i="192"/>
  <c r="G51" i="192"/>
  <c r="H51" i="192"/>
  <c r="I51" i="192"/>
  <c r="D42" i="192"/>
  <c r="D43" i="192"/>
  <c r="D44" i="192"/>
  <c r="D45" i="192"/>
  <c r="D46" i="192"/>
  <c r="D47" i="192"/>
  <c r="D48" i="192"/>
  <c r="D41" i="192"/>
  <c r="D40" i="192"/>
  <c r="E12" i="192"/>
  <c r="F12" i="192"/>
  <c r="G12" i="192"/>
  <c r="H12" i="192"/>
  <c r="I12" i="192"/>
  <c r="D16" i="192"/>
  <c r="D15" i="192"/>
  <c r="D14" i="192"/>
  <c r="D49" i="192"/>
  <c r="D50" i="192"/>
  <c r="D38" i="192"/>
  <c r="D39" i="192"/>
  <c r="D37" i="192"/>
  <c r="D36" i="192"/>
  <c r="D35" i="192"/>
  <c r="D34" i="192"/>
  <c r="D33" i="192"/>
  <c r="D32" i="192"/>
  <c r="D31" i="192"/>
  <c r="D25" i="192"/>
  <c r="D26" i="192"/>
  <c r="D27" i="192"/>
  <c r="D28" i="192"/>
  <c r="D29" i="192"/>
  <c r="D30" i="192"/>
  <c r="D24" i="192"/>
  <c r="D23" i="192"/>
  <c r="D22" i="192"/>
  <c r="D18" i="192"/>
  <c r="D19" i="192"/>
  <c r="D20" i="192"/>
  <c r="D17" i="192"/>
  <c r="D12" i="192"/>
  <c r="E14" i="44"/>
  <c r="F14" i="44"/>
  <c r="G14" i="44"/>
  <c r="H14" i="44"/>
  <c r="I14" i="44"/>
  <c r="E15" i="44"/>
  <c r="F15" i="44"/>
  <c r="G15" i="44"/>
  <c r="H15" i="44"/>
  <c r="I15" i="44"/>
  <c r="E16" i="44"/>
  <c r="F16" i="44"/>
  <c r="G16" i="44"/>
  <c r="H16" i="44"/>
  <c r="I16" i="44"/>
  <c r="E17" i="44"/>
  <c r="F17" i="44"/>
  <c r="G17" i="44"/>
  <c r="H17" i="44"/>
  <c r="I17" i="44"/>
  <c r="E18" i="44"/>
  <c r="F18" i="44"/>
  <c r="G18" i="44"/>
  <c r="H18" i="44"/>
  <c r="I18" i="44"/>
  <c r="E19" i="44"/>
  <c r="F19" i="44"/>
  <c r="G19" i="44"/>
  <c r="H19" i="44"/>
  <c r="I19" i="44"/>
  <c r="E20" i="44"/>
  <c r="F20" i="44"/>
  <c r="G20" i="44"/>
  <c r="H20" i="44"/>
  <c r="I20" i="44"/>
  <c r="E21" i="44"/>
  <c r="F21" i="44"/>
  <c r="G21" i="44"/>
  <c r="H21" i="44"/>
  <c r="I21" i="44"/>
  <c r="E22" i="44"/>
  <c r="F22" i="44"/>
  <c r="G22" i="44"/>
  <c r="H22" i="44"/>
  <c r="I22" i="44"/>
  <c r="E23" i="44"/>
  <c r="F23" i="44"/>
  <c r="G23" i="44"/>
  <c r="H23" i="44"/>
  <c r="I23" i="44"/>
  <c r="E24" i="44"/>
  <c r="F24" i="44"/>
  <c r="G24" i="44"/>
  <c r="H24" i="44"/>
  <c r="I24" i="44"/>
  <c r="E25" i="44"/>
  <c r="F25" i="44"/>
  <c r="G25" i="44"/>
  <c r="H25" i="44"/>
  <c r="I25" i="44"/>
  <c r="E26" i="44"/>
  <c r="F26" i="44"/>
  <c r="G26" i="44"/>
  <c r="H26" i="44"/>
  <c r="I26" i="44"/>
  <c r="E27" i="44"/>
  <c r="F27" i="44"/>
  <c r="G27" i="44"/>
  <c r="H27" i="44"/>
  <c r="I27" i="44"/>
  <c r="E28" i="44"/>
  <c r="F28" i="44"/>
  <c r="G28" i="44"/>
  <c r="H28" i="44"/>
  <c r="I28" i="44"/>
  <c r="E29" i="44"/>
  <c r="F29" i="44"/>
  <c r="G29" i="44"/>
  <c r="H29" i="44"/>
  <c r="I29" i="44"/>
  <c r="E30" i="44"/>
  <c r="F30" i="44"/>
  <c r="G30" i="44"/>
  <c r="H30" i="44"/>
  <c r="I30" i="44"/>
  <c r="E31" i="44"/>
  <c r="F31" i="44"/>
  <c r="G31" i="44"/>
  <c r="H31" i="44"/>
  <c r="I31" i="44"/>
  <c r="E32" i="44"/>
  <c r="F32" i="44"/>
  <c r="G32" i="44"/>
  <c r="H32" i="44"/>
  <c r="I32" i="44"/>
  <c r="E33" i="44"/>
  <c r="F33" i="44"/>
  <c r="G33" i="44"/>
  <c r="H33" i="44"/>
  <c r="I33" i="44"/>
  <c r="E34" i="44"/>
  <c r="F34" i="44"/>
  <c r="G34" i="44"/>
  <c r="H34" i="44"/>
  <c r="I34" i="44"/>
  <c r="E35" i="44"/>
  <c r="F35" i="44"/>
  <c r="G35" i="44"/>
  <c r="H35" i="44"/>
  <c r="I35" i="44"/>
  <c r="E36" i="44"/>
  <c r="F36" i="44"/>
  <c r="G36" i="44"/>
  <c r="H36" i="44"/>
  <c r="I36" i="44"/>
  <c r="E37" i="44"/>
  <c r="F37" i="44"/>
  <c r="G37" i="44"/>
  <c r="H37" i="44"/>
  <c r="I37" i="44"/>
  <c r="E38" i="44"/>
  <c r="F38" i="44"/>
  <c r="G38" i="44"/>
  <c r="H38" i="44"/>
  <c r="I38" i="44"/>
  <c r="E39" i="44"/>
  <c r="F39" i="44"/>
  <c r="G39" i="44"/>
  <c r="H39" i="44"/>
  <c r="I39" i="44"/>
  <c r="E40" i="44"/>
  <c r="F40" i="44"/>
  <c r="G40" i="44"/>
  <c r="H40" i="44"/>
  <c r="I40" i="44"/>
  <c r="E41" i="44"/>
  <c r="F41" i="44"/>
  <c r="G41" i="44"/>
  <c r="H41" i="44"/>
  <c r="I41" i="44"/>
  <c r="E42" i="44"/>
  <c r="F42" i="44"/>
  <c r="G42" i="44"/>
  <c r="H42" i="44"/>
  <c r="I42" i="44"/>
  <c r="E43" i="44"/>
  <c r="F43" i="44"/>
  <c r="G43" i="44"/>
  <c r="H43" i="44"/>
  <c r="I43" i="44"/>
  <c r="E44" i="44"/>
  <c r="F44" i="44"/>
  <c r="G44" i="44"/>
  <c r="H44" i="44"/>
  <c r="I44" i="44"/>
  <c r="E45" i="44"/>
  <c r="F45" i="44"/>
  <c r="G45" i="44"/>
  <c r="H45" i="44"/>
  <c r="I45" i="44"/>
  <c r="E46" i="44"/>
  <c r="F46" i="44"/>
  <c r="G46" i="44"/>
  <c r="H46" i="44"/>
  <c r="I46" i="44"/>
  <c r="E47" i="44"/>
  <c r="F47" i="44"/>
  <c r="G47" i="44"/>
  <c r="H47" i="44"/>
  <c r="I47" i="44"/>
  <c r="E48" i="44"/>
  <c r="F48" i="44"/>
  <c r="G48" i="44"/>
  <c r="H48" i="44"/>
  <c r="I48" i="44"/>
  <c r="E49" i="44"/>
  <c r="F49" i="44"/>
  <c r="G49" i="44"/>
  <c r="H49" i="44"/>
  <c r="I49" i="44"/>
  <c r="E50" i="44"/>
  <c r="F50" i="44"/>
  <c r="G50" i="44"/>
  <c r="H50" i="44"/>
  <c r="I50" i="44"/>
  <c r="E51" i="44"/>
  <c r="F51" i="44"/>
  <c r="G51" i="44"/>
  <c r="H51" i="44"/>
  <c r="I51" i="44"/>
  <c r="E52" i="44"/>
  <c r="F52" i="44"/>
  <c r="G52" i="44"/>
  <c r="H52" i="44"/>
  <c r="I52" i="44"/>
  <c r="E53" i="44"/>
  <c r="F53" i="44"/>
  <c r="G53" i="44"/>
  <c r="H53" i="44"/>
  <c r="I53" i="44"/>
  <c r="E54" i="44"/>
  <c r="F54" i="44"/>
  <c r="G54" i="44"/>
  <c r="H54" i="44"/>
  <c r="I54" i="44"/>
  <c r="E55" i="44"/>
  <c r="F55" i="44"/>
  <c r="G55" i="44"/>
  <c r="H55" i="44"/>
  <c r="I55" i="44"/>
  <c r="E56" i="44"/>
  <c r="F56" i="44"/>
  <c r="G56" i="44"/>
  <c r="H56" i="44"/>
  <c r="I56" i="44"/>
  <c r="E57" i="44"/>
  <c r="F57" i="44"/>
  <c r="G57" i="44"/>
  <c r="H57" i="44"/>
  <c r="I57" i="44"/>
  <c r="E58" i="44"/>
  <c r="F58" i="44"/>
  <c r="G58" i="44"/>
  <c r="H58" i="44"/>
  <c r="I58" i="44"/>
  <c r="E59" i="44"/>
  <c r="F59" i="44"/>
  <c r="G59" i="44"/>
  <c r="H59" i="44"/>
  <c r="I59" i="44"/>
  <c r="E60" i="44"/>
  <c r="F60" i="44"/>
  <c r="G60" i="44"/>
  <c r="H60" i="44"/>
  <c r="I60" i="44"/>
  <c r="E61" i="44"/>
  <c r="F61" i="44"/>
  <c r="G61" i="44"/>
  <c r="H61" i="44"/>
  <c r="I61" i="44"/>
  <c r="E62" i="44"/>
  <c r="F62" i="44"/>
  <c r="G62" i="44"/>
  <c r="H62" i="44"/>
  <c r="I62" i="44"/>
  <c r="E63" i="44"/>
  <c r="F63" i="44"/>
  <c r="G63" i="44"/>
  <c r="H63" i="44"/>
  <c r="I63" i="44"/>
  <c r="E64" i="44"/>
  <c r="F64" i="44"/>
  <c r="G64" i="44"/>
  <c r="H64" i="44"/>
  <c r="I64" i="44"/>
  <c r="E65" i="44"/>
  <c r="F65" i="44"/>
  <c r="G65" i="44"/>
  <c r="H65" i="44"/>
  <c r="I65" i="44"/>
  <c r="E66" i="44"/>
  <c r="F66" i="44"/>
  <c r="G66" i="44"/>
  <c r="H66" i="44"/>
  <c r="I66" i="44"/>
  <c r="E67" i="44"/>
  <c r="F67" i="44"/>
  <c r="G67" i="44"/>
  <c r="H67" i="44"/>
  <c r="I67" i="44"/>
  <c r="E68" i="44"/>
  <c r="F68" i="44"/>
  <c r="G68" i="44"/>
  <c r="H68" i="44"/>
  <c r="I68" i="44"/>
  <c r="E69" i="44"/>
  <c r="F69" i="44"/>
  <c r="G69" i="44"/>
  <c r="H69" i="44"/>
  <c r="I69" i="44"/>
  <c r="E70" i="44"/>
  <c r="F70" i="44"/>
  <c r="G70" i="44"/>
  <c r="H70" i="44"/>
  <c r="I70" i="44"/>
  <c r="E71" i="44"/>
  <c r="F71" i="44"/>
  <c r="G71" i="44"/>
  <c r="H71" i="44"/>
  <c r="I71" i="44"/>
  <c r="E72" i="44"/>
  <c r="F72" i="44"/>
  <c r="G72" i="44"/>
  <c r="H72" i="44"/>
  <c r="I72" i="44"/>
  <c r="E73" i="44"/>
  <c r="F73" i="44"/>
  <c r="G73" i="44"/>
  <c r="H73" i="44"/>
  <c r="I73" i="44"/>
  <c r="E74" i="44"/>
  <c r="F74" i="44"/>
  <c r="G74" i="44"/>
  <c r="H74" i="44"/>
  <c r="I74" i="44"/>
  <c r="E75" i="44"/>
  <c r="F75" i="44"/>
  <c r="G75" i="44"/>
  <c r="H75" i="44"/>
  <c r="I75" i="44"/>
  <c r="E76" i="44"/>
  <c r="F76" i="44"/>
  <c r="G76" i="44"/>
  <c r="H76" i="44"/>
  <c r="I76" i="44"/>
  <c r="E77" i="44"/>
  <c r="F77" i="44"/>
  <c r="G77" i="44"/>
  <c r="H77" i="44"/>
  <c r="I77" i="44"/>
  <c r="E78" i="44"/>
  <c r="F78" i="44"/>
  <c r="G78" i="44"/>
  <c r="H78" i="44"/>
  <c r="I78" i="44"/>
  <c r="E79" i="44"/>
  <c r="F79" i="44"/>
  <c r="G79" i="44"/>
  <c r="H79" i="44"/>
  <c r="I79" i="44"/>
  <c r="E80" i="44"/>
  <c r="F80" i="44"/>
  <c r="G80" i="44"/>
  <c r="H80" i="44"/>
  <c r="I80" i="44"/>
  <c r="E81" i="44"/>
  <c r="F81" i="44"/>
  <c r="G81" i="44"/>
  <c r="H81" i="44"/>
  <c r="I81" i="44"/>
  <c r="E82" i="44"/>
  <c r="F82" i="44"/>
  <c r="G82" i="44"/>
  <c r="H82" i="44"/>
  <c r="I82" i="44"/>
  <c r="E83" i="44"/>
  <c r="F83" i="44"/>
  <c r="G83" i="44"/>
  <c r="H83" i="44"/>
  <c r="I83" i="44"/>
  <c r="E84" i="44"/>
  <c r="F84" i="44"/>
  <c r="G84" i="44"/>
  <c r="H84" i="44"/>
  <c r="I84" i="44"/>
  <c r="E85" i="44"/>
  <c r="F85" i="44"/>
  <c r="G85" i="44"/>
  <c r="H85" i="44"/>
  <c r="I85" i="44"/>
  <c r="E86" i="44"/>
  <c r="F86" i="44"/>
  <c r="G86" i="44"/>
  <c r="H86" i="44"/>
  <c r="I86" i="44"/>
  <c r="E87" i="44"/>
  <c r="F87" i="44"/>
  <c r="G87" i="44"/>
  <c r="H87" i="44"/>
  <c r="I87" i="44"/>
  <c r="E88" i="44"/>
  <c r="F88" i="44"/>
  <c r="G88" i="44"/>
  <c r="H88" i="44"/>
  <c r="I88" i="44"/>
  <c r="E89" i="44"/>
  <c r="F89" i="44"/>
  <c r="G89" i="44"/>
  <c r="H89" i="44"/>
  <c r="I89" i="44"/>
  <c r="E90" i="44"/>
  <c r="F90" i="44"/>
  <c r="G90" i="44"/>
  <c r="H90" i="44"/>
  <c r="I90" i="44"/>
  <c r="E91" i="44"/>
  <c r="F91" i="44"/>
  <c r="G91" i="44"/>
  <c r="H91" i="44"/>
  <c r="I91" i="44"/>
  <c r="E92" i="44"/>
  <c r="F92" i="44"/>
  <c r="G92" i="44"/>
  <c r="H92" i="44"/>
  <c r="I92" i="44"/>
  <c r="E93" i="44"/>
  <c r="F93" i="44"/>
  <c r="G93" i="44"/>
  <c r="H93" i="44"/>
  <c r="I93" i="44"/>
  <c r="E94" i="44"/>
  <c r="F94" i="44"/>
  <c r="G94" i="44"/>
  <c r="H94" i="44"/>
  <c r="I94" i="44"/>
  <c r="E95" i="44"/>
  <c r="F95" i="44"/>
  <c r="G95" i="44"/>
  <c r="H95" i="44"/>
  <c r="I95" i="44"/>
  <c r="E96" i="44"/>
  <c r="F96" i="44"/>
  <c r="G96" i="44"/>
  <c r="H96" i="44"/>
  <c r="I96" i="44"/>
  <c r="E97" i="44"/>
  <c r="F97" i="44"/>
  <c r="G97" i="44"/>
  <c r="H97" i="44"/>
  <c r="I97" i="44"/>
  <c r="E98" i="44"/>
  <c r="F98" i="44"/>
  <c r="G98" i="44"/>
  <c r="H98" i="44"/>
  <c r="I98" i="44"/>
  <c r="E99" i="44"/>
  <c r="F99" i="44"/>
  <c r="G99" i="44"/>
  <c r="H99" i="44"/>
  <c r="I99" i="44"/>
  <c r="E100" i="44"/>
  <c r="F100" i="44"/>
  <c r="G100" i="44"/>
  <c r="H100" i="44"/>
  <c r="I100" i="44"/>
  <c r="E101" i="44"/>
  <c r="F101" i="44"/>
  <c r="G101" i="44"/>
  <c r="H101" i="44"/>
  <c r="I101" i="44"/>
  <c r="E102" i="44"/>
  <c r="F102" i="44"/>
  <c r="G102" i="44"/>
  <c r="H102" i="44"/>
  <c r="I102" i="44"/>
  <c r="E103" i="44"/>
  <c r="F103" i="44"/>
  <c r="G103" i="44"/>
  <c r="H103" i="44"/>
  <c r="I103" i="44"/>
  <c r="E104" i="44"/>
  <c r="F104" i="44"/>
  <c r="G104" i="44"/>
  <c r="H104" i="44"/>
  <c r="I104" i="44"/>
  <c r="E105" i="44"/>
  <c r="F105" i="44"/>
  <c r="G105" i="44"/>
  <c r="H105" i="44"/>
  <c r="I105" i="44"/>
  <c r="E106" i="44"/>
  <c r="F106" i="44"/>
  <c r="G106" i="44"/>
  <c r="H106" i="44"/>
  <c r="I106" i="44"/>
  <c r="E107" i="44"/>
  <c r="F107" i="44"/>
  <c r="G107" i="44"/>
  <c r="H107" i="44"/>
  <c r="I107" i="44"/>
  <c r="E108" i="44"/>
  <c r="F108" i="44"/>
  <c r="G108" i="44"/>
  <c r="H108" i="44"/>
  <c r="I108" i="44"/>
  <c r="E109" i="44"/>
  <c r="F109" i="44"/>
  <c r="G109" i="44"/>
  <c r="H109" i="44"/>
  <c r="I109" i="44"/>
  <c r="E110" i="44"/>
  <c r="F110" i="44"/>
  <c r="G110" i="44"/>
  <c r="H110" i="44"/>
  <c r="I110" i="44"/>
  <c r="E111" i="44"/>
  <c r="F111" i="44"/>
  <c r="G111" i="44"/>
  <c r="H111" i="44"/>
  <c r="I111" i="44"/>
  <c r="D18" i="44"/>
  <c r="D17" i="44"/>
  <c r="D16" i="44"/>
  <c r="D15" i="44"/>
  <c r="D14" i="44"/>
  <c r="D107" i="44"/>
  <c r="D108" i="44"/>
  <c r="D109" i="44"/>
  <c r="D110" i="44"/>
  <c r="D111" i="44"/>
  <c r="D98" i="44"/>
  <c r="D99" i="44"/>
  <c r="D100" i="44"/>
  <c r="D101" i="44"/>
  <c r="D102" i="44"/>
  <c r="D103" i="44"/>
  <c r="D104" i="44"/>
  <c r="D105" i="44"/>
  <c r="D106" i="44"/>
  <c r="D97" i="44"/>
  <c r="D93" i="44"/>
  <c r="D94" i="44"/>
  <c r="D95" i="44"/>
  <c r="D92" i="44"/>
  <c r="D91" i="44"/>
  <c r="D90" i="44"/>
  <c r="D89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74" i="44"/>
  <c r="D71" i="44"/>
  <c r="D72" i="44"/>
  <c r="D70" i="44"/>
  <c r="D69" i="44"/>
  <c r="D67" i="44"/>
  <c r="D65" i="44"/>
  <c r="D66" i="44"/>
  <c r="D64" i="44"/>
  <c r="D62" i="44"/>
  <c r="D61" i="44"/>
  <c r="D56" i="44"/>
  <c r="D57" i="44"/>
  <c r="D55" i="44"/>
  <c r="D49" i="44"/>
  <c r="D50" i="44"/>
  <c r="D51" i="44"/>
  <c r="D52" i="44"/>
  <c r="D53" i="44"/>
  <c r="D48" i="44"/>
  <c r="D46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33" i="44"/>
  <c r="D29" i="44"/>
  <c r="D19" i="44"/>
  <c r="D20" i="44"/>
  <c r="D21" i="44"/>
  <c r="D22" i="44"/>
  <c r="D23" i="44"/>
  <c r="D24" i="44"/>
  <c r="D25" i="44"/>
  <c r="D26" i="44"/>
  <c r="D27" i="44"/>
  <c r="E14" i="190"/>
  <c r="F14" i="190"/>
  <c r="G14" i="190"/>
  <c r="H14" i="190"/>
  <c r="I14" i="190"/>
  <c r="E15" i="190"/>
  <c r="F15" i="190"/>
  <c r="G15" i="190"/>
  <c r="H15" i="190"/>
  <c r="I15" i="190"/>
  <c r="E16" i="190"/>
  <c r="F16" i="190"/>
  <c r="G16" i="190"/>
  <c r="H16" i="190"/>
  <c r="I16" i="190"/>
  <c r="E17" i="190"/>
  <c r="F17" i="190"/>
  <c r="G17" i="190"/>
  <c r="H17" i="190"/>
  <c r="I17" i="190"/>
  <c r="E19" i="190"/>
  <c r="F19" i="190"/>
  <c r="G19" i="190"/>
  <c r="H19" i="190"/>
  <c r="I19" i="190"/>
  <c r="E20" i="190"/>
  <c r="F20" i="190"/>
  <c r="G20" i="190"/>
  <c r="H20" i="190"/>
  <c r="I20" i="190"/>
  <c r="E21" i="190"/>
  <c r="F21" i="190"/>
  <c r="G21" i="190"/>
  <c r="H21" i="190"/>
  <c r="I21" i="190"/>
  <c r="E22" i="190"/>
  <c r="F22" i="190"/>
  <c r="G22" i="190"/>
  <c r="H22" i="190"/>
  <c r="I22" i="190"/>
  <c r="E23" i="190"/>
  <c r="F23" i="190"/>
  <c r="G23" i="190"/>
  <c r="H23" i="190"/>
  <c r="I23" i="190"/>
  <c r="E24" i="190"/>
  <c r="F24" i="190"/>
  <c r="G24" i="190"/>
  <c r="H24" i="190"/>
  <c r="I24" i="190"/>
  <c r="E25" i="190"/>
  <c r="F25" i="190"/>
  <c r="G25" i="190"/>
  <c r="H25" i="190"/>
  <c r="I25" i="190"/>
  <c r="E26" i="190"/>
  <c r="F26" i="190"/>
  <c r="G26" i="190"/>
  <c r="H26" i="190"/>
  <c r="I26" i="190"/>
  <c r="E27" i="190"/>
  <c r="F27" i="190"/>
  <c r="G27" i="190"/>
  <c r="H27" i="190"/>
  <c r="I27" i="190"/>
  <c r="E28" i="190"/>
  <c r="F28" i="190"/>
  <c r="G28" i="190"/>
  <c r="H28" i="190"/>
  <c r="I28" i="190"/>
  <c r="E29" i="190"/>
  <c r="F29" i="190"/>
  <c r="G29" i="190"/>
  <c r="H29" i="190"/>
  <c r="I29" i="190"/>
  <c r="E30" i="190"/>
  <c r="F30" i="190"/>
  <c r="G30" i="190"/>
  <c r="H30" i="190"/>
  <c r="I30" i="190"/>
  <c r="E31" i="190"/>
  <c r="F31" i="190"/>
  <c r="G31" i="190"/>
  <c r="H31" i="190"/>
  <c r="E32" i="190"/>
  <c r="F32" i="190"/>
  <c r="G32" i="190"/>
  <c r="H32" i="190"/>
  <c r="I32" i="190"/>
  <c r="E33" i="190"/>
  <c r="F33" i="190"/>
  <c r="G33" i="190"/>
  <c r="H33" i="190"/>
  <c r="I33" i="190"/>
  <c r="E34" i="190"/>
  <c r="F34" i="190"/>
  <c r="G34" i="190"/>
  <c r="H34" i="190"/>
  <c r="I34" i="190"/>
  <c r="E35" i="190"/>
  <c r="F35" i="190"/>
  <c r="G35" i="190"/>
  <c r="H35" i="190"/>
  <c r="I35" i="190"/>
  <c r="E36" i="190"/>
  <c r="F36" i="190"/>
  <c r="G36" i="190"/>
  <c r="H36" i="190"/>
  <c r="I36" i="190"/>
  <c r="E37" i="190"/>
  <c r="F37" i="190"/>
  <c r="G37" i="190"/>
  <c r="H37" i="190"/>
  <c r="I37" i="190"/>
  <c r="E38" i="190"/>
  <c r="F38" i="190"/>
  <c r="G38" i="190"/>
  <c r="H38" i="190"/>
  <c r="I38" i="190"/>
  <c r="E39" i="190"/>
  <c r="F39" i="190"/>
  <c r="G39" i="190"/>
  <c r="H39" i="190"/>
  <c r="I39" i="190"/>
  <c r="D39" i="190"/>
  <c r="D38" i="190"/>
  <c r="D37" i="190"/>
  <c r="D28" i="190"/>
  <c r="D27" i="190"/>
  <c r="D25" i="190"/>
  <c r="D22" i="190"/>
  <c r="D19" i="190"/>
  <c r="D17" i="190"/>
  <c r="D15" i="190"/>
  <c r="D14" i="190"/>
  <c r="D36" i="190"/>
  <c r="D30" i="190"/>
  <c r="D31" i="190"/>
  <c r="D32" i="190"/>
  <c r="D33" i="190"/>
  <c r="D34" i="190"/>
  <c r="D35" i="190"/>
  <c r="D29" i="190"/>
  <c r="D26" i="190"/>
  <c r="D24" i="190"/>
  <c r="D23" i="190"/>
  <c r="D21" i="190"/>
  <c r="D20" i="190"/>
  <c r="D16" i="190"/>
  <c r="P49" i="192" l="1"/>
  <c r="I64" i="192"/>
  <c r="I66" i="192" s="1"/>
  <c r="I55" i="192"/>
  <c r="D55" i="192"/>
  <c r="D64" i="192"/>
  <c r="D66" i="192" s="1"/>
  <c r="D40" i="190"/>
  <c r="P28" i="190"/>
  <c r="G123" i="44"/>
  <c r="G125" i="44" s="1"/>
  <c r="P22" i="190"/>
  <c r="F123" i="44"/>
  <c r="F125" i="44" s="1"/>
  <c r="P29" i="44"/>
  <c r="D30" i="45" s="1"/>
  <c r="I123" i="44"/>
  <c r="I125" i="44" s="1"/>
  <c r="E123" i="44"/>
  <c r="E125" i="44" s="1"/>
  <c r="H123" i="44"/>
  <c r="H125" i="44" s="1"/>
  <c r="P50" i="192"/>
  <c r="K96" i="209" l="1"/>
  <c r="K96" i="236"/>
  <c r="J43" i="35" l="1"/>
  <c r="J42" i="35"/>
  <c r="H43" i="35"/>
  <c r="H42" i="35"/>
  <c r="F43" i="35"/>
  <c r="F42" i="35"/>
  <c r="J36" i="35"/>
  <c r="J35" i="35"/>
  <c r="H36" i="35"/>
  <c r="H35" i="35"/>
  <c r="J26" i="35"/>
  <c r="J25" i="35"/>
  <c r="J24" i="35"/>
  <c r="H26" i="35"/>
  <c r="H25" i="35"/>
  <c r="H24" i="35"/>
  <c r="J17" i="35"/>
  <c r="H17" i="35"/>
  <c r="F17" i="35"/>
  <c r="J18" i="35"/>
  <c r="H18" i="35"/>
  <c r="F18" i="35"/>
  <c r="D50" i="35" l="1"/>
  <c r="H50" i="35"/>
  <c r="F50" i="35"/>
  <c r="H49" i="35"/>
  <c r="F49" i="35"/>
  <c r="D49" i="35"/>
  <c r="I46" i="35"/>
  <c r="G46" i="35"/>
  <c r="E46" i="35"/>
  <c r="C46" i="35"/>
  <c r="D43" i="35"/>
  <c r="D42" i="35"/>
  <c r="I39" i="35"/>
  <c r="G39" i="35"/>
  <c r="E39" i="35"/>
  <c r="C39" i="35"/>
  <c r="F36" i="35"/>
  <c r="D36" i="35"/>
  <c r="F35" i="35"/>
  <c r="D35" i="35"/>
  <c r="F30" i="35"/>
  <c r="D30" i="35"/>
  <c r="I28" i="35"/>
  <c r="G28" i="35"/>
  <c r="E28" i="35"/>
  <c r="C28" i="35"/>
  <c r="I26" i="35"/>
  <c r="I32" i="35" s="1"/>
  <c r="G26" i="35"/>
  <c r="F26" i="35" s="1"/>
  <c r="E26" i="35"/>
  <c r="E32" i="35" s="1"/>
  <c r="C26" i="35"/>
  <c r="C32" i="35" s="1"/>
  <c r="F25" i="35"/>
  <c r="D25" i="35"/>
  <c r="F24" i="35"/>
  <c r="D24" i="35"/>
  <c r="I21" i="35"/>
  <c r="G21" i="35"/>
  <c r="E21" i="35"/>
  <c r="C21" i="35"/>
  <c r="I19" i="35"/>
  <c r="G19" i="35"/>
  <c r="F19" i="35"/>
  <c r="E19" i="35"/>
  <c r="D19" i="35"/>
  <c r="C19" i="35"/>
  <c r="D18" i="35"/>
  <c r="D17" i="35"/>
  <c r="D26" i="35" l="1"/>
  <c r="G32" i="35"/>
  <c r="C18" i="239"/>
  <c r="C16" i="239" l="1"/>
  <c r="C23" i="36" l="1"/>
  <c r="C22" i="36"/>
  <c r="C21" i="36"/>
  <c r="C20" i="36"/>
  <c r="E24" i="99" l="1"/>
  <c r="P25" i="202"/>
  <c r="H25" i="202"/>
  <c r="G24" i="99"/>
  <c r="A19" i="99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I27" i="8"/>
  <c r="E29" i="8"/>
  <c r="E29" i="99" s="1"/>
  <c r="E28" i="8"/>
  <c r="E28" i="99" s="1"/>
  <c r="G24" i="8"/>
  <c r="G23" i="8"/>
  <c r="G22" i="8"/>
  <c r="G21" i="8"/>
  <c r="G19" i="8"/>
  <c r="G18" i="8"/>
  <c r="G17" i="8"/>
  <c r="G16" i="8"/>
  <c r="E24" i="8"/>
  <c r="E23" i="8"/>
  <c r="E22" i="8"/>
  <c r="E21" i="8"/>
  <c r="E19" i="8"/>
  <c r="A19" i="8"/>
  <c r="A20" i="8"/>
  <c r="A21" i="8"/>
  <c r="A22" i="8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E18" i="8"/>
  <c r="E17" i="8"/>
  <c r="E16" i="8"/>
  <c r="J18" i="5"/>
  <c r="F16" i="5"/>
  <c r="C60" i="238" l="1"/>
  <c r="M59" i="171"/>
  <c r="N59" i="171"/>
  <c r="L59" i="171"/>
  <c r="M45" i="171"/>
  <c r="N45" i="171"/>
  <c r="C46" i="238" s="1"/>
  <c r="L45" i="171"/>
  <c r="M16" i="171"/>
  <c r="N16" i="171"/>
  <c r="L16" i="171"/>
  <c r="R132" i="10" l="1"/>
  <c r="Q132" i="10"/>
  <c r="P132" i="10"/>
  <c r="O132" i="10"/>
  <c r="N132" i="10"/>
  <c r="M132" i="10"/>
  <c r="L132" i="10"/>
  <c r="K132" i="10"/>
  <c r="J132" i="10"/>
  <c r="I132" i="10"/>
  <c r="R130" i="10"/>
  <c r="Q130" i="10"/>
  <c r="P130" i="10"/>
  <c r="O130" i="10"/>
  <c r="N130" i="10"/>
  <c r="M130" i="10"/>
  <c r="L130" i="10"/>
  <c r="K130" i="10"/>
  <c r="J130" i="10"/>
  <c r="I130" i="10"/>
  <c r="R122" i="10"/>
  <c r="Q122" i="10"/>
  <c r="P122" i="10"/>
  <c r="O122" i="10"/>
  <c r="N122" i="10"/>
  <c r="M122" i="10"/>
  <c r="L122" i="10"/>
  <c r="K122" i="10"/>
  <c r="J122" i="10"/>
  <c r="I122" i="10"/>
  <c r="R121" i="10"/>
  <c r="Q121" i="10"/>
  <c r="P121" i="10"/>
  <c r="O121" i="10"/>
  <c r="N121" i="10"/>
  <c r="M121" i="10"/>
  <c r="L121" i="10"/>
  <c r="K121" i="10"/>
  <c r="J121" i="10"/>
  <c r="I121" i="10"/>
  <c r="R120" i="10"/>
  <c r="Q120" i="10"/>
  <c r="P120" i="10"/>
  <c r="O120" i="10"/>
  <c r="N120" i="10"/>
  <c r="M120" i="10"/>
  <c r="L120" i="10"/>
  <c r="K120" i="10"/>
  <c r="J120" i="10"/>
  <c r="I120" i="10"/>
  <c r="R119" i="10"/>
  <c r="Q119" i="10"/>
  <c r="P119" i="10"/>
  <c r="O119" i="10"/>
  <c r="N119" i="10"/>
  <c r="M119" i="10"/>
  <c r="L119" i="10"/>
  <c r="K119" i="10"/>
  <c r="J119" i="10"/>
  <c r="I119" i="10"/>
  <c r="R115" i="10"/>
  <c r="Q115" i="10"/>
  <c r="P115" i="10"/>
  <c r="O115" i="10"/>
  <c r="N115" i="10"/>
  <c r="M115" i="10"/>
  <c r="L115" i="10"/>
  <c r="K115" i="10"/>
  <c r="J115" i="10"/>
  <c r="I115" i="10"/>
  <c r="R114" i="10"/>
  <c r="Q114" i="10"/>
  <c r="P114" i="10"/>
  <c r="O114" i="10"/>
  <c r="N114" i="10"/>
  <c r="M114" i="10"/>
  <c r="L114" i="10"/>
  <c r="K114" i="10"/>
  <c r="J114" i="10"/>
  <c r="I114" i="10"/>
  <c r="R113" i="10"/>
  <c r="Q113" i="10"/>
  <c r="P113" i="10"/>
  <c r="O113" i="10"/>
  <c r="N113" i="10"/>
  <c r="M113" i="10"/>
  <c r="L113" i="10"/>
  <c r="K113" i="10"/>
  <c r="J113" i="10"/>
  <c r="I113" i="10"/>
  <c r="R108" i="10"/>
  <c r="Q108" i="10"/>
  <c r="P108" i="10"/>
  <c r="O108" i="10"/>
  <c r="N108" i="10"/>
  <c r="M108" i="10"/>
  <c r="L108" i="10"/>
  <c r="K108" i="10"/>
  <c r="J108" i="10"/>
  <c r="I108" i="10"/>
  <c r="R107" i="10"/>
  <c r="Q107" i="10"/>
  <c r="P107" i="10"/>
  <c r="O107" i="10"/>
  <c r="N107" i="10"/>
  <c r="M107" i="10"/>
  <c r="L107" i="10"/>
  <c r="K107" i="10"/>
  <c r="J107" i="10"/>
  <c r="I107" i="10"/>
  <c r="R106" i="10"/>
  <c r="Q106" i="10"/>
  <c r="P106" i="10"/>
  <c r="O106" i="10"/>
  <c r="N106" i="10"/>
  <c r="M106" i="10"/>
  <c r="L106" i="10"/>
  <c r="K106" i="10"/>
  <c r="J106" i="10"/>
  <c r="I106" i="10"/>
  <c r="R105" i="10"/>
  <c r="Q105" i="10"/>
  <c r="P105" i="10"/>
  <c r="O105" i="10"/>
  <c r="N105" i="10"/>
  <c r="M105" i="10"/>
  <c r="L105" i="10"/>
  <c r="K105" i="10"/>
  <c r="J105" i="10"/>
  <c r="I105" i="10"/>
  <c r="R104" i="10"/>
  <c r="Q104" i="10"/>
  <c r="P104" i="10"/>
  <c r="O104" i="10"/>
  <c r="N104" i="10"/>
  <c r="M104" i="10"/>
  <c r="L104" i="10"/>
  <c r="K104" i="10"/>
  <c r="J104" i="10"/>
  <c r="I104" i="10"/>
  <c r="R103" i="10"/>
  <c r="Q103" i="10"/>
  <c r="P103" i="10"/>
  <c r="O103" i="10"/>
  <c r="N103" i="10"/>
  <c r="M103" i="10"/>
  <c r="L103" i="10"/>
  <c r="K103" i="10"/>
  <c r="J103" i="10"/>
  <c r="I103" i="10"/>
  <c r="R102" i="10"/>
  <c r="Q102" i="10"/>
  <c r="P102" i="10"/>
  <c r="O102" i="10"/>
  <c r="N102" i="10"/>
  <c r="M102" i="10"/>
  <c r="L102" i="10"/>
  <c r="K102" i="10"/>
  <c r="J102" i="10"/>
  <c r="I102" i="10"/>
  <c r="R101" i="10"/>
  <c r="Q101" i="10"/>
  <c r="P101" i="10"/>
  <c r="O101" i="10"/>
  <c r="N101" i="10"/>
  <c r="M101" i="10"/>
  <c r="L101" i="10"/>
  <c r="K101" i="10"/>
  <c r="J101" i="10"/>
  <c r="I101" i="10"/>
  <c r="R100" i="10"/>
  <c r="Q100" i="10"/>
  <c r="P100" i="10"/>
  <c r="O100" i="10"/>
  <c r="N100" i="10"/>
  <c r="M100" i="10"/>
  <c r="L100" i="10"/>
  <c r="K100" i="10"/>
  <c r="J100" i="10"/>
  <c r="I100" i="10"/>
  <c r="R96" i="10"/>
  <c r="Q96" i="10"/>
  <c r="P96" i="10"/>
  <c r="O96" i="10"/>
  <c r="N96" i="10"/>
  <c r="M96" i="10"/>
  <c r="L96" i="10"/>
  <c r="K96" i="10"/>
  <c r="J96" i="10"/>
  <c r="I96" i="10"/>
  <c r="R95" i="10"/>
  <c r="Q95" i="10"/>
  <c r="P95" i="10"/>
  <c r="O95" i="10"/>
  <c r="N95" i="10"/>
  <c r="M95" i="10"/>
  <c r="L95" i="10"/>
  <c r="K95" i="10"/>
  <c r="J95" i="10"/>
  <c r="I95" i="10"/>
  <c r="R94" i="10"/>
  <c r="Q94" i="10"/>
  <c r="P94" i="10"/>
  <c r="O94" i="10"/>
  <c r="N94" i="10"/>
  <c r="M94" i="10"/>
  <c r="L94" i="10"/>
  <c r="K94" i="10"/>
  <c r="J94" i="10"/>
  <c r="I94" i="10"/>
  <c r="R93" i="10"/>
  <c r="Q93" i="10"/>
  <c r="P93" i="10"/>
  <c r="O93" i="10"/>
  <c r="N93" i="10"/>
  <c r="M93" i="10"/>
  <c r="L93" i="10"/>
  <c r="K93" i="10"/>
  <c r="J93" i="10"/>
  <c r="I93" i="10"/>
  <c r="R92" i="10"/>
  <c r="Q92" i="10"/>
  <c r="P92" i="10"/>
  <c r="O92" i="10"/>
  <c r="N92" i="10"/>
  <c r="M92" i="10"/>
  <c r="L92" i="10"/>
  <c r="K92" i="10"/>
  <c r="J92" i="10"/>
  <c r="I92" i="10"/>
  <c r="R91" i="10"/>
  <c r="Q91" i="10"/>
  <c r="P91" i="10"/>
  <c r="O91" i="10"/>
  <c r="N91" i="10"/>
  <c r="M91" i="10"/>
  <c r="L91" i="10"/>
  <c r="K91" i="10"/>
  <c r="J91" i="10"/>
  <c r="I91" i="10"/>
  <c r="R86" i="10"/>
  <c r="Q86" i="10"/>
  <c r="P86" i="10"/>
  <c r="O86" i="10"/>
  <c r="N86" i="10"/>
  <c r="M86" i="10"/>
  <c r="L86" i="10"/>
  <c r="K86" i="10"/>
  <c r="J86" i="10"/>
  <c r="I86" i="10"/>
  <c r="R85" i="10"/>
  <c r="Q85" i="10"/>
  <c r="P85" i="10"/>
  <c r="O85" i="10"/>
  <c r="N85" i="10"/>
  <c r="M85" i="10"/>
  <c r="L85" i="10"/>
  <c r="K85" i="10"/>
  <c r="J85" i="10"/>
  <c r="I85" i="10"/>
  <c r="R82" i="10"/>
  <c r="Q82" i="10"/>
  <c r="P82" i="10"/>
  <c r="O82" i="10"/>
  <c r="N82" i="10"/>
  <c r="M82" i="10"/>
  <c r="L82" i="10"/>
  <c r="K82" i="10"/>
  <c r="J82" i="10"/>
  <c r="I82" i="10"/>
  <c r="R80" i="10"/>
  <c r="Q80" i="10"/>
  <c r="P80" i="10"/>
  <c r="O80" i="10"/>
  <c r="N80" i="10"/>
  <c r="M80" i="10"/>
  <c r="L80" i="10"/>
  <c r="K80" i="10"/>
  <c r="J80" i="10"/>
  <c r="I80" i="10"/>
  <c r="R79" i="10"/>
  <c r="Q79" i="10"/>
  <c r="P79" i="10"/>
  <c r="O79" i="10"/>
  <c r="N79" i="10"/>
  <c r="M79" i="10"/>
  <c r="L79" i="10"/>
  <c r="K79" i="10"/>
  <c r="J79" i="10"/>
  <c r="I79" i="10"/>
  <c r="R78" i="10"/>
  <c r="Q78" i="10"/>
  <c r="P78" i="10"/>
  <c r="O78" i="10"/>
  <c r="N78" i="10"/>
  <c r="M78" i="10"/>
  <c r="L78" i="10"/>
  <c r="K78" i="10"/>
  <c r="J78" i="10"/>
  <c r="I78" i="10"/>
  <c r="R77" i="10"/>
  <c r="Q77" i="10"/>
  <c r="P77" i="10"/>
  <c r="O77" i="10"/>
  <c r="N77" i="10"/>
  <c r="M77" i="10"/>
  <c r="L77" i="10"/>
  <c r="K77" i="10"/>
  <c r="J77" i="10"/>
  <c r="I77" i="10"/>
  <c r="R76" i="10"/>
  <c r="Q76" i="10"/>
  <c r="P76" i="10"/>
  <c r="O76" i="10"/>
  <c r="N76" i="10"/>
  <c r="M76" i="10"/>
  <c r="L76" i="10"/>
  <c r="K76" i="10"/>
  <c r="J76" i="10"/>
  <c r="I76" i="10"/>
  <c r="R72" i="10"/>
  <c r="Q72" i="10"/>
  <c r="P72" i="10"/>
  <c r="O72" i="10"/>
  <c r="N72" i="10"/>
  <c r="M72" i="10"/>
  <c r="L72" i="10"/>
  <c r="K72" i="10"/>
  <c r="J72" i="10"/>
  <c r="I72" i="10"/>
  <c r="R71" i="10"/>
  <c r="Q71" i="10"/>
  <c r="P71" i="10"/>
  <c r="O71" i="10"/>
  <c r="N71" i="10"/>
  <c r="M71" i="10"/>
  <c r="L71" i="10"/>
  <c r="K71" i="10"/>
  <c r="J71" i="10"/>
  <c r="I71" i="10"/>
  <c r="R59" i="10"/>
  <c r="Q59" i="10"/>
  <c r="P59" i="10"/>
  <c r="O59" i="10"/>
  <c r="N59" i="10"/>
  <c r="M59" i="10"/>
  <c r="L59" i="10"/>
  <c r="K59" i="10"/>
  <c r="J59" i="10"/>
  <c r="I59" i="10"/>
  <c r="R57" i="10"/>
  <c r="Q57" i="10"/>
  <c r="P57" i="10"/>
  <c r="O57" i="10"/>
  <c r="N57" i="10"/>
  <c r="M57" i="10"/>
  <c r="L57" i="10"/>
  <c r="K57" i="10"/>
  <c r="J57" i="10"/>
  <c r="I57" i="10"/>
  <c r="R56" i="10"/>
  <c r="Q56" i="10"/>
  <c r="P56" i="10"/>
  <c r="O56" i="10"/>
  <c r="N56" i="10"/>
  <c r="M56" i="10"/>
  <c r="L56" i="10"/>
  <c r="K56" i="10"/>
  <c r="J56" i="10"/>
  <c r="I56" i="10"/>
  <c r="R54" i="10"/>
  <c r="Q54" i="10"/>
  <c r="P54" i="10"/>
  <c r="O54" i="10"/>
  <c r="N54" i="10"/>
  <c r="M54" i="10"/>
  <c r="L54" i="10"/>
  <c r="K54" i="10"/>
  <c r="J54" i="10"/>
  <c r="I54" i="10"/>
  <c r="R53" i="10"/>
  <c r="Q53" i="10"/>
  <c r="P53" i="10"/>
  <c r="O53" i="10"/>
  <c r="N53" i="10"/>
  <c r="M53" i="10"/>
  <c r="L53" i="10"/>
  <c r="K53" i="10"/>
  <c r="J53" i="10"/>
  <c r="I53" i="10"/>
  <c r="R52" i="10"/>
  <c r="Q52" i="10"/>
  <c r="P52" i="10"/>
  <c r="O52" i="10"/>
  <c r="N52" i="10"/>
  <c r="M52" i="10"/>
  <c r="L52" i="10"/>
  <c r="K52" i="10"/>
  <c r="J52" i="10"/>
  <c r="I52" i="10"/>
  <c r="R51" i="10"/>
  <c r="Q51" i="10"/>
  <c r="P51" i="10"/>
  <c r="O51" i="10"/>
  <c r="N51" i="10"/>
  <c r="M51" i="10"/>
  <c r="L51" i="10"/>
  <c r="K51" i="10"/>
  <c r="J51" i="10"/>
  <c r="I51" i="10"/>
  <c r="R50" i="10"/>
  <c r="Q50" i="10"/>
  <c r="P50" i="10"/>
  <c r="O50" i="10"/>
  <c r="N50" i="10"/>
  <c r="M50" i="10"/>
  <c r="L50" i="10"/>
  <c r="K50" i="10"/>
  <c r="J50" i="10"/>
  <c r="I50" i="10"/>
  <c r="R49" i="10"/>
  <c r="Q49" i="10"/>
  <c r="P49" i="10"/>
  <c r="O49" i="10"/>
  <c r="N49" i="10"/>
  <c r="M49" i="10"/>
  <c r="L49" i="10"/>
  <c r="K49" i="10"/>
  <c r="J49" i="10"/>
  <c r="I49" i="10"/>
  <c r="R48" i="10"/>
  <c r="Q48" i="10"/>
  <c r="P48" i="10"/>
  <c r="O48" i="10"/>
  <c r="N48" i="10"/>
  <c r="M48" i="10"/>
  <c r="L48" i="10"/>
  <c r="K48" i="10"/>
  <c r="J48" i="10"/>
  <c r="I48" i="10"/>
  <c r="R43" i="10"/>
  <c r="Q43" i="10"/>
  <c r="P43" i="10"/>
  <c r="O43" i="10"/>
  <c r="N43" i="10"/>
  <c r="M43" i="10"/>
  <c r="L43" i="10"/>
  <c r="K43" i="10"/>
  <c r="J43" i="10"/>
  <c r="I43" i="10"/>
  <c r="R42" i="10"/>
  <c r="Q42" i="10"/>
  <c r="P42" i="10"/>
  <c r="O42" i="10"/>
  <c r="N42" i="10"/>
  <c r="M42" i="10"/>
  <c r="L42" i="10"/>
  <c r="K42" i="10"/>
  <c r="J42" i="10"/>
  <c r="I42" i="10"/>
  <c r="R41" i="10"/>
  <c r="Q41" i="10"/>
  <c r="P41" i="10"/>
  <c r="O41" i="10"/>
  <c r="N41" i="10"/>
  <c r="M41" i="10"/>
  <c r="L41" i="10"/>
  <c r="K41" i="10"/>
  <c r="J41" i="10"/>
  <c r="I41" i="10"/>
  <c r="R40" i="10"/>
  <c r="Q40" i="10"/>
  <c r="P40" i="10"/>
  <c r="O40" i="10"/>
  <c r="N40" i="10"/>
  <c r="M40" i="10"/>
  <c r="L40" i="10"/>
  <c r="K40" i="10"/>
  <c r="J40" i="10"/>
  <c r="I40" i="10"/>
  <c r="R29" i="10"/>
  <c r="Q29" i="10"/>
  <c r="P29" i="10"/>
  <c r="O29" i="10"/>
  <c r="N29" i="10"/>
  <c r="M29" i="10"/>
  <c r="L29" i="10"/>
  <c r="K29" i="10"/>
  <c r="J29" i="10"/>
  <c r="I29" i="10"/>
  <c r="R26" i="10"/>
  <c r="Q26" i="10"/>
  <c r="P26" i="10"/>
  <c r="O26" i="10"/>
  <c r="N26" i="10"/>
  <c r="M26" i="10"/>
  <c r="L26" i="10"/>
  <c r="K26" i="10"/>
  <c r="J26" i="10"/>
  <c r="I26" i="10"/>
  <c r="R23" i="10"/>
  <c r="Q23" i="10"/>
  <c r="P23" i="10"/>
  <c r="O23" i="10"/>
  <c r="N23" i="10"/>
  <c r="M23" i="10"/>
  <c r="L23" i="10"/>
  <c r="K23" i="10"/>
  <c r="J23" i="10"/>
  <c r="I23" i="10"/>
  <c r="R22" i="10"/>
  <c r="Q22" i="10"/>
  <c r="P22" i="10"/>
  <c r="O22" i="10"/>
  <c r="N22" i="10"/>
  <c r="M22" i="10"/>
  <c r="L22" i="10"/>
  <c r="K22" i="10"/>
  <c r="J22" i="10"/>
  <c r="I22" i="10"/>
  <c r="R21" i="10"/>
  <c r="Q21" i="10"/>
  <c r="P21" i="10"/>
  <c r="O21" i="10"/>
  <c r="N21" i="10"/>
  <c r="M21" i="10"/>
  <c r="L21" i="10"/>
  <c r="K21" i="10"/>
  <c r="J21" i="10"/>
  <c r="I21" i="10"/>
  <c r="R20" i="10"/>
  <c r="Q20" i="10"/>
  <c r="P20" i="10"/>
  <c r="O20" i="10"/>
  <c r="N20" i="10"/>
  <c r="M20" i="10"/>
  <c r="L20" i="10"/>
  <c r="K20" i="10"/>
  <c r="J20" i="10"/>
  <c r="I20" i="10"/>
  <c r="R19" i="10"/>
  <c r="Q19" i="10"/>
  <c r="P19" i="10"/>
  <c r="O19" i="10"/>
  <c r="N19" i="10"/>
  <c r="M19" i="10"/>
  <c r="L19" i="10"/>
  <c r="K19" i="10"/>
  <c r="J19" i="10"/>
  <c r="I19" i="10"/>
  <c r="R18" i="10"/>
  <c r="Q18" i="10"/>
  <c r="P18" i="10"/>
  <c r="O18" i="10"/>
  <c r="N18" i="10"/>
  <c r="M18" i="10"/>
  <c r="L18" i="10"/>
  <c r="K18" i="10"/>
  <c r="J18" i="10"/>
  <c r="I18" i="10"/>
  <c r="R17" i="10"/>
  <c r="Q17" i="10"/>
  <c r="P17" i="10"/>
  <c r="O17" i="10"/>
  <c r="N17" i="10"/>
  <c r="M17" i="10"/>
  <c r="L17" i="10"/>
  <c r="K17" i="10"/>
  <c r="J17" i="10"/>
  <c r="I17" i="10"/>
  <c r="E21" i="212" l="1"/>
  <c r="E20" i="212"/>
  <c r="E22" i="212" l="1"/>
  <c r="H17" i="212"/>
  <c r="H15" i="212"/>
  <c r="G15" i="212"/>
  <c r="H14" i="212"/>
  <c r="G14" i="212"/>
  <c r="D17" i="212"/>
  <c r="D15" i="212"/>
  <c r="D14" i="212"/>
  <c r="C15" i="212"/>
  <c r="C14" i="212"/>
  <c r="J49" i="171" l="1"/>
  <c r="K49" i="171"/>
  <c r="I49" i="171"/>
  <c r="I65" i="171"/>
  <c r="J65" i="171"/>
  <c r="K65" i="171"/>
  <c r="I37" i="171"/>
  <c r="J37" i="171"/>
  <c r="K37" i="171"/>
  <c r="K50" i="171"/>
  <c r="J50" i="171"/>
  <c r="I50" i="171"/>
  <c r="I36" i="171"/>
  <c r="K36" i="171"/>
  <c r="J36" i="171"/>
  <c r="H197" i="209"/>
  <c r="H204" i="209"/>
  <c r="H217" i="209"/>
  <c r="H219" i="209"/>
  <c r="H201" i="209"/>
  <c r="H206" i="209"/>
  <c r="H218" i="209"/>
  <c r="H221" i="209"/>
  <c r="H222" i="209"/>
  <c r="A4" i="251"/>
  <c r="A3" i="251"/>
  <c r="A2" i="251"/>
  <c r="A1" i="251"/>
  <c r="J16" i="5" l="1"/>
  <c r="H28" i="41"/>
  <c r="I28" i="41"/>
  <c r="J28" i="41"/>
  <c r="K28" i="41"/>
  <c r="G28" i="41"/>
  <c r="H27" i="41"/>
  <c r="I27" i="41"/>
  <c r="J27" i="41"/>
  <c r="K27" i="41"/>
  <c r="G27" i="41"/>
  <c r="H26" i="41"/>
  <c r="I26" i="41"/>
  <c r="J26" i="41"/>
  <c r="K26" i="41"/>
  <c r="G26" i="41"/>
  <c r="H25" i="41"/>
  <c r="I25" i="41"/>
  <c r="J25" i="41"/>
  <c r="K25" i="41"/>
  <c r="G25" i="41"/>
  <c r="D23" i="251" l="1"/>
  <c r="L24" i="34" l="1"/>
  <c r="J24" i="34" s="1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H25" i="34"/>
  <c r="H23" i="34" l="1"/>
  <c r="L36" i="35"/>
  <c r="O26" i="35"/>
  <c r="H30" i="35" l="1"/>
  <c r="M26" i="35"/>
  <c r="L26" i="35" s="1"/>
  <c r="E57" i="192" l="1"/>
  <c r="F57" i="192"/>
  <c r="G57" i="192"/>
  <c r="H57" i="192"/>
  <c r="I57" i="192"/>
  <c r="D57" i="192"/>
  <c r="E34" i="193" l="1"/>
  <c r="F34" i="193"/>
  <c r="G34" i="193"/>
  <c r="H34" i="193"/>
  <c r="I34" i="193"/>
  <c r="D34" i="193"/>
  <c r="E44" i="190"/>
  <c r="F44" i="190"/>
  <c r="G44" i="190"/>
  <c r="H44" i="190"/>
  <c r="I44" i="190"/>
  <c r="D44" i="190"/>
  <c r="P21" i="228" l="1"/>
  <c r="P34" i="228"/>
  <c r="P21" i="226"/>
  <c r="P14" i="226"/>
  <c r="D96" i="44" l="1"/>
  <c r="F142" i="248" l="1"/>
  <c r="F143" i="248"/>
  <c r="F144" i="248"/>
  <c r="F145" i="248"/>
  <c r="F146" i="248"/>
  <c r="F147" i="248"/>
  <c r="F148" i="248"/>
  <c r="F149" i="248"/>
  <c r="F150" i="248"/>
  <c r="F151" i="248"/>
  <c r="F152" i="248"/>
  <c r="F66" i="248"/>
  <c r="F67" i="248"/>
  <c r="F68" i="248"/>
  <c r="F69" i="248"/>
  <c r="F70" i="248"/>
  <c r="F76" i="248"/>
  <c r="F85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2" i="248" s="1"/>
  <c r="A33" i="248" s="1"/>
  <c r="A34" i="248" s="1"/>
  <c r="A35" i="248" s="1"/>
  <c r="A36" i="248" s="1"/>
  <c r="A37" i="248" s="1"/>
  <c r="A38" i="248" s="1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2" i="248" s="1"/>
  <c r="A73" i="248" s="1"/>
  <c r="A74" i="248" s="1"/>
  <c r="A75" i="248" s="1"/>
  <c r="A76" i="248" s="1"/>
  <c r="A77" i="248" s="1"/>
  <c r="A78" i="248" s="1"/>
  <c r="A79" i="248" s="1"/>
  <c r="A80" i="248" s="1"/>
  <c r="A81" i="248" s="1"/>
  <c r="A82" i="248" s="1"/>
  <c r="A83" i="248" s="1"/>
  <c r="A84" i="248" s="1"/>
  <c r="A85" i="248" s="1"/>
  <c r="D73" i="44" l="1"/>
  <c r="D68" i="44"/>
  <c r="D63" i="44"/>
  <c r="D60" i="44"/>
  <c r="D59" i="44"/>
  <c r="D58" i="44"/>
  <c r="D54" i="44"/>
  <c r="D47" i="44"/>
  <c r="D123" i="44" s="1"/>
  <c r="D125" i="44" s="1"/>
  <c r="D32" i="44"/>
  <c r="D31" i="44"/>
  <c r="D30" i="44"/>
  <c r="D28" i="44"/>
  <c r="E12" i="44"/>
  <c r="F12" i="44"/>
  <c r="G12" i="44"/>
  <c r="I12" i="44"/>
  <c r="D12" i="44"/>
  <c r="D51" i="192"/>
  <c r="D21" i="192"/>
  <c r="D16" i="193"/>
  <c r="P23" i="192" l="1"/>
  <c r="P36" i="192"/>
  <c r="P37" i="192"/>
  <c r="P16" i="190"/>
  <c r="P23" i="190"/>
  <c r="D113" i="44"/>
  <c r="E41" i="42"/>
  <c r="F41" i="42"/>
  <c r="G41" i="42"/>
  <c r="H41" i="42"/>
  <c r="D41" i="42"/>
  <c r="E37" i="42"/>
  <c r="F37" i="42"/>
  <c r="G37" i="42"/>
  <c r="H37" i="42"/>
  <c r="D37" i="42"/>
  <c r="J36" i="42"/>
  <c r="L36" i="42" s="1"/>
  <c r="N36" i="42" s="1"/>
  <c r="P36" i="42" l="1"/>
  <c r="O36" i="42"/>
  <c r="H86" i="10" l="1"/>
  <c r="H85" i="10"/>
  <c r="G28" i="42" l="1"/>
  <c r="K19" i="39"/>
  <c r="J19" i="39"/>
  <c r="I19" i="39"/>
  <c r="H19" i="39"/>
  <c r="G19" i="39"/>
  <c r="K18" i="39"/>
  <c r="J18" i="39"/>
  <c r="I18" i="39"/>
  <c r="H18" i="39"/>
  <c r="G18" i="39"/>
  <c r="K17" i="39"/>
  <c r="J17" i="39"/>
  <c r="I17" i="39"/>
  <c r="H17" i="39"/>
  <c r="G17" i="39"/>
  <c r="K16" i="39"/>
  <c r="J16" i="39"/>
  <c r="I16" i="39"/>
  <c r="H16" i="39"/>
  <c r="G16" i="39"/>
  <c r="K19" i="41"/>
  <c r="J19" i="41"/>
  <c r="I19" i="41"/>
  <c r="H19" i="41"/>
  <c r="G19" i="41"/>
  <c r="K18" i="41"/>
  <c r="J18" i="41"/>
  <c r="I18" i="41"/>
  <c r="H18" i="41"/>
  <c r="G18" i="41"/>
  <c r="K17" i="41"/>
  <c r="J17" i="41"/>
  <c r="I17" i="41"/>
  <c r="H17" i="41"/>
  <c r="G17" i="41"/>
  <c r="K16" i="41"/>
  <c r="J16" i="41"/>
  <c r="I16" i="41"/>
  <c r="H16" i="41"/>
  <c r="G16" i="41"/>
  <c r="H43" i="42"/>
  <c r="G43" i="42"/>
  <c r="F43" i="42"/>
  <c r="E43" i="42"/>
  <c r="D43" i="42"/>
  <c r="H35" i="42"/>
  <c r="J35" i="42" s="1"/>
  <c r="L35" i="42" s="1"/>
  <c r="G35" i="42"/>
  <c r="F35" i="42"/>
  <c r="E35" i="42"/>
  <c r="D35" i="42"/>
  <c r="H34" i="42"/>
  <c r="H38" i="42" s="1"/>
  <c r="G34" i="42"/>
  <c r="F34" i="42"/>
  <c r="F38" i="42" s="1"/>
  <c r="E34" i="42"/>
  <c r="E38" i="42" s="1"/>
  <c r="D34" i="42"/>
  <c r="D38" i="42" s="1"/>
  <c r="H28" i="42"/>
  <c r="F28" i="42"/>
  <c r="E28" i="42"/>
  <c r="D28" i="42"/>
  <c r="H27" i="42"/>
  <c r="G27" i="42"/>
  <c r="F27" i="42"/>
  <c r="E27" i="42"/>
  <c r="D27" i="42"/>
  <c r="H26" i="42"/>
  <c r="G26" i="42"/>
  <c r="F26" i="42"/>
  <c r="E26" i="42"/>
  <c r="D26" i="42"/>
  <c r="H25" i="42"/>
  <c r="G25" i="42"/>
  <c r="F25" i="42"/>
  <c r="E25" i="42"/>
  <c r="D25" i="42"/>
  <c r="H21" i="42"/>
  <c r="G21" i="42"/>
  <c r="F21" i="42"/>
  <c r="E21" i="42"/>
  <c r="D21" i="42"/>
  <c r="H18" i="42"/>
  <c r="G18" i="42"/>
  <c r="F18" i="42"/>
  <c r="E18" i="42"/>
  <c r="D18" i="42"/>
  <c r="H17" i="42"/>
  <c r="G17" i="42"/>
  <c r="F17" i="42"/>
  <c r="E17" i="42"/>
  <c r="D17" i="42"/>
  <c r="H16" i="42"/>
  <c r="G16" i="42"/>
  <c r="F16" i="42"/>
  <c r="E16" i="42"/>
  <c r="D16" i="42"/>
  <c r="G38" i="42" l="1"/>
  <c r="J34" i="42"/>
  <c r="I24" i="99"/>
  <c r="I24" i="8"/>
  <c r="L34" i="42" l="1"/>
  <c r="G23" i="99"/>
  <c r="E23" i="99"/>
  <c r="E22" i="99"/>
  <c r="N34" i="42" l="1"/>
  <c r="I23" i="99"/>
  <c r="E25" i="8"/>
  <c r="I23" i="8"/>
  <c r="O34" i="42" l="1"/>
  <c r="P34" i="42"/>
  <c r="E33" i="8"/>
  <c r="H41" i="10" s="1"/>
  <c r="K46" i="35" l="1"/>
  <c r="K39" i="35"/>
  <c r="J30" i="35"/>
  <c r="K28" i="35"/>
  <c r="K26" i="35"/>
  <c r="K32" i="35" s="1"/>
  <c r="K21" i="35"/>
  <c r="K19" i="35"/>
  <c r="P22" i="241" l="1"/>
  <c r="O22" i="241"/>
  <c r="N22" i="241"/>
  <c r="M22" i="241"/>
  <c r="L22" i="241"/>
  <c r="K22" i="241"/>
  <c r="J22" i="241"/>
  <c r="I22" i="241"/>
  <c r="H22" i="241"/>
  <c r="G22" i="241"/>
  <c r="F22" i="241"/>
  <c r="E22" i="241"/>
  <c r="D22" i="241"/>
  <c r="P13" i="242"/>
  <c r="O13" i="242"/>
  <c r="N13" i="242"/>
  <c r="M13" i="242"/>
  <c r="L13" i="242"/>
  <c r="K13" i="242"/>
  <c r="J13" i="242"/>
  <c r="I13" i="242"/>
  <c r="H13" i="242"/>
  <c r="G13" i="242"/>
  <c r="F13" i="242"/>
  <c r="E13" i="242"/>
  <c r="D13" i="242"/>
  <c r="P13" i="241"/>
  <c r="O13" i="241"/>
  <c r="N13" i="241"/>
  <c r="M13" i="241"/>
  <c r="L13" i="241"/>
  <c r="K13" i="241"/>
  <c r="J13" i="241"/>
  <c r="I13" i="241"/>
  <c r="H13" i="241"/>
  <c r="G13" i="241"/>
  <c r="F13" i="241"/>
  <c r="E13" i="241"/>
  <c r="D13" i="241"/>
  <c r="G222" i="237" l="1"/>
  <c r="G223" i="237"/>
  <c r="G221" i="237"/>
  <c r="H222" i="236"/>
  <c r="H223" i="236"/>
  <c r="H221" i="236"/>
  <c r="H222" i="207"/>
  <c r="H223" i="207"/>
  <c r="H221" i="207"/>
  <c r="H222" i="213"/>
  <c r="H223" i="213"/>
  <c r="H221" i="213"/>
  <c r="H189" i="207" l="1"/>
  <c r="H190" i="207" s="1"/>
  <c r="G202" i="237" l="1"/>
  <c r="H190" i="236"/>
  <c r="H192" i="209"/>
  <c r="M192" i="209" s="1"/>
  <c r="M221" i="209"/>
  <c r="G216" i="237"/>
  <c r="H195" i="207"/>
  <c r="M217" i="209"/>
  <c r="M197" i="209"/>
  <c r="M225" i="209"/>
  <c r="I22" i="212"/>
  <c r="G220" i="237"/>
  <c r="G215" i="237"/>
  <c r="G195" i="237"/>
  <c r="M204" i="209"/>
  <c r="H191" i="209"/>
  <c r="M191" i="209" s="1"/>
  <c r="H189" i="236"/>
  <c r="H189" i="213"/>
  <c r="G219" i="237"/>
  <c r="G204" i="237"/>
  <c r="G190" i="237"/>
  <c r="M223" i="209"/>
  <c r="M218" i="209"/>
  <c r="M201" i="209"/>
  <c r="G217" i="237"/>
  <c r="G189" i="237"/>
  <c r="M222" i="209"/>
  <c r="M206" i="209"/>
  <c r="G199" i="237"/>
  <c r="F163" i="237"/>
  <c r="F164" i="237"/>
  <c r="F165" i="237"/>
  <c r="F166" i="237"/>
  <c r="F167" i="237"/>
  <c r="F168" i="237"/>
  <c r="L234" i="209"/>
  <c r="L237" i="209"/>
  <c r="L242" i="209"/>
  <c r="L243" i="209"/>
  <c r="L244" i="209"/>
  <c r="L245" i="209"/>
  <c r="L247" i="209"/>
  <c r="L249" i="209"/>
  <c r="L257" i="209"/>
  <c r="L258" i="209"/>
  <c r="L259" i="209"/>
  <c r="L260" i="209"/>
  <c r="L189" i="209"/>
  <c r="L191" i="209"/>
  <c r="L192" i="209"/>
  <c r="L196" i="209"/>
  <c r="L197" i="209"/>
  <c r="L201" i="209"/>
  <c r="L204" i="209"/>
  <c r="L206" i="209"/>
  <c r="L217" i="209"/>
  <c r="L218" i="209"/>
  <c r="L219" i="209"/>
  <c r="M219" i="209"/>
  <c r="L221" i="209"/>
  <c r="L222" i="209"/>
  <c r="L223" i="209"/>
  <c r="L224" i="209"/>
  <c r="M224" i="209"/>
  <c r="L225" i="209"/>
  <c r="G163" i="209"/>
  <c r="L163" i="209" s="1"/>
  <c r="G164" i="209"/>
  <c r="L164" i="209" s="1"/>
  <c r="G165" i="209"/>
  <c r="L165" i="209" s="1"/>
  <c r="G166" i="209"/>
  <c r="L166" i="209" s="1"/>
  <c r="G167" i="209"/>
  <c r="L167" i="209" s="1"/>
  <c r="G168" i="209"/>
  <c r="L168" i="209" s="1"/>
  <c r="L235" i="236"/>
  <c r="L240" i="236"/>
  <c r="L241" i="236"/>
  <c r="L242" i="236"/>
  <c r="L243" i="236"/>
  <c r="L245" i="236"/>
  <c r="L247" i="236"/>
  <c r="L255" i="236"/>
  <c r="L256" i="236"/>
  <c r="L257" i="236"/>
  <c r="L258" i="236"/>
  <c r="G194" i="236"/>
  <c r="M189" i="213" l="1"/>
  <c r="H190" i="213"/>
  <c r="H216" i="236"/>
  <c r="M216" i="236" s="1"/>
  <c r="H215" i="236"/>
  <c r="M215" i="236" s="1"/>
  <c r="H217" i="236"/>
  <c r="H216" i="207"/>
  <c r="M216" i="207" s="1"/>
  <c r="H202" i="207"/>
  <c r="M202" i="207" s="1"/>
  <c r="H217" i="207"/>
  <c r="H199" i="207"/>
  <c r="M199" i="207" s="1"/>
  <c r="M195" i="207"/>
  <c r="H215" i="207"/>
  <c r="M215" i="207" s="1"/>
  <c r="H204" i="207"/>
  <c r="M204" i="207" s="1"/>
  <c r="H202" i="236"/>
  <c r="H204" i="236" s="1"/>
  <c r="M204" i="236" s="1"/>
  <c r="H199" i="236"/>
  <c r="H195" i="236"/>
  <c r="M195" i="236" s="1"/>
  <c r="L187" i="236"/>
  <c r="L189" i="236"/>
  <c r="M189" i="236"/>
  <c r="L190" i="236"/>
  <c r="M190" i="236"/>
  <c r="L194" i="236"/>
  <c r="L195" i="236"/>
  <c r="L199" i="236"/>
  <c r="M199" i="236"/>
  <c r="L202" i="236"/>
  <c r="L204" i="236"/>
  <c r="L206" i="236"/>
  <c r="L215" i="236"/>
  <c r="L216" i="236"/>
  <c r="L217" i="236"/>
  <c r="M217" i="236"/>
  <c r="L219" i="236"/>
  <c r="L220" i="236"/>
  <c r="L221" i="236"/>
  <c r="L222" i="236"/>
  <c r="L223" i="236"/>
  <c r="L248" i="213"/>
  <c r="L244" i="213"/>
  <c r="L243" i="213"/>
  <c r="L242" i="213"/>
  <c r="L241" i="213"/>
  <c r="L259" i="213"/>
  <c r="L244" i="207"/>
  <c r="L243" i="207"/>
  <c r="L242" i="207"/>
  <c r="L241" i="207"/>
  <c r="L248" i="207"/>
  <c r="L259" i="207"/>
  <c r="G189" i="207"/>
  <c r="L189" i="207" s="1"/>
  <c r="M202" i="236" l="1"/>
  <c r="M221" i="236"/>
  <c r="H220" i="236"/>
  <c r="M220" i="236" s="1"/>
  <c r="M222" i="236"/>
  <c r="H219" i="236"/>
  <c r="M219" i="236" s="1"/>
  <c r="M223" i="236"/>
  <c r="M190" i="213"/>
  <c r="H195" i="213"/>
  <c r="M221" i="207"/>
  <c r="M217" i="207"/>
  <c r="M222" i="207"/>
  <c r="H219" i="207"/>
  <c r="M219" i="207" s="1"/>
  <c r="H220" i="207"/>
  <c r="M220" i="207" s="1"/>
  <c r="M223" i="207"/>
  <c r="M195" i="213" l="1"/>
  <c r="H199" i="213"/>
  <c r="H196" i="209"/>
  <c r="M196" i="209" s="1"/>
  <c r="H187" i="236"/>
  <c r="G258" i="237"/>
  <c r="G242" i="237"/>
  <c r="H258" i="209"/>
  <c r="M258" i="209" s="1"/>
  <c r="H245" i="209"/>
  <c r="M245" i="209" s="1"/>
  <c r="H237" i="209"/>
  <c r="M237" i="209" s="1"/>
  <c r="G235" i="237"/>
  <c r="H247" i="209"/>
  <c r="M247" i="209" s="1"/>
  <c r="G255" i="237"/>
  <c r="G247" i="237"/>
  <c r="G241" i="237"/>
  <c r="H257" i="209"/>
  <c r="M257" i="209" s="1"/>
  <c r="H244" i="209"/>
  <c r="M244" i="209" s="1"/>
  <c r="G243" i="237"/>
  <c r="H242" i="209"/>
  <c r="M242" i="209" s="1"/>
  <c r="G256" i="237"/>
  <c r="G245" i="237"/>
  <c r="G240" i="237"/>
  <c r="H260" i="209"/>
  <c r="M260" i="209" s="1"/>
  <c r="H249" i="209"/>
  <c r="M249" i="209" s="1"/>
  <c r="H243" i="209"/>
  <c r="M243" i="209" s="1"/>
  <c r="G257" i="237"/>
  <c r="H259" i="209"/>
  <c r="M259" i="209" s="1"/>
  <c r="H259" i="213"/>
  <c r="M259" i="213" s="1"/>
  <c r="H242" i="213"/>
  <c r="M242" i="213" s="1"/>
  <c r="H248" i="213"/>
  <c r="M248" i="213" s="1"/>
  <c r="H241" i="213"/>
  <c r="M241" i="213" s="1"/>
  <c r="H243" i="213"/>
  <c r="M243" i="213" s="1"/>
  <c r="H244" i="213"/>
  <c r="M244" i="213" s="1"/>
  <c r="L65" i="171"/>
  <c r="L37" i="171"/>
  <c r="L36" i="171"/>
  <c r="L50" i="171"/>
  <c r="L49" i="171"/>
  <c r="H202" i="213" l="1"/>
  <c r="M199" i="213"/>
  <c r="H256" i="209"/>
  <c r="M256" i="209" s="1"/>
  <c r="H254" i="209"/>
  <c r="M254" i="209" s="1"/>
  <c r="H252" i="209"/>
  <c r="M252" i="209" s="1"/>
  <c r="H250" i="209"/>
  <c r="M250" i="209" s="1"/>
  <c r="H246" i="209"/>
  <c r="M246" i="209" s="1"/>
  <c r="H240" i="209"/>
  <c r="M240" i="209" s="1"/>
  <c r="H238" i="209"/>
  <c r="M238" i="209" s="1"/>
  <c r="H235" i="209"/>
  <c r="M235" i="209" s="1"/>
  <c r="H251" i="209"/>
  <c r="M251" i="209" s="1"/>
  <c r="H239" i="209"/>
  <c r="M239" i="209" s="1"/>
  <c r="G259" i="237"/>
  <c r="G253" i="237"/>
  <c r="G251" i="237"/>
  <c r="G249" i="237"/>
  <c r="G246" i="237"/>
  <c r="G239" i="237"/>
  <c r="G237" i="237"/>
  <c r="G234" i="237"/>
  <c r="H248" i="209"/>
  <c r="M248" i="209" s="1"/>
  <c r="H255" i="209"/>
  <c r="M255" i="209" s="1"/>
  <c r="G254" i="237"/>
  <c r="G252" i="237"/>
  <c r="G250" i="237"/>
  <c r="G248" i="237"/>
  <c r="G244" i="237"/>
  <c r="G238" i="237"/>
  <c r="G236" i="237"/>
  <c r="G233" i="237"/>
  <c r="H261" i="209"/>
  <c r="M261" i="209" s="1"/>
  <c r="H253" i="209"/>
  <c r="M253" i="209" s="1"/>
  <c r="H241" i="209"/>
  <c r="M241" i="209" s="1"/>
  <c r="H236" i="209"/>
  <c r="M236" i="209" s="1"/>
  <c r="M239" i="213"/>
  <c r="H260" i="213"/>
  <c r="H238" i="213"/>
  <c r="M260" i="213"/>
  <c r="M238" i="213"/>
  <c r="H239" i="213"/>
  <c r="F254" i="237"/>
  <c r="F252" i="237"/>
  <c r="F250" i="237"/>
  <c r="F248" i="237"/>
  <c r="F244" i="237"/>
  <c r="F238" i="237"/>
  <c r="F236" i="237"/>
  <c r="F233" i="237"/>
  <c r="G256" i="209"/>
  <c r="L256" i="209" s="1"/>
  <c r="G254" i="209"/>
  <c r="L254" i="209" s="1"/>
  <c r="G252" i="209"/>
  <c r="L252" i="209" s="1"/>
  <c r="G250" i="209"/>
  <c r="L250" i="209" s="1"/>
  <c r="G246" i="209"/>
  <c r="L246" i="209" s="1"/>
  <c r="G240" i="209"/>
  <c r="L240" i="209" s="1"/>
  <c r="G238" i="209"/>
  <c r="L238" i="209" s="1"/>
  <c r="G235" i="209"/>
  <c r="L235" i="209" s="1"/>
  <c r="F259" i="237"/>
  <c r="F253" i="237"/>
  <c r="F251" i="237"/>
  <c r="F249" i="237"/>
  <c r="F246" i="237"/>
  <c r="F239" i="237"/>
  <c r="F237" i="237"/>
  <c r="F234" i="237"/>
  <c r="G261" i="209"/>
  <c r="L261" i="209" s="1"/>
  <c r="G255" i="209"/>
  <c r="L255" i="209" s="1"/>
  <c r="G253" i="209"/>
  <c r="L253" i="209" s="1"/>
  <c r="G251" i="209"/>
  <c r="L251" i="209" s="1"/>
  <c r="G248" i="209"/>
  <c r="L248" i="209" s="1"/>
  <c r="G241" i="209"/>
  <c r="L241" i="209" s="1"/>
  <c r="G239" i="209"/>
  <c r="L239" i="209" s="1"/>
  <c r="G236" i="209"/>
  <c r="L236" i="209" s="1"/>
  <c r="L260" i="213"/>
  <c r="L239" i="213"/>
  <c r="G260" i="213"/>
  <c r="G238" i="213"/>
  <c r="L238" i="213"/>
  <c r="G239" i="213"/>
  <c r="M187" i="236"/>
  <c r="H194" i="236"/>
  <c r="M194" i="236" s="1"/>
  <c r="M202" i="213" l="1"/>
  <c r="H204" i="213"/>
  <c r="F94" i="237"/>
  <c r="G94" i="237"/>
  <c r="F95" i="237"/>
  <c r="G95" i="237"/>
  <c r="F96" i="237"/>
  <c r="G96" i="237"/>
  <c r="F97" i="237"/>
  <c r="G97" i="237"/>
  <c r="F98" i="237"/>
  <c r="G98" i="237"/>
  <c r="E264" i="209"/>
  <c r="L96" i="209"/>
  <c r="M96" i="209"/>
  <c r="L97" i="209"/>
  <c r="M97" i="209"/>
  <c r="L98" i="209"/>
  <c r="M98" i="209"/>
  <c r="L99" i="209"/>
  <c r="M99" i="209"/>
  <c r="L100" i="209"/>
  <c r="M100" i="209"/>
  <c r="L101" i="209"/>
  <c r="M101" i="209"/>
  <c r="L102" i="209"/>
  <c r="M102" i="209"/>
  <c r="G96" i="209"/>
  <c r="H96" i="209"/>
  <c r="G97" i="209"/>
  <c r="H97" i="209"/>
  <c r="G98" i="209"/>
  <c r="H98" i="209"/>
  <c r="G99" i="209"/>
  <c r="H99" i="209"/>
  <c r="G100" i="209"/>
  <c r="H100" i="209"/>
  <c r="G188" i="236"/>
  <c r="H188" i="236"/>
  <c r="M188" i="236" s="1"/>
  <c r="G191" i="236"/>
  <c r="L191" i="236" s="1"/>
  <c r="H191" i="236"/>
  <c r="M191" i="236" s="1"/>
  <c r="G192" i="236"/>
  <c r="L192" i="236" s="1"/>
  <c r="H192" i="236"/>
  <c r="G193" i="236"/>
  <c r="L193" i="236" s="1"/>
  <c r="H193" i="236"/>
  <c r="M193" i="236" s="1"/>
  <c r="G196" i="236"/>
  <c r="L196" i="236" s="1"/>
  <c r="H196" i="236"/>
  <c r="M196" i="236" s="1"/>
  <c r="G197" i="236"/>
  <c r="L197" i="236" s="1"/>
  <c r="H197" i="236"/>
  <c r="M197" i="236" s="1"/>
  <c r="G198" i="236"/>
  <c r="L198" i="236" s="1"/>
  <c r="H198" i="236"/>
  <c r="M198" i="236" s="1"/>
  <c r="G200" i="236"/>
  <c r="L200" i="236" s="1"/>
  <c r="H200" i="236"/>
  <c r="M200" i="236" s="1"/>
  <c r="G201" i="236"/>
  <c r="L201" i="236" s="1"/>
  <c r="H201" i="236"/>
  <c r="M201" i="236" s="1"/>
  <c r="G159" i="236"/>
  <c r="L159" i="236" s="1"/>
  <c r="G160" i="236"/>
  <c r="L160" i="236" s="1"/>
  <c r="G161" i="236"/>
  <c r="L161" i="236" s="1"/>
  <c r="G162" i="236"/>
  <c r="L162" i="236" s="1"/>
  <c r="G163" i="236"/>
  <c r="L163" i="236" s="1"/>
  <c r="L106" i="236"/>
  <c r="M106" i="236"/>
  <c r="L107" i="236"/>
  <c r="M107" i="236"/>
  <c r="L108" i="236"/>
  <c r="M108" i="236"/>
  <c r="L109" i="236"/>
  <c r="M109" i="236"/>
  <c r="L110" i="236"/>
  <c r="M110" i="236"/>
  <c r="L111" i="236"/>
  <c r="M111" i="236"/>
  <c r="G106" i="236"/>
  <c r="H106" i="236"/>
  <c r="G107" i="236"/>
  <c r="H107" i="236"/>
  <c r="G108" i="236"/>
  <c r="H108" i="236"/>
  <c r="G109" i="236"/>
  <c r="H109" i="236"/>
  <c r="G110" i="236"/>
  <c r="H110" i="236"/>
  <c r="M221" i="213" l="1"/>
  <c r="H217" i="213"/>
  <c r="M217" i="213" s="1"/>
  <c r="H220" i="213"/>
  <c r="M220" i="213" s="1"/>
  <c r="H215" i="213"/>
  <c r="M215" i="213" s="1"/>
  <c r="H216" i="213"/>
  <c r="M216" i="213" s="1"/>
  <c r="M223" i="213"/>
  <c r="H219" i="213"/>
  <c r="M219" i="213" s="1"/>
  <c r="M222" i="213"/>
  <c r="M204" i="213"/>
  <c r="M192" i="236"/>
  <c r="L188" i="236"/>
  <c r="N96" i="209"/>
  <c r="E262" i="213"/>
  <c r="E225" i="213"/>
  <c r="E225" i="207" l="1"/>
  <c r="G159" i="213"/>
  <c r="L159" i="213" s="1"/>
  <c r="G160" i="213"/>
  <c r="L160" i="213" s="1"/>
  <c r="G161" i="213"/>
  <c r="L161" i="213" s="1"/>
  <c r="G162" i="213"/>
  <c r="L162" i="213" s="1"/>
  <c r="G163" i="213"/>
  <c r="L163" i="213" s="1"/>
  <c r="G164" i="213"/>
  <c r="L164" i="213" s="1"/>
  <c r="G165" i="213"/>
  <c r="L165" i="213" s="1"/>
  <c r="G166" i="213"/>
  <c r="L166" i="213" s="1"/>
  <c r="G167" i="213"/>
  <c r="L167" i="213" s="1"/>
  <c r="G168" i="213"/>
  <c r="L168" i="213" s="1"/>
  <c r="G169" i="213"/>
  <c r="L169" i="213" s="1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L106" i="213"/>
  <c r="M106" i="213"/>
  <c r="L107" i="213"/>
  <c r="M107" i="213"/>
  <c r="L108" i="213"/>
  <c r="M108" i="213"/>
  <c r="L109" i="213"/>
  <c r="M109" i="213"/>
  <c r="L110" i="213"/>
  <c r="M110" i="213"/>
  <c r="L111" i="213"/>
  <c r="M111" i="213"/>
  <c r="L112" i="213"/>
  <c r="M112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106" i="213"/>
  <c r="H106" i="213"/>
  <c r="G107" i="213"/>
  <c r="H107" i="213"/>
  <c r="G108" i="213"/>
  <c r="H108" i="213"/>
  <c r="G109" i="213"/>
  <c r="H109" i="213"/>
  <c r="E262" i="207"/>
  <c r="G159" i="207"/>
  <c r="G160" i="207"/>
  <c r="L160" i="207" s="1"/>
  <c r="G161" i="207"/>
  <c r="L161" i="207" s="1"/>
  <c r="G162" i="207"/>
  <c r="L162" i="207" s="1"/>
  <c r="G163" i="207"/>
  <c r="L163" i="207" s="1"/>
  <c r="G164" i="207"/>
  <c r="L164" i="207" s="1"/>
  <c r="G165" i="207"/>
  <c r="L165" i="207" s="1"/>
  <c r="G166" i="207"/>
  <c r="L166" i="207" s="1"/>
  <c r="G167" i="207"/>
  <c r="L167" i="207" s="1"/>
  <c r="G168" i="207"/>
  <c r="G169" i="207"/>
  <c r="L169" i="207" s="1"/>
  <c r="G170" i="207"/>
  <c r="L170" i="207" s="1"/>
  <c r="G171" i="207"/>
  <c r="L171" i="207" s="1"/>
  <c r="G172" i="207"/>
  <c r="G173" i="207"/>
  <c r="G174" i="207"/>
  <c r="G175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L106" i="207"/>
  <c r="M106" i="207"/>
  <c r="L107" i="207"/>
  <c r="M107" i="207"/>
  <c r="L108" i="207"/>
  <c r="M108" i="207"/>
  <c r="L109" i="207"/>
  <c r="M109" i="207"/>
  <c r="L110" i="207"/>
  <c r="M110" i="207"/>
  <c r="L111" i="207"/>
  <c r="M111" i="207"/>
  <c r="L112" i="207"/>
  <c r="M112" i="207"/>
  <c r="L113" i="207"/>
  <c r="M113" i="207"/>
  <c r="H95" i="207"/>
  <c r="H96" i="207"/>
  <c r="H97" i="207"/>
  <c r="H98" i="207"/>
  <c r="H99" i="207"/>
  <c r="H100" i="207"/>
  <c r="H101" i="207"/>
  <c r="H102" i="207"/>
  <c r="H103" i="207"/>
  <c r="H104" i="207"/>
  <c r="H105" i="207"/>
  <c r="H106" i="207"/>
  <c r="H107" i="207"/>
  <c r="H108" i="207"/>
  <c r="H109" i="207"/>
  <c r="H110" i="207"/>
  <c r="H111" i="207"/>
  <c r="G96" i="207"/>
  <c r="G97" i="207"/>
  <c r="G98" i="207"/>
  <c r="G99" i="207"/>
  <c r="G100" i="207"/>
  <c r="G101" i="207"/>
  <c r="G102" i="207"/>
  <c r="G103" i="207"/>
  <c r="G104" i="207"/>
  <c r="G105" i="207"/>
  <c r="G106" i="207"/>
  <c r="G107" i="207"/>
  <c r="G108" i="207"/>
  <c r="G109" i="207"/>
  <c r="G110" i="207"/>
  <c r="G111" i="207"/>
  <c r="G112" i="207"/>
  <c r="L168" i="207" l="1"/>
  <c r="L159" i="207"/>
  <c r="K26" i="95" l="1"/>
  <c r="I82" i="232" l="1"/>
  <c r="L51" i="232"/>
  <c r="J14" i="106" l="1"/>
  <c r="G23" i="4" l="1"/>
  <c r="K23" i="4" l="1"/>
  <c r="G25" i="4" l="1"/>
  <c r="H43" i="10" s="1"/>
  <c r="O31" i="238" l="1"/>
  <c r="L19" i="34" l="1"/>
  <c r="L18" i="34"/>
  <c r="L23" i="34" l="1"/>
  <c r="L25" i="34"/>
  <c r="L94" i="222"/>
  <c r="H94" i="222"/>
  <c r="O94" i="222"/>
  <c r="K94" i="222"/>
  <c r="G94" i="222"/>
  <c r="N94" i="222"/>
  <c r="J94" i="222"/>
  <c r="F94" i="222"/>
  <c r="D94" i="222"/>
  <c r="M94" i="222"/>
  <c r="I94" i="222"/>
  <c r="E94" i="222"/>
  <c r="S26" i="39" l="1"/>
  <c r="S27" i="39"/>
  <c r="S28" i="39"/>
  <c r="S25" i="39"/>
  <c r="L115" i="209" l="1"/>
  <c r="M115" i="209"/>
  <c r="L116" i="209"/>
  <c r="M116" i="209"/>
  <c r="G115" i="209"/>
  <c r="H115" i="209"/>
  <c r="L115" i="236"/>
  <c r="M115" i="236"/>
  <c r="H115" i="236"/>
  <c r="G115" i="236"/>
  <c r="G59" i="238" l="1"/>
  <c r="H59" i="238"/>
  <c r="I59" i="238"/>
  <c r="J59" i="238"/>
  <c r="K59" i="238"/>
  <c r="F59" i="238"/>
  <c r="G16" i="238"/>
  <c r="H16" i="238"/>
  <c r="I16" i="238"/>
  <c r="J16" i="238"/>
  <c r="K16" i="238"/>
  <c r="F16" i="238"/>
  <c r="L59" i="238" l="1"/>
  <c r="M59" i="238"/>
  <c r="N59" i="238"/>
  <c r="C59" i="238"/>
  <c r="D59" i="238"/>
  <c r="E59" i="238"/>
  <c r="L16" i="238"/>
  <c r="C16" i="238"/>
  <c r="D16" i="238"/>
  <c r="E16" i="238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D29" i="45" l="1"/>
  <c r="K25" i="39"/>
  <c r="K26" i="39"/>
  <c r="K27" i="39"/>
  <c r="K28" i="39"/>
  <c r="J37" i="42"/>
  <c r="O12" i="39"/>
  <c r="M12" i="39"/>
  <c r="O12" i="41"/>
  <c r="M12" i="41"/>
  <c r="L37" i="42" l="1"/>
  <c r="J38" i="42"/>
  <c r="K15" i="44"/>
  <c r="L15" i="44" s="1"/>
  <c r="M15" i="44" s="1"/>
  <c r="N15" i="44" s="1"/>
  <c r="O15" i="44" s="1"/>
  <c r="A15" i="192"/>
  <c r="A16" i="192" s="1"/>
  <c r="A17" i="192" s="1"/>
  <c r="A18" i="192" s="1"/>
  <c r="A19" i="192" s="1"/>
  <c r="A20" i="192" s="1"/>
  <c r="A21" i="192" s="1"/>
  <c r="A22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D42" i="190"/>
  <c r="D58" i="190" s="1"/>
  <c r="D59" i="190" s="1"/>
  <c r="E42" i="190"/>
  <c r="E58" i="190" s="1"/>
  <c r="E59" i="190" s="1"/>
  <c r="F42" i="190"/>
  <c r="F58" i="190" s="1"/>
  <c r="F59" i="190" s="1"/>
  <c r="G42" i="190"/>
  <c r="G58" i="190" s="1"/>
  <c r="G59" i="190" s="1"/>
  <c r="H42" i="190"/>
  <c r="H58" i="190" s="1"/>
  <c r="H59" i="190" s="1"/>
  <c r="I42" i="190"/>
  <c r="I58" i="190" s="1"/>
  <c r="I59" i="190" s="1"/>
  <c r="E32" i="193"/>
  <c r="F32" i="193"/>
  <c r="G32" i="193"/>
  <c r="H32" i="193"/>
  <c r="I32" i="193"/>
  <c r="D32" i="193"/>
  <c r="N37" i="42" l="1"/>
  <c r="L38" i="42"/>
  <c r="P15" i="192"/>
  <c r="D30" i="193"/>
  <c r="O37" i="42" l="1"/>
  <c r="N38" i="42"/>
  <c r="N41" i="42" s="1"/>
  <c r="J44" i="192"/>
  <c r="P14" i="192"/>
  <c r="P37" i="42" l="1"/>
  <c r="P38" i="42" s="1"/>
  <c r="P41" i="42" s="1"/>
  <c r="O38" i="42"/>
  <c r="O41" i="42" s="1"/>
  <c r="J53" i="192"/>
  <c r="J55" i="192"/>
  <c r="J64" i="192"/>
  <c r="J66" i="192" s="1"/>
  <c r="P18" i="42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I27" i="99"/>
  <c r="G18" i="99"/>
  <c r="G19" i="99"/>
  <c r="G21" i="99"/>
  <c r="G22" i="99"/>
  <c r="G17" i="99"/>
  <c r="G16" i="99"/>
  <c r="E16" i="99"/>
  <c r="E18" i="99"/>
  <c r="E19" i="99"/>
  <c r="E21" i="99"/>
  <c r="E17" i="99"/>
  <c r="C16" i="99"/>
  <c r="C18" i="99"/>
  <c r="C19" i="99"/>
  <c r="C20" i="99"/>
  <c r="C21" i="99"/>
  <c r="C22" i="99"/>
  <c r="C17" i="99"/>
  <c r="A17" i="8"/>
  <c r="J18" i="98"/>
  <c r="E25" i="99" l="1"/>
  <c r="E33" i="99" s="1"/>
  <c r="P19" i="202" s="1"/>
  <c r="A18" i="8"/>
  <c r="C61" i="238" l="1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29" i="42"/>
  <c r="H29" i="42"/>
  <c r="H19" i="42"/>
  <c r="H22" i="42" s="1"/>
  <c r="I33" i="10" l="1"/>
  <c r="I66" i="10"/>
  <c r="I64" i="10"/>
  <c r="O22" i="42"/>
  <c r="O31" i="42" s="1"/>
  <c r="O42" i="42" s="1"/>
  <c r="O43" i="42" s="1"/>
  <c r="H31" i="42"/>
  <c r="H42" i="42" s="1"/>
  <c r="H45" i="42" s="1"/>
  <c r="L9" i="5" l="1"/>
  <c r="D45" i="233" l="1"/>
  <c r="E45" i="233" l="1"/>
  <c r="C25" i="216" l="1"/>
  <c r="C20" i="216"/>
  <c r="C15" i="216"/>
  <c r="E19" i="250" l="1"/>
  <c r="E33" i="250" l="1"/>
  <c r="O8" i="238" l="1"/>
  <c r="P22" i="44" l="1"/>
  <c r="D20" i="45" l="1"/>
  <c r="F40" i="190" l="1"/>
  <c r="A15" i="190" l="1"/>
  <c r="A16" i="190" s="1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A41" i="190" s="1"/>
  <c r="A42" i="190" s="1"/>
  <c r="A43" i="190" s="1"/>
  <c r="A44" i="190" s="1"/>
  <c r="Q22" i="241" l="1"/>
  <c r="G116" i="236" l="1"/>
  <c r="H116" i="236"/>
  <c r="L116" i="236"/>
  <c r="M116" i="236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M64" i="171" l="1"/>
  <c r="N64" i="171" s="1"/>
  <c r="M9" i="95" l="1"/>
  <c r="N18" i="42" l="1"/>
  <c r="M36" i="171" l="1"/>
  <c r="N36" i="171" s="1"/>
  <c r="M65" i="171"/>
  <c r="N65" i="171" s="1"/>
  <c r="M37" i="171"/>
  <c r="N37" i="171" s="1"/>
  <c r="M50" i="171"/>
  <c r="N50" i="171" s="1"/>
  <c r="M49" i="17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E13" i="252" l="1"/>
  <c r="F13" i="252" s="1"/>
  <c r="P30" i="231"/>
  <c r="P22" i="231"/>
  <c r="G116" i="209"/>
  <c r="H116" i="209"/>
  <c r="G20" i="249" l="1"/>
  <c r="G9" i="249" l="1"/>
  <c r="A2" i="249"/>
  <c r="A1" i="249"/>
  <c r="F114" i="237" l="1"/>
  <c r="G114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75" i="248"/>
  <c r="D18" i="102" l="1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1" i="226" l="1"/>
  <c r="A22" i="226" s="1"/>
  <c r="A23" i="226" s="1"/>
  <c r="A24" i="226" s="1"/>
  <c r="A25" i="226" s="1"/>
  <c r="A20" i="226"/>
  <c r="A69" i="5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70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C8" i="214" s="1"/>
  <c r="D8" i="214"/>
  <c r="E11" i="230" s="1"/>
  <c r="D11" i="230" l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I20" i="212"/>
  <c r="G194" i="237" s="1"/>
  <c r="H189" i="209"/>
  <c r="M189" i="209" s="1"/>
  <c r="H187" i="213"/>
  <c r="M187" i="213" s="1"/>
  <c r="I21" i="212"/>
  <c r="H234" i="209"/>
  <c r="M234" i="209" s="1"/>
  <c r="G232" i="237"/>
  <c r="H233" i="213"/>
  <c r="H247" i="236" l="1"/>
  <c r="M247" i="236" s="1"/>
  <c r="H240" i="236"/>
  <c r="H243" i="236"/>
  <c r="H245" i="236"/>
  <c r="H235" i="236"/>
  <c r="H242" i="236"/>
  <c r="H241" i="236"/>
  <c r="H194" i="213"/>
  <c r="H124" i="207"/>
  <c r="H125" i="236"/>
  <c r="G186" i="207"/>
  <c r="G186" i="236"/>
  <c r="L186" i="236" s="1"/>
  <c r="G232" i="207"/>
  <c r="G231" i="236"/>
  <c r="H232" i="207"/>
  <c r="H231" i="236"/>
  <c r="F231" i="237"/>
  <c r="G233" i="209"/>
  <c r="G232" i="213"/>
  <c r="H232" i="213"/>
  <c r="H240" i="213" s="1"/>
  <c r="M240" i="213" s="1"/>
  <c r="G231" i="237"/>
  <c r="H233" i="209"/>
  <c r="M233" i="209" s="1"/>
  <c r="G186" i="237"/>
  <c r="G206" i="237" s="1"/>
  <c r="H186" i="213"/>
  <c r="H203" i="213" s="1"/>
  <c r="M203" i="213" s="1"/>
  <c r="H188" i="209"/>
  <c r="G188" i="209"/>
  <c r="G186" i="213"/>
  <c r="F186" i="237"/>
  <c r="F206" i="237" s="1"/>
  <c r="G125" i="237"/>
  <c r="H127" i="209"/>
  <c r="H124" i="213"/>
  <c r="H186" i="236"/>
  <c r="H203" i="236" s="1"/>
  <c r="H186" i="207"/>
  <c r="H232" i="236"/>
  <c r="H233" i="207"/>
  <c r="H246" i="213"/>
  <c r="H257" i="213"/>
  <c r="H258" i="213"/>
  <c r="H236" i="213"/>
  <c r="H256" i="213"/>
  <c r="G187" i="237"/>
  <c r="H187" i="207"/>
  <c r="I17" i="212"/>
  <c r="E17" i="252" s="1"/>
  <c r="F17" i="252" s="1"/>
  <c r="I14" i="212"/>
  <c r="E14" i="252" s="1"/>
  <c r="F14" i="252" s="1"/>
  <c r="F19" i="252" s="1"/>
  <c r="I15" i="212"/>
  <c r="E15" i="252" s="1"/>
  <c r="F15" i="252" s="1"/>
  <c r="G202" i="209" l="1"/>
  <c r="G207" i="209"/>
  <c r="G209" i="209"/>
  <c r="L209" i="209" s="1"/>
  <c r="G211" i="209"/>
  <c r="L211" i="209" s="1"/>
  <c r="G213" i="209"/>
  <c r="G215" i="209"/>
  <c r="G203" i="209"/>
  <c r="G210" i="209"/>
  <c r="L210" i="209" s="1"/>
  <c r="G214" i="209"/>
  <c r="G226" i="209"/>
  <c r="G198" i="209"/>
  <c r="G200" i="209"/>
  <c r="L200" i="209" s="1"/>
  <c r="G205" i="209"/>
  <c r="G208" i="209"/>
  <c r="G212" i="209"/>
  <c r="G216" i="209"/>
  <c r="G199" i="209"/>
  <c r="L199" i="209" s="1"/>
  <c r="G220" i="209"/>
  <c r="H199" i="209"/>
  <c r="M199" i="209" s="1"/>
  <c r="H220" i="209"/>
  <c r="H198" i="209"/>
  <c r="M198" i="209" s="1"/>
  <c r="H205" i="209"/>
  <c r="H210" i="209"/>
  <c r="M210" i="209" s="1"/>
  <c r="H216" i="209"/>
  <c r="H226" i="209"/>
  <c r="H202" i="209"/>
  <c r="H207" i="209"/>
  <c r="H209" i="209"/>
  <c r="M209" i="209" s="1"/>
  <c r="H211" i="209"/>
  <c r="H213" i="209"/>
  <c r="H215" i="209"/>
  <c r="H200" i="209"/>
  <c r="M200" i="209" s="1"/>
  <c r="H203" i="209"/>
  <c r="M203" i="209" s="1"/>
  <c r="H208" i="209"/>
  <c r="H212" i="209"/>
  <c r="H214" i="209"/>
  <c r="M189" i="207"/>
  <c r="M187" i="207"/>
  <c r="M194" i="213"/>
  <c r="G163" i="237"/>
  <c r="G165" i="237"/>
  <c r="G167" i="237"/>
  <c r="G164" i="237"/>
  <c r="G166" i="237"/>
  <c r="G168" i="237"/>
  <c r="H244" i="236"/>
  <c r="M244" i="236" s="1"/>
  <c r="H236" i="236"/>
  <c r="M236" i="236" s="1"/>
  <c r="H259" i="236"/>
  <c r="M259" i="236" s="1"/>
  <c r="H239" i="236"/>
  <c r="H237" i="236"/>
  <c r="M237" i="236" s="1"/>
  <c r="H238" i="236"/>
  <c r="M238" i="236" s="1"/>
  <c r="H248" i="236"/>
  <c r="M248" i="236" s="1"/>
  <c r="H239" i="207"/>
  <c r="M239" i="207" s="1"/>
  <c r="H238" i="207"/>
  <c r="M238" i="207" s="1"/>
  <c r="H260" i="207"/>
  <c r="M260" i="207" s="1"/>
  <c r="H163" i="209"/>
  <c r="M163" i="209" s="1"/>
  <c r="H165" i="209"/>
  <c r="M165" i="209" s="1"/>
  <c r="H167" i="209"/>
  <c r="M167" i="209" s="1"/>
  <c r="H164" i="209"/>
  <c r="M164" i="209" s="1"/>
  <c r="H166" i="209"/>
  <c r="M166" i="209" s="1"/>
  <c r="H168" i="209"/>
  <c r="M168" i="209" s="1"/>
  <c r="L208" i="209"/>
  <c r="L188" i="209"/>
  <c r="L203" i="209"/>
  <c r="L205" i="209"/>
  <c r="G195" i="209"/>
  <c r="L195" i="209" s="1"/>
  <c r="L198" i="209"/>
  <c r="L202" i="209"/>
  <c r="L207" i="209"/>
  <c r="G244" i="236"/>
  <c r="G238" i="236"/>
  <c r="G236" i="236"/>
  <c r="G248" i="236"/>
  <c r="L248" i="236" s="1"/>
  <c r="G239" i="236"/>
  <c r="L239" i="236" s="1"/>
  <c r="G237" i="236"/>
  <c r="G259" i="236"/>
  <c r="L259" i="236" s="1"/>
  <c r="M205" i="209"/>
  <c r="H195" i="209"/>
  <c r="M195" i="209" s="1"/>
  <c r="M208" i="209"/>
  <c r="M202" i="209"/>
  <c r="M207" i="209"/>
  <c r="M211" i="209"/>
  <c r="G239" i="207"/>
  <c r="G260" i="207"/>
  <c r="G238" i="207"/>
  <c r="M243" i="236"/>
  <c r="H248" i="207"/>
  <c r="H241" i="207"/>
  <c r="H242" i="207"/>
  <c r="H259" i="207"/>
  <c r="H244" i="207"/>
  <c r="H243" i="207"/>
  <c r="H256" i="236"/>
  <c r="M256" i="236" s="1"/>
  <c r="H257" i="236"/>
  <c r="M257" i="236" s="1"/>
  <c r="H255" i="236"/>
  <c r="M255" i="236" s="1"/>
  <c r="M242" i="236"/>
  <c r="M240" i="236"/>
  <c r="M245" i="236"/>
  <c r="M241" i="236"/>
  <c r="M235" i="236"/>
  <c r="G191" i="237"/>
  <c r="G188" i="237"/>
  <c r="G192" i="237"/>
  <c r="G196" i="237"/>
  <c r="G198" i="237"/>
  <c r="G200" i="237"/>
  <c r="G193" i="237"/>
  <c r="G197" i="237"/>
  <c r="G201" i="237"/>
  <c r="F188" i="237"/>
  <c r="F192" i="237"/>
  <c r="F196" i="237"/>
  <c r="F198" i="237"/>
  <c r="F200" i="237"/>
  <c r="F191" i="237"/>
  <c r="F193" i="237"/>
  <c r="F197" i="237"/>
  <c r="F201" i="237"/>
  <c r="H160" i="236"/>
  <c r="H162" i="236"/>
  <c r="H159" i="236"/>
  <c r="H161" i="236"/>
  <c r="H163" i="236"/>
  <c r="H240" i="207"/>
  <c r="M240" i="207" s="1"/>
  <c r="H264" i="207"/>
  <c r="H160" i="213"/>
  <c r="H159" i="213"/>
  <c r="H161" i="213"/>
  <c r="H163" i="213"/>
  <c r="H165" i="213"/>
  <c r="H167" i="213"/>
  <c r="H169" i="213"/>
  <c r="H162" i="213"/>
  <c r="H168" i="213"/>
  <c r="H164" i="213"/>
  <c r="H166" i="213"/>
  <c r="H159" i="207"/>
  <c r="H161" i="207"/>
  <c r="H168" i="207"/>
  <c r="M168" i="207" s="1"/>
  <c r="H170" i="207"/>
  <c r="M170" i="207" s="1"/>
  <c r="H175" i="207"/>
  <c r="H166" i="207"/>
  <c r="H171" i="207"/>
  <c r="M171" i="207" s="1"/>
  <c r="H163" i="207"/>
  <c r="M163" i="207" s="1"/>
  <c r="H165" i="207"/>
  <c r="H172" i="207"/>
  <c r="H174" i="207"/>
  <c r="H160" i="207"/>
  <c r="H162" i="207"/>
  <c r="H167" i="207"/>
  <c r="H169" i="207"/>
  <c r="H164" i="207"/>
  <c r="M164" i="207" s="1"/>
  <c r="H173" i="207"/>
  <c r="K56" i="192"/>
  <c r="J56" i="192"/>
  <c r="E17" i="250"/>
  <c r="E30" i="250" s="1"/>
  <c r="J33" i="193"/>
  <c r="K33" i="193"/>
  <c r="M43" i="190"/>
  <c r="J43" i="190"/>
  <c r="N43" i="190"/>
  <c r="K43" i="190"/>
  <c r="O43" i="190"/>
  <c r="L43" i="190"/>
  <c r="E15" i="250"/>
  <c r="E27" i="250" s="1"/>
  <c r="H214" i="213"/>
  <c r="M214" i="213" s="1"/>
  <c r="H218" i="213"/>
  <c r="M218" i="213" s="1"/>
  <c r="G218" i="213"/>
  <c r="G214" i="213"/>
  <c r="G240" i="207"/>
  <c r="H194" i="207"/>
  <c r="G240" i="213"/>
  <c r="H246" i="236"/>
  <c r="M246" i="236" s="1"/>
  <c r="G246" i="236"/>
  <c r="D27" i="102"/>
  <c r="D28" i="102" s="1"/>
  <c r="H206" i="236"/>
  <c r="M206" i="236" s="1"/>
  <c r="M33" i="193"/>
  <c r="N33" i="193"/>
  <c r="O33" i="193"/>
  <c r="L33" i="193"/>
  <c r="N56" i="192"/>
  <c r="M56" i="192"/>
  <c r="L56" i="192"/>
  <c r="O56" i="192"/>
  <c r="F21" i="247"/>
  <c r="D23" i="103"/>
  <c r="E25" i="100"/>
  <c r="D18" i="239"/>
  <c r="E21" i="105"/>
  <c r="D22" i="102"/>
  <c r="M203" i="236"/>
  <c r="H218" i="236"/>
  <c r="M218" i="236" s="1"/>
  <c r="H211" i="236"/>
  <c r="M211" i="236" s="1"/>
  <c r="H224" i="236"/>
  <c r="H213" i="236"/>
  <c r="M213" i="236" s="1"/>
  <c r="H214" i="236"/>
  <c r="M214" i="236" s="1"/>
  <c r="H207" i="236"/>
  <c r="M207" i="236" s="1"/>
  <c r="H209" i="236"/>
  <c r="M209" i="236" s="1"/>
  <c r="H210" i="236"/>
  <c r="M210" i="236" s="1"/>
  <c r="H212" i="236"/>
  <c r="M212" i="236" s="1"/>
  <c r="H205" i="236"/>
  <c r="M205" i="236" s="1"/>
  <c r="H208" i="236"/>
  <c r="M208" i="236" s="1"/>
  <c r="H258" i="236"/>
  <c r="M258" i="236" s="1"/>
  <c r="E39" i="100"/>
  <c r="D22" i="239"/>
  <c r="D37" i="103"/>
  <c r="D32" i="102"/>
  <c r="F27" i="247"/>
  <c r="E31" i="105"/>
  <c r="E26" i="105"/>
  <c r="D20" i="239"/>
  <c r="E32" i="100"/>
  <c r="D30" i="103"/>
  <c r="F24" i="247"/>
  <c r="H257" i="207"/>
  <c r="H256" i="207"/>
  <c r="H236" i="207"/>
  <c r="H246" i="207"/>
  <c r="H258" i="207"/>
  <c r="M194" i="207" l="1"/>
  <c r="L260" i="207"/>
  <c r="L239" i="207"/>
  <c r="L244" i="236"/>
  <c r="L236" i="236"/>
  <c r="M239" i="236"/>
  <c r="L246" i="236"/>
  <c r="L238" i="207"/>
  <c r="L237" i="236"/>
  <c r="L238" i="236"/>
  <c r="M259" i="207"/>
  <c r="M242" i="207"/>
  <c r="M243" i="207"/>
  <c r="M241" i="207"/>
  <c r="M244" i="207"/>
  <c r="M248" i="207"/>
  <c r="M161" i="236"/>
  <c r="M159" i="236"/>
  <c r="M162" i="236"/>
  <c r="M163" i="236"/>
  <c r="M160" i="236"/>
  <c r="M163" i="213"/>
  <c r="M166" i="213"/>
  <c r="M169" i="213"/>
  <c r="M161" i="213"/>
  <c r="M162" i="213"/>
  <c r="M164" i="213"/>
  <c r="M167" i="213"/>
  <c r="M159" i="213"/>
  <c r="M168" i="213"/>
  <c r="M165" i="213"/>
  <c r="M160" i="213"/>
  <c r="M169" i="207"/>
  <c r="M167" i="207"/>
  <c r="M161" i="207"/>
  <c r="M160" i="207"/>
  <c r="M166" i="207"/>
  <c r="M162" i="207"/>
  <c r="M165" i="207"/>
  <c r="M159" i="207"/>
  <c r="L214" i="213"/>
  <c r="L218" i="213"/>
  <c r="L240" i="207"/>
  <c r="L240" i="213"/>
  <c r="E28" i="250"/>
  <c r="E31" i="250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13" i="44" l="1"/>
  <c r="A112" i="222"/>
  <c r="P14" i="44"/>
  <c r="D14" i="48" l="1"/>
  <c r="D176" i="45"/>
  <c r="A14" i="79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3" i="44" l="1"/>
  <c r="F113" i="44"/>
  <c r="I113" i="44"/>
  <c r="E113" i="44"/>
  <c r="H113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L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18" i="236"/>
  <c r="A19" i="236" s="1"/>
  <c r="A20" i="236" s="1"/>
  <c r="A21" i="236" s="1"/>
  <c r="A16" i="213"/>
  <c r="A17" i="213" s="1"/>
  <c r="A16" i="207"/>
  <c r="A17" i="207" s="1"/>
  <c r="A116" i="209" l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157" i="209" s="1"/>
  <c r="A158" i="209" s="1"/>
  <c r="A159" i="209" s="1"/>
  <c r="A22" i="237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18" i="213"/>
  <c r="A19" i="213" s="1"/>
  <c r="A20" i="213" s="1"/>
  <c r="A21" i="213" s="1"/>
  <c r="A18" i="207"/>
  <c r="A19" i="207" s="1"/>
  <c r="A20" i="207" s="1"/>
  <c r="A21" i="207" s="1"/>
  <c r="A160" i="209" l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186" i="209" s="1"/>
  <c r="A187" i="209" s="1"/>
  <c r="A188" i="209" s="1"/>
  <c r="A22" i="213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189" i="209" l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229" i="209" s="1"/>
  <c r="A230" i="209" s="1"/>
  <c r="A231" i="209" s="1"/>
  <c r="D12" i="237"/>
  <c r="A232" i="209" l="1"/>
  <c r="A233" i="209" s="1"/>
  <c r="A234" i="209" s="1"/>
  <c r="A235" i="209" s="1"/>
  <c r="A236" i="209" s="1"/>
  <c r="A237" i="209" s="1"/>
  <c r="A238" i="209" s="1"/>
  <c r="A239" i="209" s="1"/>
  <c r="A240" i="209" s="1"/>
  <c r="A241" i="209" s="1"/>
  <c r="A242" i="209" s="1"/>
  <c r="A243" i="209" s="1"/>
  <c r="A244" i="209" s="1"/>
  <c r="A245" i="209" s="1"/>
  <c r="A246" i="209" s="1"/>
  <c r="A247" i="209" s="1"/>
  <c r="A248" i="209" s="1"/>
  <c r="A249" i="209" s="1"/>
  <c r="A250" i="209" s="1"/>
  <c r="A251" i="209" s="1"/>
  <c r="A252" i="209" s="1"/>
  <c r="A253" i="209" s="1"/>
  <c r="A254" i="209" s="1"/>
  <c r="A255" i="209" s="1"/>
  <c r="A256" i="209" s="1"/>
  <c r="A257" i="209" s="1"/>
  <c r="A258" i="209" s="1"/>
  <c r="A259" i="209" s="1"/>
  <c r="A260" i="209" s="1"/>
  <c r="A261" i="209" s="1"/>
  <c r="A262" i="209" s="1"/>
  <c r="A263" i="209" s="1"/>
  <c r="A264" i="209" s="1"/>
  <c r="A265" i="209" s="1"/>
  <c r="A266" i="209" s="1"/>
  <c r="C12" i="215"/>
  <c r="C12" i="30"/>
  <c r="H12" i="30" s="1"/>
  <c r="G210" i="236" l="1"/>
  <c r="L210" i="236" s="1"/>
  <c r="G214" i="236"/>
  <c r="L214" i="236" s="1"/>
  <c r="G207" i="236"/>
  <c r="L207" i="236" s="1"/>
  <c r="G211" i="236"/>
  <c r="L211" i="236" s="1"/>
  <c r="G213" i="236"/>
  <c r="L213" i="236" s="1"/>
  <c r="G218" i="236"/>
  <c r="L218" i="236" s="1"/>
  <c r="G203" i="236"/>
  <c r="L203" i="236" s="1"/>
  <c r="G208" i="236"/>
  <c r="L208" i="236" s="1"/>
  <c r="G212" i="236"/>
  <c r="L212" i="236" s="1"/>
  <c r="G224" i="236"/>
  <c r="G209" i="236"/>
  <c r="L209" i="236" s="1"/>
  <c r="G205" i="236"/>
  <c r="L205" i="236" s="1"/>
  <c r="H188" i="207"/>
  <c r="M188" i="207" s="1"/>
  <c r="G188" i="207"/>
  <c r="G190" i="207" s="1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D38" i="7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46" i="209"/>
  <c r="F147" i="209"/>
  <c r="F148" i="209"/>
  <c r="F149" i="209"/>
  <c r="F150" i="209"/>
  <c r="F151" i="209"/>
  <c r="F152" i="209"/>
  <c r="F153" i="209"/>
  <c r="F130" i="213"/>
  <c r="F131" i="213"/>
  <c r="F132" i="213"/>
  <c r="F133" i="213"/>
  <c r="F134" i="213"/>
  <c r="F136" i="213"/>
  <c r="F135" i="213"/>
  <c r="F137" i="213"/>
  <c r="F138" i="213"/>
  <c r="F139" i="213"/>
  <c r="F140" i="213"/>
  <c r="F141" i="213"/>
  <c r="F142" i="213"/>
  <c r="F143" i="213"/>
  <c r="F144" i="213"/>
  <c r="F145" i="213"/>
  <c r="F146" i="213"/>
  <c r="F147" i="213"/>
  <c r="F148" i="213"/>
  <c r="F149" i="213"/>
  <c r="F150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3" i="45"/>
  <c r="D73" i="51"/>
  <c r="D74" i="51"/>
  <c r="D75" i="51"/>
  <c r="D106" i="51"/>
  <c r="G255" i="213"/>
  <c r="L186" i="213"/>
  <c r="M186" i="213"/>
  <c r="H125" i="213"/>
  <c r="M125" i="213" s="1"/>
  <c r="M188" i="209"/>
  <c r="M127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36" i="207"/>
  <c r="M136" i="207" s="1"/>
  <c r="G254" i="236"/>
  <c r="L254" i="236" s="1"/>
  <c r="H260" i="236"/>
  <c r="H156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E42" i="232"/>
  <c r="E44" i="232"/>
  <c r="J44" i="232" s="1"/>
  <c r="E40" i="232"/>
  <c r="J40" i="232" s="1"/>
  <c r="E15" i="232"/>
  <c r="J15" i="232" s="1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25" i="237"/>
  <c r="F126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4" i="237"/>
  <c r="F145" i="237"/>
  <c r="F146" i="237"/>
  <c r="F147" i="237"/>
  <c r="F148" i="237"/>
  <c r="F149" i="237"/>
  <c r="F150" i="237"/>
  <c r="F151" i="237"/>
  <c r="F156" i="237"/>
  <c r="F157" i="237"/>
  <c r="F158" i="237"/>
  <c r="F159" i="237"/>
  <c r="F160" i="237"/>
  <c r="F161" i="237"/>
  <c r="F162" i="237"/>
  <c r="F169" i="237"/>
  <c r="F170" i="237"/>
  <c r="F171" i="237"/>
  <c r="F172" i="237"/>
  <c r="F173" i="237"/>
  <c r="F174" i="237"/>
  <c r="F175" i="237"/>
  <c r="F176" i="237"/>
  <c r="F89" i="237"/>
  <c r="G89" i="237"/>
  <c r="F90" i="237"/>
  <c r="G90" i="237"/>
  <c r="F91" i="237"/>
  <c r="G91" i="237"/>
  <c r="F92" i="237"/>
  <c r="G92" i="237"/>
  <c r="F93" i="237"/>
  <c r="G93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106" i="237"/>
  <c r="G106" i="237"/>
  <c r="F107" i="237"/>
  <c r="G107" i="237"/>
  <c r="F108" i="237"/>
  <c r="G108" i="237"/>
  <c r="F109" i="237"/>
  <c r="G109" i="237"/>
  <c r="F110" i="237"/>
  <c r="G110" i="237"/>
  <c r="F111" i="237"/>
  <c r="G111" i="237"/>
  <c r="F112" i="237"/>
  <c r="G112" i="237"/>
  <c r="F113" i="237"/>
  <c r="G113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82" i="237"/>
  <c r="G82" i="237"/>
  <c r="F83" i="237"/>
  <c r="G83" i="237"/>
  <c r="F84" i="237"/>
  <c r="G84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7" i="237"/>
  <c r="G57" i="237"/>
  <c r="F58" i="237"/>
  <c r="G58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24" i="213"/>
  <c r="G125" i="213"/>
  <c r="G130" i="213"/>
  <c r="L130" i="213" s="1"/>
  <c r="G131" i="213"/>
  <c r="L131" i="213" s="1"/>
  <c r="G132" i="213"/>
  <c r="L132" i="213" s="1"/>
  <c r="G133" i="213"/>
  <c r="L133" i="213" s="1"/>
  <c r="G134" i="213"/>
  <c r="L134" i="213" s="1"/>
  <c r="G136" i="213"/>
  <c r="L136" i="213" s="1"/>
  <c r="G135" i="213"/>
  <c r="L135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3" i="213"/>
  <c r="L143" i="213" s="1"/>
  <c r="G144" i="213"/>
  <c r="L144" i="213" s="1"/>
  <c r="G145" i="213"/>
  <c r="L145" i="213" s="1"/>
  <c r="G146" i="213"/>
  <c r="L146" i="213" s="1"/>
  <c r="G147" i="213"/>
  <c r="L147" i="213" s="1"/>
  <c r="G148" i="213"/>
  <c r="L148" i="213" s="1"/>
  <c r="G149" i="213"/>
  <c r="L149" i="213" s="1"/>
  <c r="G150" i="213"/>
  <c r="L150" i="213" s="1"/>
  <c r="G155" i="213"/>
  <c r="G156" i="213"/>
  <c r="G157" i="213"/>
  <c r="G158" i="213"/>
  <c r="G170" i="213"/>
  <c r="L170" i="213" s="1"/>
  <c r="G171" i="213"/>
  <c r="G172" i="213"/>
  <c r="G173" i="213"/>
  <c r="G174" i="213"/>
  <c r="G175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7" i="213"/>
  <c r="M57" i="213"/>
  <c r="L58" i="213"/>
  <c r="M58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2" i="213"/>
  <c r="M82" i="213"/>
  <c r="L83" i="213"/>
  <c r="M83" i="213"/>
  <c r="L84" i="213"/>
  <c r="M84" i="213"/>
  <c r="L89" i="213"/>
  <c r="M89" i="213"/>
  <c r="L90" i="213"/>
  <c r="M90" i="213"/>
  <c r="L91" i="213"/>
  <c r="M91" i="213"/>
  <c r="L92" i="213"/>
  <c r="M92" i="213"/>
  <c r="L93" i="213"/>
  <c r="M93" i="213"/>
  <c r="L94" i="213"/>
  <c r="M94" i="213"/>
  <c r="L95" i="213"/>
  <c r="M95" i="213"/>
  <c r="L113" i="213"/>
  <c r="M113" i="213"/>
  <c r="G181" i="213"/>
  <c r="L181" i="213" s="1"/>
  <c r="L119" i="213"/>
  <c r="M119" i="213"/>
  <c r="G127" i="209"/>
  <c r="L127" i="209" s="1"/>
  <c r="G128" i="209"/>
  <c r="G133" i="209"/>
  <c r="G134" i="209"/>
  <c r="L134" i="209" s="1"/>
  <c r="G135" i="209"/>
  <c r="L135" i="209" s="1"/>
  <c r="G136" i="209"/>
  <c r="L136" i="209" s="1"/>
  <c r="G137" i="209"/>
  <c r="L137" i="209" s="1"/>
  <c r="G138" i="209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46" i="209"/>
  <c r="L146" i="209" s="1"/>
  <c r="G147" i="209"/>
  <c r="L147" i="209" s="1"/>
  <c r="G148" i="209"/>
  <c r="L148" i="209" s="1"/>
  <c r="G149" i="209"/>
  <c r="L149" i="209" s="1"/>
  <c r="G150" i="209"/>
  <c r="L150" i="209" s="1"/>
  <c r="G151" i="209"/>
  <c r="L151" i="209" s="1"/>
  <c r="G152" i="209"/>
  <c r="L152" i="209" s="1"/>
  <c r="G153" i="209"/>
  <c r="L153" i="209" s="1"/>
  <c r="G158" i="209"/>
  <c r="L158" i="209" s="1"/>
  <c r="G159" i="209"/>
  <c r="L159" i="209" s="1"/>
  <c r="G160" i="209"/>
  <c r="L160" i="209" s="1"/>
  <c r="G161" i="209"/>
  <c r="L161" i="209" s="1"/>
  <c r="G162" i="209"/>
  <c r="L162" i="209" s="1"/>
  <c r="G169" i="209"/>
  <c r="L169" i="209" s="1"/>
  <c r="G170" i="209"/>
  <c r="L170" i="209" s="1"/>
  <c r="G171" i="209"/>
  <c r="L171" i="209" s="1"/>
  <c r="G172" i="209"/>
  <c r="L172" i="209" s="1"/>
  <c r="G173" i="209"/>
  <c r="L173" i="209" s="1"/>
  <c r="G174" i="209"/>
  <c r="L174" i="209" s="1"/>
  <c r="G175" i="209"/>
  <c r="L175" i="209" s="1"/>
  <c r="G176" i="209"/>
  <c r="L176" i="209" s="1"/>
  <c r="G177" i="209"/>
  <c r="L177" i="209" s="1"/>
  <c r="G178" i="209"/>
  <c r="L178" i="209" s="1"/>
  <c r="G179" i="209"/>
  <c r="L179" i="209" s="1"/>
  <c r="L89" i="209"/>
  <c r="M89" i="209"/>
  <c r="L90" i="209"/>
  <c r="M90" i="209"/>
  <c r="L91" i="209"/>
  <c r="M91" i="209"/>
  <c r="L92" i="209"/>
  <c r="M92" i="209"/>
  <c r="L93" i="209"/>
  <c r="M93" i="209"/>
  <c r="L94" i="209"/>
  <c r="M94" i="209"/>
  <c r="L95" i="209"/>
  <c r="M95" i="209"/>
  <c r="L103" i="209"/>
  <c r="M103" i="209"/>
  <c r="L104" i="209"/>
  <c r="M104" i="209"/>
  <c r="L105" i="209"/>
  <c r="M105" i="209"/>
  <c r="L106" i="209"/>
  <c r="M106" i="209"/>
  <c r="L107" i="209"/>
  <c r="M107" i="209"/>
  <c r="L108" i="209"/>
  <c r="M108" i="209"/>
  <c r="L109" i="209"/>
  <c r="M109" i="209"/>
  <c r="L110" i="209"/>
  <c r="M110" i="209"/>
  <c r="L111" i="209"/>
  <c r="M111" i="209"/>
  <c r="L112" i="209"/>
  <c r="M112" i="209"/>
  <c r="L113" i="209"/>
  <c r="M113" i="209"/>
  <c r="L114" i="209"/>
  <c r="M114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82" i="209"/>
  <c r="M82" i="209"/>
  <c r="L83" i="209"/>
  <c r="M83" i="209"/>
  <c r="L84" i="209"/>
  <c r="M84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7" i="209"/>
  <c r="M57" i="209"/>
  <c r="L58" i="209"/>
  <c r="M58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 s="1"/>
  <c r="P38" i="216"/>
  <c r="H26" i="215" s="1"/>
  <c r="P40" i="216"/>
  <c r="H27" i="215" s="1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K15" i="232"/>
  <c r="G124" i="207"/>
  <c r="G125" i="207"/>
  <c r="G130" i="207"/>
  <c r="L130" i="207" s="1"/>
  <c r="G131" i="207"/>
  <c r="L131" i="207" s="1"/>
  <c r="G132" i="207"/>
  <c r="L132" i="207" s="1"/>
  <c r="G133" i="207"/>
  <c r="L133" i="207" s="1"/>
  <c r="G134" i="207"/>
  <c r="L134" i="207" s="1"/>
  <c r="G136" i="207"/>
  <c r="L136" i="207" s="1"/>
  <c r="G135" i="207"/>
  <c r="L135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3" i="207"/>
  <c r="L143" i="207" s="1"/>
  <c r="G144" i="207"/>
  <c r="L144" i="207" s="1"/>
  <c r="G145" i="207"/>
  <c r="L145" i="207" s="1"/>
  <c r="G146" i="207"/>
  <c r="L146" i="207" s="1"/>
  <c r="G147" i="207"/>
  <c r="L147" i="207" s="1"/>
  <c r="G148" i="207"/>
  <c r="L148" i="207" s="1"/>
  <c r="G149" i="207"/>
  <c r="L149" i="207" s="1"/>
  <c r="G150" i="207"/>
  <c r="L150" i="207" s="1"/>
  <c r="G155" i="207"/>
  <c r="G156" i="207"/>
  <c r="G157" i="207"/>
  <c r="G158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7" i="207"/>
  <c r="M57" i="207"/>
  <c r="L58" i="207"/>
  <c r="M58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2" i="207"/>
  <c r="M82" i="207"/>
  <c r="L83" i="207"/>
  <c r="M83" i="207"/>
  <c r="L84" i="207"/>
  <c r="M84" i="207"/>
  <c r="L89" i="207"/>
  <c r="M89" i="207"/>
  <c r="L90" i="207"/>
  <c r="M90" i="207"/>
  <c r="L91" i="207"/>
  <c r="M91" i="207"/>
  <c r="L92" i="207"/>
  <c r="M92" i="207"/>
  <c r="L93" i="207"/>
  <c r="M93" i="207"/>
  <c r="L94" i="207"/>
  <c r="M94" i="207"/>
  <c r="G181" i="207"/>
  <c r="L181" i="207" s="1"/>
  <c r="L119" i="207"/>
  <c r="M119" i="207"/>
  <c r="G125" i="236"/>
  <c r="L125" i="236" s="1"/>
  <c r="G126" i="236"/>
  <c r="L126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46" i="236"/>
  <c r="L146" i="236" s="1"/>
  <c r="G147" i="236"/>
  <c r="L147" i="236" s="1"/>
  <c r="G148" i="236"/>
  <c r="L148" i="236" s="1"/>
  <c r="G149" i="236"/>
  <c r="L149" i="236" s="1"/>
  <c r="G150" i="236"/>
  <c r="L150" i="236" s="1"/>
  <c r="G151" i="236"/>
  <c r="L151" i="236" s="1"/>
  <c r="G156" i="236"/>
  <c r="L156" i="236" s="1"/>
  <c r="G157" i="236"/>
  <c r="L157" i="236" s="1"/>
  <c r="G158" i="236"/>
  <c r="L158" i="236" s="1"/>
  <c r="G164" i="236"/>
  <c r="G165" i="236"/>
  <c r="G166" i="236"/>
  <c r="L166" i="236" s="1"/>
  <c r="G167" i="236"/>
  <c r="L167" i="236" s="1"/>
  <c r="G168" i="236"/>
  <c r="L168" i="236" s="1"/>
  <c r="G169" i="236"/>
  <c r="L169" i="236" s="1"/>
  <c r="G170" i="236"/>
  <c r="L170" i="236" s="1"/>
  <c r="G171" i="236"/>
  <c r="L171" i="236" s="1"/>
  <c r="G172" i="236"/>
  <c r="L172" i="236" s="1"/>
  <c r="G173" i="236"/>
  <c r="L173" i="236" s="1"/>
  <c r="G174" i="236"/>
  <c r="L174" i="236" s="1"/>
  <c r="G175" i="236"/>
  <c r="L175" i="236" s="1"/>
  <c r="G176" i="236"/>
  <c r="L176" i="236" s="1"/>
  <c r="G177" i="236"/>
  <c r="L177" i="236" s="1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3" i="236"/>
  <c r="M103" i="236"/>
  <c r="L104" i="236"/>
  <c r="M104" i="236"/>
  <c r="L105" i="236"/>
  <c r="M105" i="236"/>
  <c r="L112" i="236"/>
  <c r="M112" i="236"/>
  <c r="L113" i="236"/>
  <c r="M113" i="236"/>
  <c r="L114" i="236"/>
  <c r="M114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82" i="236"/>
  <c r="M82" i="236"/>
  <c r="L83" i="236"/>
  <c r="M83" i="236"/>
  <c r="L84" i="236"/>
  <c r="M84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7" i="236"/>
  <c r="M57" i="236"/>
  <c r="L58" i="236"/>
  <c r="M58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O49" i="35"/>
  <c r="O17" i="35" s="1"/>
  <c r="M49" i="35"/>
  <c r="M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J19" i="34"/>
  <c r="J29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A5" i="107"/>
  <c r="A4" i="107"/>
  <c r="A2" i="107"/>
  <c r="A1" i="107"/>
  <c r="J128" i="10"/>
  <c r="K128" i="10"/>
  <c r="L128" i="10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F131" i="248"/>
  <c r="F132" i="248"/>
  <c r="F133" i="248"/>
  <c r="F134" i="248"/>
  <c r="F135" i="248"/>
  <c r="F136" i="248"/>
  <c r="F137" i="248"/>
  <c r="F138" i="248"/>
  <c r="F139" i="248"/>
  <c r="F140" i="248"/>
  <c r="F141" i="248"/>
  <c r="D163" i="248"/>
  <c r="F15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71" i="248"/>
  <c r="F72" i="248"/>
  <c r="F73" i="248"/>
  <c r="F74" i="248"/>
  <c r="D87" i="248"/>
  <c r="A5" i="248"/>
  <c r="A4" i="248"/>
  <c r="A2" i="248"/>
  <c r="A1" i="248"/>
  <c r="A92" i="248"/>
  <c r="A93" i="248" s="1"/>
  <c r="A94" i="248" s="1"/>
  <c r="A95" i="248" s="1"/>
  <c r="A96" i="248" s="1"/>
  <c r="A97" i="248" s="1"/>
  <c r="A98" i="248" s="1"/>
  <c r="A99" i="248" s="1"/>
  <c r="A100" i="248" s="1"/>
  <c r="A101" i="248" s="1"/>
  <c r="A102" i="248" s="1"/>
  <c r="A103" i="248" s="1"/>
  <c r="A104" i="248" s="1"/>
  <c r="A105" i="248" s="1"/>
  <c r="A106" i="248" s="1"/>
  <c r="A107" i="248" s="1"/>
  <c r="A109" i="248"/>
  <c r="A110" i="248" s="1"/>
  <c r="A111" i="248" s="1"/>
  <c r="A112" i="248" s="1"/>
  <c r="A114" i="248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A134" i="248" s="1"/>
  <c r="A135" i="248" s="1"/>
  <c r="A136" i="248" s="1"/>
  <c r="A137" i="248" s="1"/>
  <c r="A138" i="248" s="1"/>
  <c r="A139" i="248" s="1"/>
  <c r="A140" i="248" s="1"/>
  <c r="A141" i="248" s="1"/>
  <c r="A142" i="248" s="1"/>
  <c r="A143" i="248" s="1"/>
  <c r="A144" i="248" s="1"/>
  <c r="A145" i="248" s="1"/>
  <c r="A146" i="248" s="1"/>
  <c r="A147" i="248" s="1"/>
  <c r="A148" i="248" s="1"/>
  <c r="A149" i="248" s="1"/>
  <c r="A150" i="248" s="1"/>
  <c r="A151" i="248" s="1"/>
  <c r="A152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7" i="213"/>
  <c r="H57" i="213"/>
  <c r="G58" i="213"/>
  <c r="H58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7" i="207"/>
  <c r="H57" i="207"/>
  <c r="G58" i="207"/>
  <c r="H58" i="207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82" i="213"/>
  <c r="H82" i="213"/>
  <c r="G83" i="213"/>
  <c r="H83" i="213"/>
  <c r="G84" i="213"/>
  <c r="H84" i="213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G82" i="207"/>
  <c r="H82" i="207"/>
  <c r="G83" i="207"/>
  <c r="H83" i="207"/>
  <c r="G84" i="207"/>
  <c r="H84" i="207"/>
  <c r="F130" i="207"/>
  <c r="F131" i="207"/>
  <c r="F132" i="207"/>
  <c r="F133" i="207"/>
  <c r="F134" i="207"/>
  <c r="F136" i="207"/>
  <c r="F135" i="207"/>
  <c r="F137" i="207"/>
  <c r="F138" i="207"/>
  <c r="F139" i="207"/>
  <c r="F140" i="207"/>
  <c r="F141" i="207"/>
  <c r="F142" i="207"/>
  <c r="F143" i="207"/>
  <c r="F144" i="207"/>
  <c r="F145" i="207"/>
  <c r="F146" i="207"/>
  <c r="F147" i="207"/>
  <c r="F148" i="207"/>
  <c r="F149" i="207"/>
  <c r="F150" i="207"/>
  <c r="G89" i="213"/>
  <c r="H89" i="213"/>
  <c r="G90" i="213"/>
  <c r="H90" i="213"/>
  <c r="G91" i="213"/>
  <c r="H91" i="213"/>
  <c r="G92" i="213"/>
  <c r="H92" i="213"/>
  <c r="G93" i="213"/>
  <c r="H93" i="213"/>
  <c r="G94" i="213"/>
  <c r="H94" i="213"/>
  <c r="G95" i="213"/>
  <c r="H95" i="213"/>
  <c r="G110" i="213"/>
  <c r="H110" i="213"/>
  <c r="G111" i="213"/>
  <c r="H111" i="213"/>
  <c r="G112" i="213"/>
  <c r="H112" i="213"/>
  <c r="G113" i="213"/>
  <c r="H113" i="213"/>
  <c r="G89" i="207"/>
  <c r="H89" i="207"/>
  <c r="G90" i="207"/>
  <c r="H90" i="207"/>
  <c r="G91" i="207"/>
  <c r="H91" i="207"/>
  <c r="G92" i="207"/>
  <c r="H92" i="207"/>
  <c r="G93" i="207"/>
  <c r="H93" i="207"/>
  <c r="G94" i="207"/>
  <c r="H94" i="207"/>
  <c r="G95" i="207"/>
  <c r="H112" i="207"/>
  <c r="G113" i="207"/>
  <c r="H113" i="207"/>
  <c r="G89" i="209"/>
  <c r="H89" i="209"/>
  <c r="G90" i="209"/>
  <c r="H90" i="209"/>
  <c r="G91" i="209"/>
  <c r="H91" i="209"/>
  <c r="G92" i="209"/>
  <c r="H92" i="209"/>
  <c r="G93" i="209"/>
  <c r="H93" i="209"/>
  <c r="G94" i="209"/>
  <c r="H94" i="209"/>
  <c r="G95" i="209"/>
  <c r="H95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107" i="209"/>
  <c r="H107" i="209"/>
  <c r="G108" i="209"/>
  <c r="H108" i="209"/>
  <c r="G109" i="209"/>
  <c r="H109" i="209"/>
  <c r="G110" i="209"/>
  <c r="H110" i="209"/>
  <c r="G111" i="209"/>
  <c r="H111" i="209"/>
  <c r="G112" i="209"/>
  <c r="H112" i="209"/>
  <c r="G113" i="209"/>
  <c r="H113" i="209"/>
  <c r="G114" i="209"/>
  <c r="H114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82" i="209"/>
  <c r="H82" i="209"/>
  <c r="G83" i="209"/>
  <c r="H83" i="209"/>
  <c r="G84" i="209"/>
  <c r="H84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7" i="209"/>
  <c r="H57" i="209"/>
  <c r="G58" i="209"/>
  <c r="H58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F146" i="236"/>
  <c r="F147" i="236"/>
  <c r="F148" i="236"/>
  <c r="F149" i="236"/>
  <c r="F150" i="236"/>
  <c r="F151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3" i="236"/>
  <c r="H103" i="236"/>
  <c r="G104" i="236"/>
  <c r="H104" i="236"/>
  <c r="G105" i="236"/>
  <c r="H105" i="236"/>
  <c r="G111" i="236"/>
  <c r="H111" i="236"/>
  <c r="G112" i="236"/>
  <c r="H112" i="236"/>
  <c r="G113" i="236"/>
  <c r="H113" i="236"/>
  <c r="G114" i="236"/>
  <c r="H114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82" i="236"/>
  <c r="H82" i="236"/>
  <c r="G83" i="236"/>
  <c r="H83" i="236"/>
  <c r="G84" i="236"/>
  <c r="H84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7" i="236"/>
  <c r="H57" i="236"/>
  <c r="G58" i="236"/>
  <c r="H58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9" i="213"/>
  <c r="H119" i="213"/>
  <c r="G119" i="207"/>
  <c r="H119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J22" i="244"/>
  <c r="D19" i="243"/>
  <c r="D16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A8" i="236"/>
  <c r="A6" i="236"/>
  <c r="A4" i="236"/>
  <c r="A1" i="236"/>
  <c r="A2" i="236"/>
  <c r="E19" i="236"/>
  <c r="E26" i="236"/>
  <c r="E47" i="236"/>
  <c r="E60" i="236"/>
  <c r="E86" i="236"/>
  <c r="E118" i="236"/>
  <c r="E128" i="236"/>
  <c r="D153" i="236"/>
  <c r="E153" i="236"/>
  <c r="K153" i="236"/>
  <c r="E179" i="236"/>
  <c r="E226" i="236"/>
  <c r="E262" i="236"/>
  <c r="K152" i="213"/>
  <c r="E228" i="209"/>
  <c r="E181" i="209"/>
  <c r="E60" i="209"/>
  <c r="K155" i="209"/>
  <c r="E118" i="209"/>
  <c r="E86" i="209"/>
  <c r="E47" i="209"/>
  <c r="E26" i="209"/>
  <c r="E19" i="209"/>
  <c r="E130" i="209"/>
  <c r="E155" i="209"/>
  <c r="D155" i="209"/>
  <c r="A8" i="209"/>
  <c r="A6" i="209"/>
  <c r="A4" i="209"/>
  <c r="H27" i="102"/>
  <c r="A1" i="235"/>
  <c r="A2" i="235"/>
  <c r="A3" i="235"/>
  <c r="A4" i="235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L25" i="202"/>
  <c r="C53" i="228"/>
  <c r="B53" i="228"/>
  <c r="C32" i="227"/>
  <c r="B32" i="227"/>
  <c r="C40" i="226"/>
  <c r="B40" i="226"/>
  <c r="C55" i="192"/>
  <c r="B55" i="192"/>
  <c r="C32" i="193"/>
  <c r="B32" i="193"/>
  <c r="C42" i="190"/>
  <c r="B42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52" i="213"/>
  <c r="A3" i="216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9" i="215"/>
  <c r="A7" i="215"/>
  <c r="H12" i="215"/>
  <c r="A3" i="214"/>
  <c r="A2" i="214"/>
  <c r="A1" i="214"/>
  <c r="A9" i="30"/>
  <c r="A7" i="30"/>
  <c r="A8" i="67"/>
  <c r="A6" i="67"/>
  <c r="A9" i="69"/>
  <c r="A7" i="69"/>
  <c r="A2" i="69"/>
  <c r="A1" i="69"/>
  <c r="A9" i="24"/>
  <c r="A7" i="24"/>
  <c r="A2" i="24"/>
  <c r="A1" i="24"/>
  <c r="A8" i="213"/>
  <c r="A6" i="213"/>
  <c r="A4" i="213"/>
  <c r="A1" i="213"/>
  <c r="A2" i="213"/>
  <c r="E19" i="213"/>
  <c r="E26" i="213"/>
  <c r="E47" i="213"/>
  <c r="E60" i="213"/>
  <c r="E86" i="213"/>
  <c r="E115" i="213"/>
  <c r="E127" i="213"/>
  <c r="E152" i="213"/>
  <c r="E177" i="213"/>
  <c r="K152" i="207"/>
  <c r="E127" i="207"/>
  <c r="E152" i="207"/>
  <c r="E177" i="207"/>
  <c r="E19" i="207"/>
  <c r="E26" i="207"/>
  <c r="E47" i="207"/>
  <c r="E60" i="207"/>
  <c r="E86" i="207"/>
  <c r="E115" i="207"/>
  <c r="D152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A2" i="137"/>
  <c r="A1" i="137"/>
  <c r="A2" i="3"/>
  <c r="A1" i="3"/>
  <c r="A8" i="207"/>
  <c r="A7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J49" i="35"/>
  <c r="J50" i="35"/>
  <c r="H24" i="36"/>
  <c r="J24" i="36" s="1"/>
  <c r="F16" i="104"/>
  <c r="F18" i="104"/>
  <c r="J18" i="104"/>
  <c r="D20" i="104"/>
  <c r="A17" i="107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1" i="100"/>
  <c r="I22" i="243"/>
  <c r="I25" i="215"/>
  <c r="E34" i="231"/>
  <c r="E24" i="231"/>
  <c r="J30" i="231"/>
  <c r="M186" i="236"/>
  <c r="M174" i="207"/>
  <c r="M172" i="207"/>
  <c r="H158" i="207"/>
  <c r="M158" i="207" s="1"/>
  <c r="H170" i="209"/>
  <c r="H140" i="209"/>
  <c r="M140" i="209" s="1"/>
  <c r="M226" i="209"/>
  <c r="M214" i="209"/>
  <c r="G133" i="237"/>
  <c r="G137" i="237"/>
  <c r="G141" i="237"/>
  <c r="G145" i="237"/>
  <c r="G149" i="237"/>
  <c r="G156" i="237"/>
  <c r="G158" i="237"/>
  <c r="G160" i="237"/>
  <c r="G161" i="237"/>
  <c r="G172" i="237"/>
  <c r="G174" i="237"/>
  <c r="G126" i="237"/>
  <c r="G134" i="237"/>
  <c r="G138" i="237"/>
  <c r="G142" i="237"/>
  <c r="G146" i="237"/>
  <c r="G150" i="237"/>
  <c r="G159" i="237"/>
  <c r="G162" i="237"/>
  <c r="G169" i="237"/>
  <c r="G173" i="237"/>
  <c r="G175" i="237"/>
  <c r="G131" i="237"/>
  <c r="G135" i="237"/>
  <c r="G139" i="237"/>
  <c r="G143" i="237"/>
  <c r="G147" i="237"/>
  <c r="G151" i="237"/>
  <c r="G170" i="237"/>
  <c r="G176" i="237"/>
  <c r="G132" i="237"/>
  <c r="G136" i="237"/>
  <c r="G140" i="237"/>
  <c r="G144" i="237"/>
  <c r="G148" i="237"/>
  <c r="G157" i="237"/>
  <c r="G171" i="237"/>
  <c r="C51" i="238"/>
  <c r="H51" i="238" s="1"/>
  <c r="G213" i="237"/>
  <c r="G211" i="237"/>
  <c r="G218" i="237"/>
  <c r="G214" i="237"/>
  <c r="G212" i="237"/>
  <c r="G210" i="237"/>
  <c r="D153" i="237"/>
  <c r="I51" i="100"/>
  <c r="N17" i="35" l="1"/>
  <c r="L17" i="35"/>
  <c r="E31" i="106"/>
  <c r="N15" i="106"/>
  <c r="M15" i="106" s="1"/>
  <c r="A7" i="67"/>
  <c r="A7" i="213"/>
  <c r="E50" i="100"/>
  <c r="A8" i="69"/>
  <c r="A1" i="30"/>
  <c r="A1" i="231"/>
  <c r="I19" i="100"/>
  <c r="I49" i="100" s="1"/>
  <c r="A1" i="232"/>
  <c r="I31" i="215"/>
  <c r="A1" i="215"/>
  <c r="A8" i="215"/>
  <c r="A2" i="231"/>
  <c r="A1" i="230"/>
  <c r="A1" i="233"/>
  <c r="H191" i="207"/>
  <c r="M190" i="207"/>
  <c r="A4" i="241"/>
  <c r="A4" i="230"/>
  <c r="L190" i="207"/>
  <c r="L165" i="236"/>
  <c r="L164" i="236"/>
  <c r="A2" i="232"/>
  <c r="A2" i="230"/>
  <c r="A2" i="233"/>
  <c r="G21" i="84"/>
  <c r="O45" i="42" s="1"/>
  <c r="D68" i="232"/>
  <c r="D70" i="232" s="1"/>
  <c r="E17" i="103"/>
  <c r="J24" i="30"/>
  <c r="P43" i="231"/>
  <c r="A24" i="137"/>
  <c r="A25" i="137" s="1"/>
  <c r="A27" i="137" s="1"/>
  <c r="T25" i="202"/>
  <c r="K25" i="4"/>
  <c r="A7" i="31"/>
  <c r="A8" i="24"/>
  <c r="A8" i="30"/>
  <c r="H20" i="104"/>
  <c r="F20" i="104"/>
  <c r="Q30" i="231"/>
  <c r="N140" i="209"/>
  <c r="M170" i="209"/>
  <c r="F42" i="232"/>
  <c r="P38" i="232"/>
  <c r="J24" i="231"/>
  <c r="P24" i="231"/>
  <c r="M156" i="236"/>
  <c r="J30" i="232"/>
  <c r="Q30" i="232" s="1"/>
  <c r="P30" i="232"/>
  <c r="J34" i="231"/>
  <c r="J22" i="232"/>
  <c r="P22" i="232"/>
  <c r="A7" i="230"/>
  <c r="A7" i="209"/>
  <c r="H19" i="103"/>
  <c r="I19" i="103" s="1"/>
  <c r="L174" i="207"/>
  <c r="L157" i="207"/>
  <c r="L125" i="207"/>
  <c r="L172" i="213"/>
  <c r="L155" i="213"/>
  <c r="F31" i="30"/>
  <c r="L173" i="207"/>
  <c r="L156" i="207"/>
  <c r="L124" i="207"/>
  <c r="L175" i="213"/>
  <c r="L171" i="213"/>
  <c r="L158" i="213"/>
  <c r="F24" i="30"/>
  <c r="C28" i="215"/>
  <c r="L172" i="207"/>
  <c r="L155" i="207"/>
  <c r="L174" i="213"/>
  <c r="L157" i="213"/>
  <c r="L125" i="213"/>
  <c r="I16" i="239"/>
  <c r="L175" i="207"/>
  <c r="L158" i="207"/>
  <c r="L173" i="213"/>
  <c r="L156" i="213"/>
  <c r="L124" i="213"/>
  <c r="G191" i="207"/>
  <c r="A7" i="236"/>
  <c r="A7" i="233"/>
  <c r="A6" i="190"/>
  <c r="D26" i="30"/>
  <c r="J38" i="238"/>
  <c r="N49" i="35"/>
  <c r="L49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55" i="213"/>
  <c r="D51" i="238"/>
  <c r="D161" i="51"/>
  <c r="L38" i="238"/>
  <c r="K38" i="232"/>
  <c r="Q38" i="232" s="1"/>
  <c r="E26" i="30"/>
  <c r="G22" i="243"/>
  <c r="F19" i="30"/>
  <c r="E32" i="215"/>
  <c r="F32" i="215" s="1"/>
  <c r="F32" i="231"/>
  <c r="K32" i="231" s="1"/>
  <c r="J27" i="30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41" i="226"/>
  <c r="E41" i="226" s="1"/>
  <c r="F41" i="226" s="1"/>
  <c r="G41" i="226" s="1"/>
  <c r="H41" i="226" s="1"/>
  <c r="I41" i="226" s="1"/>
  <c r="J41" i="226" s="1"/>
  <c r="K41" i="226" s="1"/>
  <c r="L41" i="226" s="1"/>
  <c r="M41" i="226" s="1"/>
  <c r="N41" i="226" s="1"/>
  <c r="O41" i="226" s="1"/>
  <c r="J24" i="247"/>
  <c r="H30" i="103"/>
  <c r="I26" i="105"/>
  <c r="I32" i="100"/>
  <c r="F163" i="248"/>
  <c r="J21" i="247"/>
  <c r="I21" i="105"/>
  <c r="D54" i="228"/>
  <c r="E54" i="228" s="1"/>
  <c r="F54" i="228" s="1"/>
  <c r="G54" i="228" s="1"/>
  <c r="H54" i="228" s="1"/>
  <c r="I54" i="228" s="1"/>
  <c r="J54" i="228" s="1"/>
  <c r="K54" i="228" s="1"/>
  <c r="L54" i="228" s="1"/>
  <c r="M54" i="228" s="1"/>
  <c r="N54" i="228" s="1"/>
  <c r="O54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4"/>
  <c r="J20" i="34" s="1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J30" i="39"/>
  <c r="H30" i="34"/>
  <c r="J35" i="39"/>
  <c r="I22" i="39"/>
  <c r="I22" i="41"/>
  <c r="I30" i="41"/>
  <c r="J22" i="41"/>
  <c r="J30" i="41"/>
  <c r="H30" i="39"/>
  <c r="I30" i="39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I36" i="39"/>
  <c r="J33" i="41"/>
  <c r="D22" i="42"/>
  <c r="C24" i="239"/>
  <c r="L187" i="207"/>
  <c r="G251" i="236"/>
  <c r="L251" i="236" s="1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2" i="8"/>
  <c r="I18" i="8"/>
  <c r="I40" i="190"/>
  <c r="E30" i="193"/>
  <c r="O18" i="35"/>
  <c r="J66" i="238"/>
  <c r="L66" i="238"/>
  <c r="M66" i="238"/>
  <c r="J33" i="215"/>
  <c r="H148" i="209"/>
  <c r="M148" i="209" s="1"/>
  <c r="N148" i="209" s="1"/>
  <c r="D24" i="103"/>
  <c r="D26" i="103"/>
  <c r="E25" i="30"/>
  <c r="F25" i="30" s="1"/>
  <c r="K66" i="238"/>
  <c r="I140" i="209"/>
  <c r="H66" i="238"/>
  <c r="I66" i="238"/>
  <c r="H137" i="209"/>
  <c r="M137" i="209" s="1"/>
  <c r="N137" i="209" s="1"/>
  <c r="H153" i="209"/>
  <c r="M153" i="209" s="1"/>
  <c r="N153" i="209" s="1"/>
  <c r="E23" i="103"/>
  <c r="D25" i="103"/>
  <c r="G16" i="243"/>
  <c r="G260" i="236"/>
  <c r="G253" i="236"/>
  <c r="L253" i="236" s="1"/>
  <c r="L231" i="236"/>
  <c r="D66" i="238"/>
  <c r="H145" i="209"/>
  <c r="M145" i="209" s="1"/>
  <c r="N145" i="209" s="1"/>
  <c r="F40" i="232"/>
  <c r="E26" i="215"/>
  <c r="E32" i="30"/>
  <c r="F32" i="30" s="1"/>
  <c r="E33" i="215"/>
  <c r="G250" i="236"/>
  <c r="L250" i="236" s="1"/>
  <c r="G66" i="238"/>
  <c r="P50" i="202"/>
  <c r="G26" i="95"/>
  <c r="G43" i="10" s="1"/>
  <c r="H26" i="34"/>
  <c r="G40" i="190"/>
  <c r="E40" i="190"/>
  <c r="P13" i="193"/>
  <c r="F30" i="193"/>
  <c r="G30" i="193"/>
  <c r="H30" i="193"/>
  <c r="D24" i="244"/>
  <c r="C34" i="103"/>
  <c r="F45" i="233"/>
  <c r="D18" i="105"/>
  <c r="F203" i="237"/>
  <c r="F207" i="237"/>
  <c r="F205" i="237"/>
  <c r="F209" i="237"/>
  <c r="F208" i="237"/>
  <c r="G208" i="237"/>
  <c r="G203" i="237"/>
  <c r="G207" i="237"/>
  <c r="G205" i="237"/>
  <c r="G209" i="237"/>
  <c r="F155" i="209"/>
  <c r="M213" i="209"/>
  <c r="H190" i="209"/>
  <c r="M190" i="209" s="1"/>
  <c r="E120" i="209"/>
  <c r="E183" i="209"/>
  <c r="H193" i="209"/>
  <c r="M193" i="209" s="1"/>
  <c r="I24" i="243"/>
  <c r="L13" i="243"/>
  <c r="G29" i="42"/>
  <c r="D13" i="243"/>
  <c r="G13" i="243" s="1"/>
  <c r="M18" i="35"/>
  <c r="I19" i="8"/>
  <c r="D41" i="231"/>
  <c r="I22" i="99"/>
  <c r="I16" i="99"/>
  <c r="C27" i="103"/>
  <c r="G13" i="244"/>
  <c r="I21" i="8"/>
  <c r="H144" i="236"/>
  <c r="M144" i="236" s="1"/>
  <c r="N144" i="236" s="1"/>
  <c r="H168" i="236"/>
  <c r="M231" i="236"/>
  <c r="G233" i="236"/>
  <c r="H136" i="236"/>
  <c r="M136" i="236" s="1"/>
  <c r="N136" i="236" s="1"/>
  <c r="H148" i="236"/>
  <c r="M148" i="236" s="1"/>
  <c r="N148" i="236" s="1"/>
  <c r="H132" i="236"/>
  <c r="M132" i="236" s="1"/>
  <c r="N132" i="236" s="1"/>
  <c r="H140" i="236"/>
  <c r="M140" i="236" s="1"/>
  <c r="N140" i="236" s="1"/>
  <c r="H157" i="236"/>
  <c r="H150" i="236"/>
  <c r="M150" i="236" s="1"/>
  <c r="N150" i="236" s="1"/>
  <c r="H146" i="236"/>
  <c r="M146" i="236" s="1"/>
  <c r="N146" i="236" s="1"/>
  <c r="H142" i="236"/>
  <c r="M142" i="236" s="1"/>
  <c r="N142" i="236" s="1"/>
  <c r="H138" i="236"/>
  <c r="M138" i="236" s="1"/>
  <c r="N138" i="236" s="1"/>
  <c r="H134" i="236"/>
  <c r="M134" i="236" s="1"/>
  <c r="N134" i="236" s="1"/>
  <c r="M125" i="236"/>
  <c r="H173" i="236"/>
  <c r="H175" i="236"/>
  <c r="H149" i="236"/>
  <c r="M149" i="236" s="1"/>
  <c r="N149" i="236" s="1"/>
  <c r="H145" i="236"/>
  <c r="M145" i="236" s="1"/>
  <c r="N145" i="236" s="1"/>
  <c r="H141" i="236"/>
  <c r="M141" i="236" s="1"/>
  <c r="N141" i="236" s="1"/>
  <c r="H137" i="236"/>
  <c r="M137" i="236" s="1"/>
  <c r="N137" i="236" s="1"/>
  <c r="H133" i="236"/>
  <c r="M133" i="236" s="1"/>
  <c r="N133" i="236" s="1"/>
  <c r="H167" i="236"/>
  <c r="H176" i="236"/>
  <c r="H151" i="236"/>
  <c r="M151" i="236" s="1"/>
  <c r="N151" i="236" s="1"/>
  <c r="H147" i="236"/>
  <c r="M147" i="236" s="1"/>
  <c r="N147" i="236" s="1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H171" i="236"/>
  <c r="H164" i="236"/>
  <c r="M164" i="236" s="1"/>
  <c r="H169" i="236"/>
  <c r="H174" i="236"/>
  <c r="E181" i="236"/>
  <c r="E120" i="236"/>
  <c r="H142" i="213"/>
  <c r="M142" i="213" s="1"/>
  <c r="N142" i="213" s="1"/>
  <c r="M124" i="213"/>
  <c r="H175" i="213"/>
  <c r="M175" i="213" s="1"/>
  <c r="H150" i="213"/>
  <c r="M150" i="213" s="1"/>
  <c r="N150" i="213" s="1"/>
  <c r="H145" i="213"/>
  <c r="M145" i="213" s="1"/>
  <c r="N145" i="213" s="1"/>
  <c r="H134" i="213"/>
  <c r="M134" i="213" s="1"/>
  <c r="N134" i="213" s="1"/>
  <c r="H172" i="213"/>
  <c r="M172" i="213" s="1"/>
  <c r="H146" i="213"/>
  <c r="M146" i="213" s="1"/>
  <c r="N146" i="213" s="1"/>
  <c r="H138" i="213"/>
  <c r="M138" i="213" s="1"/>
  <c r="N138" i="213" s="1"/>
  <c r="H130" i="213"/>
  <c r="M130" i="213" s="1"/>
  <c r="N130" i="213" s="1"/>
  <c r="H137" i="213"/>
  <c r="M137" i="213" s="1"/>
  <c r="N137" i="213" s="1"/>
  <c r="H171" i="213"/>
  <c r="M171" i="213" s="1"/>
  <c r="H155" i="213"/>
  <c r="M155" i="213" s="1"/>
  <c r="H144" i="213"/>
  <c r="M144" i="213" s="1"/>
  <c r="N144" i="213" s="1"/>
  <c r="H135" i="213"/>
  <c r="M135" i="213" s="1"/>
  <c r="N135" i="213" s="1"/>
  <c r="H141" i="213"/>
  <c r="M141" i="213" s="1"/>
  <c r="N141" i="213" s="1"/>
  <c r="H158" i="213"/>
  <c r="M158" i="213" s="1"/>
  <c r="H173" i="213"/>
  <c r="M173" i="213" s="1"/>
  <c r="H157" i="213"/>
  <c r="M157" i="213" s="1"/>
  <c r="H148" i="213"/>
  <c r="M148" i="213" s="1"/>
  <c r="N148" i="213" s="1"/>
  <c r="H140" i="213"/>
  <c r="M140" i="213" s="1"/>
  <c r="N140" i="213" s="1"/>
  <c r="H132" i="213"/>
  <c r="M132" i="213" s="1"/>
  <c r="N132" i="213" s="1"/>
  <c r="H133" i="213"/>
  <c r="M133" i="213" s="1"/>
  <c r="N133" i="213" s="1"/>
  <c r="H149" i="213"/>
  <c r="M149" i="213" s="1"/>
  <c r="N149" i="213" s="1"/>
  <c r="H174" i="213"/>
  <c r="M174" i="213" s="1"/>
  <c r="L246" i="213"/>
  <c r="G264" i="213"/>
  <c r="L257" i="213"/>
  <c r="L233" i="213"/>
  <c r="G227" i="213"/>
  <c r="L256" i="213"/>
  <c r="E179" i="213"/>
  <c r="L258" i="213"/>
  <c r="L236" i="213"/>
  <c r="L212" i="209"/>
  <c r="L226" i="209"/>
  <c r="I20" i="30"/>
  <c r="I34" i="30" s="1"/>
  <c r="D34" i="30"/>
  <c r="D27" i="30"/>
  <c r="I20" i="215"/>
  <c r="I27" i="215" s="1"/>
  <c r="D27" i="215"/>
  <c r="D34" i="215"/>
  <c r="M257" i="213"/>
  <c r="H264" i="213"/>
  <c r="M264" i="213" s="1"/>
  <c r="F152" i="213"/>
  <c r="L194" i="207"/>
  <c r="F20" i="30"/>
  <c r="H176" i="209"/>
  <c r="H143" i="209"/>
  <c r="H262" i="209"/>
  <c r="M262" i="209" s="1"/>
  <c r="H209" i="213"/>
  <c r="M209" i="213" s="1"/>
  <c r="H237" i="213"/>
  <c r="M237" i="213" s="1"/>
  <c r="H253" i="213"/>
  <c r="M253" i="213" s="1"/>
  <c r="L232" i="213"/>
  <c r="G253" i="213"/>
  <c r="G254" i="213"/>
  <c r="H212" i="213"/>
  <c r="M212" i="213" s="1"/>
  <c r="G252" i="213"/>
  <c r="H207" i="213"/>
  <c r="M207" i="213" s="1"/>
  <c r="G251" i="213"/>
  <c r="H213" i="213"/>
  <c r="M213" i="213" s="1"/>
  <c r="H206" i="213"/>
  <c r="M206" i="213" s="1"/>
  <c r="G250" i="213"/>
  <c r="G249" i="213"/>
  <c r="G247" i="213"/>
  <c r="E117" i="213"/>
  <c r="H208" i="213"/>
  <c r="M208" i="213" s="1"/>
  <c r="H197" i="213"/>
  <c r="M197" i="213" s="1"/>
  <c r="G245" i="213"/>
  <c r="G235" i="213"/>
  <c r="H205" i="213"/>
  <c r="M205" i="213" s="1"/>
  <c r="M257" i="207"/>
  <c r="M258" i="207"/>
  <c r="M175" i="207"/>
  <c r="N136" i="207"/>
  <c r="H156" i="207"/>
  <c r="M156" i="207" s="1"/>
  <c r="I136" i="207"/>
  <c r="H155" i="207"/>
  <c r="M155" i="207" s="1"/>
  <c r="H157" i="207"/>
  <c r="M157" i="207" s="1"/>
  <c r="M173" i="207"/>
  <c r="M233" i="207"/>
  <c r="M236" i="207"/>
  <c r="L233" i="207"/>
  <c r="E117" i="207"/>
  <c r="H181" i="207"/>
  <c r="M181" i="207" s="1"/>
  <c r="H150" i="207"/>
  <c r="M150" i="207" s="1"/>
  <c r="N150" i="207" s="1"/>
  <c r="H149" i="207"/>
  <c r="M149" i="207" s="1"/>
  <c r="N149" i="207" s="1"/>
  <c r="E179" i="207"/>
  <c r="E266" i="207" s="1"/>
  <c r="H147" i="207"/>
  <c r="M147" i="207" s="1"/>
  <c r="N147" i="207" s="1"/>
  <c r="H133" i="207"/>
  <c r="M133" i="207" s="1"/>
  <c r="N133" i="207" s="1"/>
  <c r="G255" i="207"/>
  <c r="L188" i="207"/>
  <c r="G253" i="207"/>
  <c r="G249" i="207"/>
  <c r="G264" i="207"/>
  <c r="G252" i="207"/>
  <c r="L246" i="207"/>
  <c r="L256" i="207"/>
  <c r="G251" i="207"/>
  <c r="G245" i="207"/>
  <c r="F41" i="231"/>
  <c r="P41" i="231" s="1"/>
  <c r="H254" i="236"/>
  <c r="M254" i="236" s="1"/>
  <c r="H146" i="207"/>
  <c r="M146" i="207" s="1"/>
  <c r="N146" i="207" s="1"/>
  <c r="G247" i="207"/>
  <c r="L233" i="209"/>
  <c r="G207" i="213"/>
  <c r="D50" i="238"/>
  <c r="H251" i="236"/>
  <c r="M251" i="236" s="1"/>
  <c r="H233" i="236"/>
  <c r="M233" i="236" s="1"/>
  <c r="H139" i="207"/>
  <c r="M139" i="207" s="1"/>
  <c r="N139" i="207" s="1"/>
  <c r="J32" i="30"/>
  <c r="J25" i="30"/>
  <c r="K25" i="30" s="1"/>
  <c r="M186" i="207"/>
  <c r="G237" i="207"/>
  <c r="F26" i="232"/>
  <c r="K26" i="232" s="1"/>
  <c r="E32" i="232"/>
  <c r="H179" i="209"/>
  <c r="H178" i="209"/>
  <c r="H172" i="209"/>
  <c r="H146" i="209"/>
  <c r="H133" i="209"/>
  <c r="M133" i="209" s="1"/>
  <c r="L213" i="209"/>
  <c r="G262" i="209"/>
  <c r="L262" i="209" s="1"/>
  <c r="H210" i="213"/>
  <c r="M210" i="213" s="1"/>
  <c r="H200" i="213"/>
  <c r="M200" i="213" s="1"/>
  <c r="G237" i="213"/>
  <c r="D23" i="102"/>
  <c r="H177" i="236"/>
  <c r="H151" i="209"/>
  <c r="H141" i="209"/>
  <c r="M215" i="209"/>
  <c r="F34" i="231"/>
  <c r="P34" i="231" s="1"/>
  <c r="H126" i="236"/>
  <c r="M126" i="236" s="1"/>
  <c r="G252" i="236"/>
  <c r="L252" i="236" s="1"/>
  <c r="G249" i="236"/>
  <c r="L249" i="236" s="1"/>
  <c r="G234" i="236"/>
  <c r="L232" i="236"/>
  <c r="M264" i="207"/>
  <c r="H130" i="207"/>
  <c r="M130" i="207" s="1"/>
  <c r="N130" i="207" s="1"/>
  <c r="H254" i="207"/>
  <c r="M254" i="207" s="1"/>
  <c r="H251" i="207"/>
  <c r="M251" i="207" s="1"/>
  <c r="H174" i="209"/>
  <c r="H160" i="209"/>
  <c r="H149" i="209"/>
  <c r="H138" i="209"/>
  <c r="M138" i="209" s="1"/>
  <c r="L214" i="209"/>
  <c r="H227" i="213"/>
  <c r="H211" i="213"/>
  <c r="M211" i="213" s="1"/>
  <c r="H255" i="213"/>
  <c r="G190" i="209"/>
  <c r="L190" i="209" s="1"/>
  <c r="K39" i="231"/>
  <c r="Q39" i="231" s="1"/>
  <c r="H198" i="213"/>
  <c r="M198" i="213" s="1"/>
  <c r="H193" i="213"/>
  <c r="M193" i="213" s="1"/>
  <c r="H191" i="213"/>
  <c r="M191" i="213" s="1"/>
  <c r="H234" i="213"/>
  <c r="M234" i="213" s="1"/>
  <c r="H141" i="207"/>
  <c r="M141" i="207" s="1"/>
  <c r="N141" i="207" s="1"/>
  <c r="H188" i="213"/>
  <c r="M188" i="213" s="1"/>
  <c r="H138" i="207"/>
  <c r="M138" i="207" s="1"/>
  <c r="N138" i="207" s="1"/>
  <c r="F44" i="232"/>
  <c r="P44" i="232" s="1"/>
  <c r="H177" i="209"/>
  <c r="H175" i="209"/>
  <c r="H173" i="209"/>
  <c r="H171" i="209"/>
  <c r="H169" i="209"/>
  <c r="H162" i="209"/>
  <c r="H161" i="209"/>
  <c r="H159" i="209"/>
  <c r="H158" i="209"/>
  <c r="H152" i="209"/>
  <c r="H150" i="209"/>
  <c r="M150" i="209" s="1"/>
  <c r="N150" i="209" s="1"/>
  <c r="H147" i="209"/>
  <c r="H144" i="209"/>
  <c r="H142" i="209"/>
  <c r="H139" i="209"/>
  <c r="M220" i="209"/>
  <c r="M216" i="209"/>
  <c r="M212" i="209"/>
  <c r="H201" i="213"/>
  <c r="M201" i="213" s="1"/>
  <c r="H196" i="213"/>
  <c r="M196" i="213" s="1"/>
  <c r="H192" i="213"/>
  <c r="M192" i="213" s="1"/>
  <c r="F152" i="207"/>
  <c r="L30" i="34"/>
  <c r="J30" i="34"/>
  <c r="I20" i="8"/>
  <c r="I16" i="8"/>
  <c r="G124" i="10"/>
  <c r="H40" i="190"/>
  <c r="I19" i="99"/>
  <c r="I17" i="99"/>
  <c r="C35" i="30"/>
  <c r="F29" i="42"/>
  <c r="F19" i="42"/>
  <c r="F22" i="42" s="1"/>
  <c r="H20" i="34"/>
  <c r="I17" i="8"/>
  <c r="J124" i="10"/>
  <c r="R30" i="39"/>
  <c r="P16" i="192"/>
  <c r="Q33" i="39"/>
  <c r="C35" i="215"/>
  <c r="H18" i="105"/>
  <c r="G19" i="42"/>
  <c r="G22" i="42" s="1"/>
  <c r="E29" i="42"/>
  <c r="E20" i="103"/>
  <c r="G43" i="103"/>
  <c r="E19" i="42"/>
  <c r="E22" i="42" s="1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8" i="99"/>
  <c r="H57" i="10"/>
  <c r="I21" i="99"/>
  <c r="P50" i="214"/>
  <c r="H34" i="30" s="1"/>
  <c r="I22" i="244"/>
  <c r="I24" i="244" s="1"/>
  <c r="P44" i="216"/>
  <c r="H31" i="215" s="1"/>
  <c r="H135" i="209"/>
  <c r="H128" i="209"/>
  <c r="M128" i="209" s="1"/>
  <c r="H181" i="213"/>
  <c r="H136" i="209"/>
  <c r="H134" i="209"/>
  <c r="E27" i="30"/>
  <c r="E34" i="30"/>
  <c r="H250" i="236"/>
  <c r="M250" i="236" s="1"/>
  <c r="H234" i="236"/>
  <c r="M234" i="236" s="1"/>
  <c r="H255" i="207"/>
  <c r="H252" i="207"/>
  <c r="M252" i="207" s="1"/>
  <c r="F32" i="232"/>
  <c r="H254" i="213"/>
  <c r="E27" i="215"/>
  <c r="E34" i="215"/>
  <c r="G19" i="243"/>
  <c r="H253" i="236"/>
  <c r="M253" i="236" s="1"/>
  <c r="H249" i="207"/>
  <c r="M249" i="207" s="1"/>
  <c r="H235" i="207"/>
  <c r="M235" i="207" s="1"/>
  <c r="G19" i="244"/>
  <c r="H250" i="207"/>
  <c r="M250" i="207" s="1"/>
  <c r="H245" i="207"/>
  <c r="M245" i="207" s="1"/>
  <c r="M232" i="207"/>
  <c r="F34" i="232"/>
  <c r="K34" i="232" s="1"/>
  <c r="K24" i="231"/>
  <c r="K22" i="232"/>
  <c r="L16" i="243"/>
  <c r="J32" i="231"/>
  <c r="L19" i="243"/>
  <c r="L19" i="244"/>
  <c r="E34" i="232"/>
  <c r="G234" i="207"/>
  <c r="G234" i="213"/>
  <c r="F50" i="238"/>
  <c r="L186" i="207"/>
  <c r="L215" i="209"/>
  <c r="G193" i="209"/>
  <c r="L193" i="209" s="1"/>
  <c r="E24" i="232"/>
  <c r="P24" i="232" s="1"/>
  <c r="L220" i="209"/>
  <c r="L216" i="209"/>
  <c r="G194" i="209"/>
  <c r="L194" i="209" s="1"/>
  <c r="I26" i="215"/>
  <c r="K26" i="215" s="1"/>
  <c r="I33" i="215"/>
  <c r="G208" i="213"/>
  <c r="G188" i="213"/>
  <c r="L16" i="244"/>
  <c r="L40" i="51"/>
  <c r="L42" i="51" s="1"/>
  <c r="R66" i="10"/>
  <c r="R64" i="10"/>
  <c r="I50" i="100"/>
  <c r="K124" i="10"/>
  <c r="F153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I33" i="30"/>
  <c r="I26" i="30"/>
  <c r="K26" i="30" s="1"/>
  <c r="G57" i="10"/>
  <c r="P48" i="214"/>
  <c r="H33" i="30" s="1"/>
  <c r="L13" i="244"/>
  <c r="K43" i="231"/>
  <c r="Q43" i="231" s="1"/>
  <c r="L138" i="209"/>
  <c r="L133" i="209"/>
  <c r="L128" i="209"/>
  <c r="E26" i="231"/>
  <c r="H252" i="236"/>
  <c r="M252" i="236" s="1"/>
  <c r="H249" i="236"/>
  <c r="M249" i="236" s="1"/>
  <c r="M232" i="236"/>
  <c r="H145" i="207"/>
  <c r="M145" i="207" s="1"/>
  <c r="N145" i="207" s="1"/>
  <c r="H142" i="207"/>
  <c r="M142" i="207" s="1"/>
  <c r="N142" i="207" s="1"/>
  <c r="H137" i="207"/>
  <c r="M137" i="207" s="1"/>
  <c r="N137" i="207" s="1"/>
  <c r="H134" i="207"/>
  <c r="M134" i="207" s="1"/>
  <c r="N134" i="207" s="1"/>
  <c r="H125" i="207"/>
  <c r="M125" i="207" s="1"/>
  <c r="M124" i="207"/>
  <c r="I20" i="99"/>
  <c r="F45" i="231"/>
  <c r="H172" i="236"/>
  <c r="H170" i="236"/>
  <c r="H166" i="236"/>
  <c r="H165" i="236"/>
  <c r="H158" i="236"/>
  <c r="H143" i="207"/>
  <c r="M143" i="207" s="1"/>
  <c r="N143" i="207" s="1"/>
  <c r="H132" i="207"/>
  <c r="M132" i="207" s="1"/>
  <c r="N132" i="207" s="1"/>
  <c r="H135" i="207"/>
  <c r="M135" i="207" s="1"/>
  <c r="N135" i="207" s="1"/>
  <c r="H140" i="207"/>
  <c r="M140" i="207" s="1"/>
  <c r="N140" i="207" s="1"/>
  <c r="H144" i="207"/>
  <c r="M144" i="207" s="1"/>
  <c r="N144" i="207" s="1"/>
  <c r="H148" i="207"/>
  <c r="M148" i="207" s="1"/>
  <c r="N148" i="207" s="1"/>
  <c r="J27" i="215"/>
  <c r="J34" i="215"/>
  <c r="H131" i="207"/>
  <c r="M131" i="207" s="1"/>
  <c r="N131" i="207" s="1"/>
  <c r="G235" i="207"/>
  <c r="H234" i="207"/>
  <c r="L232" i="207"/>
  <c r="J32" i="215"/>
  <c r="H156" i="213"/>
  <c r="H147" i="213"/>
  <c r="H139" i="213"/>
  <c r="H131" i="213"/>
  <c r="G213" i="213"/>
  <c r="G206" i="213"/>
  <c r="G205" i="213"/>
  <c r="G203" i="213"/>
  <c r="H235" i="213"/>
  <c r="M256" i="207"/>
  <c r="G254" i="207"/>
  <c r="H253" i="207"/>
  <c r="G250" i="207"/>
  <c r="H247" i="207"/>
  <c r="M247" i="207" s="1"/>
  <c r="M246" i="207"/>
  <c r="H237" i="207"/>
  <c r="M237" i="207" s="1"/>
  <c r="H194" i="209"/>
  <c r="M194" i="209" s="1"/>
  <c r="G212" i="213"/>
  <c r="G211" i="213"/>
  <c r="G210" i="213"/>
  <c r="G209" i="213"/>
  <c r="G201" i="213"/>
  <c r="G200" i="213"/>
  <c r="G198" i="213"/>
  <c r="G197" i="213"/>
  <c r="H252" i="213"/>
  <c r="F38" i="238"/>
  <c r="G38" i="238"/>
  <c r="K38" i="238"/>
  <c r="H170" i="213"/>
  <c r="M170" i="213" s="1"/>
  <c r="H143" i="213"/>
  <c r="H136" i="213"/>
  <c r="G196" i="213"/>
  <c r="G193" i="213"/>
  <c r="G192" i="213"/>
  <c r="G191" i="213"/>
  <c r="M232" i="213"/>
  <c r="H245" i="213"/>
  <c r="H247" i="213"/>
  <c r="H249" i="213"/>
  <c r="H251" i="213"/>
  <c r="H250" i="213"/>
  <c r="F212" i="237"/>
  <c r="F213" i="237"/>
  <c r="F210" i="237"/>
  <c r="F214" i="237"/>
  <c r="F218" i="237"/>
  <c r="F211" i="237"/>
  <c r="M50" i="238"/>
  <c r="K37" i="238"/>
  <c r="I50" i="238"/>
  <c r="G37" i="238"/>
  <c r="E50" i="238"/>
  <c r="L37" i="238"/>
  <c r="K50" i="238"/>
  <c r="H37" i="238"/>
  <c r="D37" i="238"/>
  <c r="M30" i="39"/>
  <c r="L18" i="35" l="1"/>
  <c r="N18" i="35"/>
  <c r="N32" i="106"/>
  <c r="N36" i="106"/>
  <c r="N40" i="106"/>
  <c r="N44" i="106"/>
  <c r="N48" i="106"/>
  <c r="N52" i="106"/>
  <c r="N17" i="106"/>
  <c r="N21" i="106"/>
  <c r="N25" i="106"/>
  <c r="N33" i="106"/>
  <c r="N37" i="106"/>
  <c r="N41" i="106"/>
  <c r="N45" i="106"/>
  <c r="N49" i="106"/>
  <c r="N53" i="106"/>
  <c r="N18" i="106"/>
  <c r="N22" i="106"/>
  <c r="N26" i="106"/>
  <c r="N34" i="106"/>
  <c r="N38" i="106"/>
  <c r="N42" i="106"/>
  <c r="N46" i="106"/>
  <c r="N50" i="106"/>
  <c r="N54" i="106"/>
  <c r="N19" i="106"/>
  <c r="N23" i="106"/>
  <c r="N16" i="106"/>
  <c r="N35" i="106"/>
  <c r="N39" i="106"/>
  <c r="N43" i="106"/>
  <c r="N47" i="106"/>
  <c r="N51" i="106"/>
  <c r="N31" i="106"/>
  <c r="N20" i="106"/>
  <c r="N24" i="106"/>
  <c r="E266" i="209"/>
  <c r="I25" i="8"/>
  <c r="I33" i="8" s="1"/>
  <c r="K33" i="8" s="1"/>
  <c r="I25" i="99"/>
  <c r="I33" i="99" s="1"/>
  <c r="K33" i="99" s="1"/>
  <c r="H192" i="207"/>
  <c r="M191" i="207"/>
  <c r="L264" i="213"/>
  <c r="L234" i="236"/>
  <c r="L227" i="213"/>
  <c r="L264" i="207"/>
  <c r="L191" i="207"/>
  <c r="F33" i="215"/>
  <c r="F26" i="30"/>
  <c r="Q32" i="231"/>
  <c r="Q22" i="232"/>
  <c r="P26" i="231"/>
  <c r="K40" i="232"/>
  <c r="Q40" i="232" s="1"/>
  <c r="P40" i="232"/>
  <c r="M170" i="236"/>
  <c r="J32" i="232"/>
  <c r="P32" i="232"/>
  <c r="M171" i="236"/>
  <c r="M173" i="236"/>
  <c r="P32" i="231"/>
  <c r="M172" i="236"/>
  <c r="M174" i="236"/>
  <c r="J26" i="232"/>
  <c r="Q26" i="232" s="1"/>
  <c r="P26" i="232"/>
  <c r="M176" i="236"/>
  <c r="M175" i="236"/>
  <c r="P34" i="232"/>
  <c r="M167" i="236"/>
  <c r="M157" i="236"/>
  <c r="M168" i="236"/>
  <c r="K42" i="232"/>
  <c r="Q42" i="232" s="1"/>
  <c r="P42" i="232"/>
  <c r="M165" i="236"/>
  <c r="K45" i="231"/>
  <c r="Q45" i="231" s="1"/>
  <c r="P45" i="231"/>
  <c r="M176" i="209"/>
  <c r="M169" i="236"/>
  <c r="Q24" i="231"/>
  <c r="L237" i="207"/>
  <c r="L249" i="207"/>
  <c r="L255" i="207"/>
  <c r="L247" i="207"/>
  <c r="L245" i="207"/>
  <c r="G192" i="207"/>
  <c r="L251" i="207"/>
  <c r="L252" i="207"/>
  <c r="L253" i="207"/>
  <c r="L234" i="207"/>
  <c r="D33" i="193"/>
  <c r="E43" i="190"/>
  <c r="F43" i="190"/>
  <c r="G43" i="190"/>
  <c r="H43" i="190"/>
  <c r="I43" i="190"/>
  <c r="H33" i="193"/>
  <c r="G33" i="193"/>
  <c r="F33" i="193"/>
  <c r="E33" i="193"/>
  <c r="E264" i="236"/>
  <c r="K32" i="30"/>
  <c r="F27" i="215"/>
  <c r="F26" i="215"/>
  <c r="H130" i="10"/>
  <c r="H128" i="10" s="1"/>
  <c r="G130" i="10"/>
  <c r="G128" i="10" s="1"/>
  <c r="D31" i="42"/>
  <c r="D42" i="42" s="1"/>
  <c r="D45" i="42" s="1"/>
  <c r="F27" i="30"/>
  <c r="I146" i="236"/>
  <c r="N138" i="209"/>
  <c r="L250" i="213"/>
  <c r="L235" i="213"/>
  <c r="L252" i="213"/>
  <c r="L233" i="236"/>
  <c r="L260" i="236"/>
  <c r="L245" i="213"/>
  <c r="L247" i="213"/>
  <c r="L249" i="213"/>
  <c r="L251" i="213"/>
  <c r="L254" i="213"/>
  <c r="J55" i="10"/>
  <c r="J58" i="10" s="1"/>
  <c r="J60" i="10" s="1"/>
  <c r="J62" i="10" s="1"/>
  <c r="H32" i="34"/>
  <c r="O30" i="39"/>
  <c r="I34" i="215"/>
  <c r="K34" i="215" s="1"/>
  <c r="G24" i="244"/>
  <c r="D23" i="137" s="1"/>
  <c r="F87" i="248"/>
  <c r="J25" i="34"/>
  <c r="J23" i="34"/>
  <c r="G31" i="42"/>
  <c r="G42" i="42" s="1"/>
  <c r="G45" i="42" s="1"/>
  <c r="G24" i="243"/>
  <c r="D23" i="3" s="1"/>
  <c r="H23" i="102"/>
  <c r="N58" i="10"/>
  <c r="N60" i="10" s="1"/>
  <c r="N62" i="10" s="1"/>
  <c r="M62" i="10"/>
  <c r="M66" i="10" s="1"/>
  <c r="E31" i="42"/>
  <c r="E42" i="42" s="1"/>
  <c r="E45" i="42" s="1"/>
  <c r="K55" i="10"/>
  <c r="K58" i="10" s="1"/>
  <c r="K60" i="10" s="1"/>
  <c r="L20" i="34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42" i="236"/>
  <c r="I27" i="30"/>
  <c r="K27" i="30" s="1"/>
  <c r="F21" i="215"/>
  <c r="F31" i="42"/>
  <c r="F42" i="42" s="1"/>
  <c r="F45" i="42" s="1"/>
  <c r="I148" i="209"/>
  <c r="I137" i="209"/>
  <c r="I153" i="209"/>
  <c r="I145" i="209"/>
  <c r="E266" i="213"/>
  <c r="I138" i="213"/>
  <c r="C43" i="103"/>
  <c r="P15" i="44"/>
  <c r="D60" i="51"/>
  <c r="D50" i="51"/>
  <c r="E28" i="100"/>
  <c r="E27" i="100"/>
  <c r="F34" i="215"/>
  <c r="F34" i="30"/>
  <c r="F35" i="30" s="1"/>
  <c r="I132" i="236"/>
  <c r="E26" i="100"/>
  <c r="E56" i="100" s="1"/>
  <c r="E18" i="239"/>
  <c r="I18" i="239"/>
  <c r="K27" i="215"/>
  <c r="K20" i="215"/>
  <c r="I133" i="209"/>
  <c r="I149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O19" i="35"/>
  <c r="J19" i="35" s="1"/>
  <c r="O21" i="35"/>
  <c r="I55" i="100"/>
  <c r="J25" i="100"/>
  <c r="I141" i="213"/>
  <c r="E25" i="103"/>
  <c r="E26" i="103"/>
  <c r="E24" i="103"/>
  <c r="N133" i="209"/>
  <c r="D24" i="243"/>
  <c r="M19" i="35"/>
  <c r="M21" i="35"/>
  <c r="I144" i="236"/>
  <c r="I136" i="236"/>
  <c r="I140" i="236"/>
  <c r="I148" i="236"/>
  <c r="I133" i="236"/>
  <c r="I141" i="236"/>
  <c r="I150" i="236"/>
  <c r="I143" i="236"/>
  <c r="I151" i="236"/>
  <c r="I135" i="236"/>
  <c r="N153" i="236"/>
  <c r="I145" i="236"/>
  <c r="I139" i="236"/>
  <c r="I134" i="236"/>
  <c r="I137" i="236"/>
  <c r="I131" i="236"/>
  <c r="I147" i="236"/>
  <c r="I138" i="236"/>
  <c r="I149" i="213"/>
  <c r="I130" i="213"/>
  <c r="I145" i="213"/>
  <c r="I142" i="213"/>
  <c r="I135" i="213"/>
  <c r="I140" i="213"/>
  <c r="I134" i="213"/>
  <c r="I137" i="213"/>
  <c r="I150" i="213"/>
  <c r="I144" i="213"/>
  <c r="I146" i="213"/>
  <c r="I133" i="213"/>
  <c r="I148" i="213"/>
  <c r="I132" i="213"/>
  <c r="F21" i="30"/>
  <c r="L24" i="243"/>
  <c r="F23" i="3" s="1"/>
  <c r="K20" i="30"/>
  <c r="K21" i="30" s="1"/>
  <c r="E16" i="31" s="1"/>
  <c r="K34" i="30"/>
  <c r="M143" i="209"/>
  <c r="N143" i="209" s="1"/>
  <c r="I143" i="209"/>
  <c r="M236" i="213"/>
  <c r="L253" i="213"/>
  <c r="L258" i="207"/>
  <c r="L257" i="207"/>
  <c r="L236" i="207"/>
  <c r="I133" i="207"/>
  <c r="I149" i="207"/>
  <c r="I150" i="207"/>
  <c r="I147" i="207"/>
  <c r="I141" i="207"/>
  <c r="I139" i="207"/>
  <c r="K41" i="231"/>
  <c r="Q41" i="231" s="1"/>
  <c r="G41" i="231"/>
  <c r="L207" i="213"/>
  <c r="I146" i="207"/>
  <c r="M174" i="209"/>
  <c r="M141" i="209"/>
  <c r="N141" i="209" s="1"/>
  <c r="I141" i="209"/>
  <c r="I138" i="209"/>
  <c r="L237" i="213"/>
  <c r="M256" i="213"/>
  <c r="M146" i="209"/>
  <c r="N146" i="209" s="1"/>
  <c r="I146" i="209"/>
  <c r="M178" i="209"/>
  <c r="I138" i="207"/>
  <c r="M227" i="213"/>
  <c r="M149" i="209"/>
  <c r="N149" i="209" s="1"/>
  <c r="I149" i="209"/>
  <c r="M151" i="209"/>
  <c r="N151" i="209" s="1"/>
  <c r="I151" i="209"/>
  <c r="M179" i="209"/>
  <c r="M255" i="213"/>
  <c r="M160" i="209"/>
  <c r="I130" i="207"/>
  <c r="M233" i="213"/>
  <c r="K34" i="231"/>
  <c r="Q34" i="231" s="1"/>
  <c r="M177" i="236"/>
  <c r="I177" i="236"/>
  <c r="M172" i="209"/>
  <c r="M139" i="209"/>
  <c r="N139" i="209" s="1"/>
  <c r="I139" i="209"/>
  <c r="M161" i="209"/>
  <c r="M175" i="209"/>
  <c r="K44" i="232"/>
  <c r="Q44" i="232" s="1"/>
  <c r="I142" i="209"/>
  <c r="M142" i="209"/>
  <c r="N142" i="209" s="1"/>
  <c r="I152" i="209"/>
  <c r="M152" i="209"/>
  <c r="N152" i="209" s="1"/>
  <c r="M162" i="209"/>
  <c r="I150" i="209"/>
  <c r="M144" i="209"/>
  <c r="N144" i="209" s="1"/>
  <c r="I144" i="209"/>
  <c r="M158" i="209"/>
  <c r="M171" i="209"/>
  <c r="M177" i="209"/>
  <c r="M147" i="209"/>
  <c r="N147" i="209" s="1"/>
  <c r="I147" i="209"/>
  <c r="M159" i="209"/>
  <c r="M169" i="209"/>
  <c r="M173" i="209"/>
  <c r="L22" i="244"/>
  <c r="L24" i="244" s="1"/>
  <c r="F23" i="137" s="1"/>
  <c r="P44" i="202"/>
  <c r="K31" i="215"/>
  <c r="I134" i="209"/>
  <c r="M134" i="209"/>
  <c r="N134" i="209" s="1"/>
  <c r="I136" i="209"/>
  <c r="M136" i="209"/>
  <c r="N136" i="209" s="1"/>
  <c r="M181" i="213"/>
  <c r="M135" i="209"/>
  <c r="N135" i="209" s="1"/>
  <c r="I135" i="209"/>
  <c r="M254" i="213"/>
  <c r="M260" i="236"/>
  <c r="K32" i="232"/>
  <c r="M246" i="213"/>
  <c r="M255" i="207"/>
  <c r="L234" i="213"/>
  <c r="J34" i="232"/>
  <c r="Q34" i="232" s="1"/>
  <c r="J24" i="232"/>
  <c r="Q24" i="232" s="1"/>
  <c r="L194" i="213"/>
  <c r="L208" i="213"/>
  <c r="L187" i="213"/>
  <c r="L188" i="213"/>
  <c r="E29" i="37"/>
  <c r="E31" i="37" s="1"/>
  <c r="E34" i="37" s="1"/>
  <c r="G28" i="1" s="1"/>
  <c r="L193" i="213"/>
  <c r="L197" i="213"/>
  <c r="L209" i="213"/>
  <c r="L254" i="207"/>
  <c r="M156" i="213"/>
  <c r="L235" i="207"/>
  <c r="M158" i="236"/>
  <c r="M166" i="236"/>
  <c r="H35" i="30"/>
  <c r="K33" i="30"/>
  <c r="I142" i="207"/>
  <c r="I140" i="207"/>
  <c r="I135" i="207"/>
  <c r="M250" i="213"/>
  <c r="M249" i="213"/>
  <c r="L196" i="213"/>
  <c r="M252" i="213"/>
  <c r="L198" i="213"/>
  <c r="L210" i="213"/>
  <c r="L250" i="207"/>
  <c r="M235" i="213"/>
  <c r="L203" i="213"/>
  <c r="L213" i="213"/>
  <c r="M131" i="213"/>
  <c r="N131" i="213" s="1"/>
  <c r="I131" i="213"/>
  <c r="I145" i="207"/>
  <c r="I144" i="207"/>
  <c r="M251" i="213"/>
  <c r="M247" i="213"/>
  <c r="L191" i="213"/>
  <c r="M136" i="213"/>
  <c r="N136" i="213" s="1"/>
  <c r="I136" i="213"/>
  <c r="M258" i="213"/>
  <c r="L200" i="213"/>
  <c r="L211" i="213"/>
  <c r="L205" i="213"/>
  <c r="M139" i="213"/>
  <c r="N139" i="213" s="1"/>
  <c r="I139" i="213"/>
  <c r="J26" i="231"/>
  <c r="Q26" i="231" s="1"/>
  <c r="H19" i="202"/>
  <c r="I131" i="207"/>
  <c r="I132" i="207"/>
  <c r="I148" i="207"/>
  <c r="I143" i="207"/>
  <c r="M245" i="213"/>
  <c r="L192" i="213"/>
  <c r="M143" i="213"/>
  <c r="N143" i="213" s="1"/>
  <c r="I143" i="213"/>
  <c r="L201" i="213"/>
  <c r="L212" i="213"/>
  <c r="M253" i="207"/>
  <c r="L206" i="213"/>
  <c r="M147" i="213"/>
  <c r="N147" i="213" s="1"/>
  <c r="I147" i="213"/>
  <c r="M234" i="207"/>
  <c r="N152" i="207"/>
  <c r="I134" i="207"/>
  <c r="I137" i="207"/>
  <c r="H19" i="35" l="1"/>
  <c r="N19" i="35"/>
  <c r="D155" i="51"/>
  <c r="D177" i="45"/>
  <c r="H193" i="207"/>
  <c r="M192" i="207"/>
  <c r="F35" i="215"/>
  <c r="F28" i="30"/>
  <c r="F37" i="30" s="1"/>
  <c r="D22" i="3" s="1"/>
  <c r="Q32" i="232"/>
  <c r="G22" i="95"/>
  <c r="G41" i="10" s="1"/>
  <c r="G193" i="207"/>
  <c r="L192" i="207"/>
  <c r="D43" i="190"/>
  <c r="F28" i="215"/>
  <c r="K22" i="95"/>
  <c r="G72" i="10" s="1"/>
  <c r="T44" i="202"/>
  <c r="E31" i="212"/>
  <c r="T19" i="202"/>
  <c r="K35" i="30"/>
  <c r="E20" i="31" s="1"/>
  <c r="J66" i="10"/>
  <c r="J64" i="10"/>
  <c r="M64" i="10"/>
  <c r="L62" i="10"/>
  <c r="L66" i="10" s="1"/>
  <c r="K62" i="10"/>
  <c r="K64" i="10" s="1"/>
  <c r="N64" i="10"/>
  <c r="N66" i="10"/>
  <c r="J26" i="34"/>
  <c r="J32" i="34" s="1"/>
  <c r="L26" i="34"/>
  <c r="L32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E27" i="103"/>
  <c r="E58" i="100"/>
  <c r="E57" i="100"/>
  <c r="P15" i="222"/>
  <c r="I27" i="103"/>
  <c r="I56" i="100"/>
  <c r="L19" i="35"/>
  <c r="I153" i="236"/>
  <c r="I155" i="209"/>
  <c r="N155" i="209"/>
  <c r="I152" i="207"/>
  <c r="L44" i="202"/>
  <c r="I152" i="213"/>
  <c r="N152" i="213"/>
  <c r="H44" i="202"/>
  <c r="D159" i="51" l="1"/>
  <c r="H196" i="207"/>
  <c r="M193" i="207"/>
  <c r="F37" i="215"/>
  <c r="D22" i="137" s="1"/>
  <c r="G196" i="207"/>
  <c r="L193" i="207"/>
  <c r="L64" i="10"/>
  <c r="K66" i="10"/>
  <c r="I45" i="233"/>
  <c r="K37" i="30"/>
  <c r="F22" i="3" s="1"/>
  <c r="K37" i="215"/>
  <c r="F22" i="137" s="1"/>
  <c r="Q22" i="41"/>
  <c r="I57" i="100"/>
  <c r="I58" i="100"/>
  <c r="H197" i="207" l="1"/>
  <c r="M196" i="207"/>
  <c r="G197" i="207"/>
  <c r="L196" i="207"/>
  <c r="J45" i="233"/>
  <c r="H72" i="10"/>
  <c r="H198" i="207" l="1"/>
  <c r="M197" i="207"/>
  <c r="G198" i="207"/>
  <c r="L197" i="207"/>
  <c r="K45" i="233"/>
  <c r="H200" i="207" l="1"/>
  <c r="M198" i="207"/>
  <c r="G200" i="207"/>
  <c r="L198" i="207"/>
  <c r="L45" i="233"/>
  <c r="E22" i="239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H201" i="207" l="1"/>
  <c r="M200" i="207"/>
  <c r="G201" i="207"/>
  <c r="L200" i="207"/>
  <c r="M45" i="233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H203" i="207" l="1"/>
  <c r="M201" i="207"/>
  <c r="G203" i="207"/>
  <c r="L201" i="207"/>
  <c r="I24" i="239"/>
  <c r="N45" i="233"/>
  <c r="M224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H205" i="207" l="1"/>
  <c r="M203" i="207"/>
  <c r="O45" i="233"/>
  <c r="G205" i="207"/>
  <c r="L203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H206" i="207" l="1"/>
  <c r="M205" i="207"/>
  <c r="P45" i="233"/>
  <c r="D40" i="232" s="1"/>
  <c r="G40" i="232" s="1"/>
  <c r="G206" i="207"/>
  <c r="L205" i="207"/>
  <c r="H207" i="207" l="1"/>
  <c r="M206" i="207"/>
  <c r="Q45" i="233"/>
  <c r="I40" i="232" s="1"/>
  <c r="L40" i="232" s="1"/>
  <c r="G207" i="207"/>
  <c r="L206" i="207"/>
  <c r="N29" i="42"/>
  <c r="P29" i="42"/>
  <c r="H208" i="207" l="1"/>
  <c r="M207" i="207"/>
  <c r="G208" i="207"/>
  <c r="L207" i="207"/>
  <c r="R34" i="41"/>
  <c r="H209" i="207" l="1"/>
  <c r="M208" i="207"/>
  <c r="G209" i="207"/>
  <c r="L208" i="207"/>
  <c r="R35" i="41"/>
  <c r="H210" i="207" l="1"/>
  <c r="M209" i="207"/>
  <c r="L224" i="236"/>
  <c r="G210" i="207"/>
  <c r="L209" i="207"/>
  <c r="R33" i="41"/>
  <c r="H211" i="207" l="1"/>
  <c r="M210" i="207"/>
  <c r="G211" i="207"/>
  <c r="L210" i="207"/>
  <c r="H212" i="207" l="1"/>
  <c r="M211" i="207"/>
  <c r="G212" i="207"/>
  <c r="L211" i="207"/>
  <c r="R36" i="41"/>
  <c r="R22" i="41"/>
  <c r="M212" i="207" l="1"/>
  <c r="H214" i="207"/>
  <c r="M214" i="207" s="1"/>
  <c r="H213" i="207"/>
  <c r="G214" i="207"/>
  <c r="G213" i="207"/>
  <c r="L212" i="207"/>
  <c r="N22" i="42"/>
  <c r="N31" i="42" s="1"/>
  <c r="N42" i="42" s="1"/>
  <c r="N43" i="42" l="1"/>
  <c r="N45" i="42" s="1"/>
  <c r="H218" i="207"/>
  <c r="M213" i="207"/>
  <c r="L214" i="207"/>
  <c r="G218" i="207"/>
  <c r="L213" i="207"/>
  <c r="H227" i="207" l="1"/>
  <c r="M227" i="207" s="1"/>
  <c r="M218" i="207"/>
  <c r="G227" i="207"/>
  <c r="L227" i="207" s="1"/>
  <c r="L218" i="207"/>
  <c r="J27" i="42" l="1"/>
  <c r="D26" i="46"/>
  <c r="D20" i="47" l="1"/>
  <c r="H136" i="237" l="1"/>
  <c r="H141" i="237"/>
  <c r="H138" i="237"/>
  <c r="H135" i="237"/>
  <c r="H149" i="237"/>
  <c r="H132" i="237"/>
  <c r="H133" i="237"/>
  <c r="H139" i="237"/>
  <c r="H151" i="237"/>
  <c r="H143" i="237"/>
  <c r="H150" i="237"/>
  <c r="H146" i="237"/>
  <c r="H137" i="237"/>
  <c r="H144" i="237"/>
  <c r="H131" i="237"/>
  <c r="H148" i="237"/>
  <c r="H147" i="237"/>
  <c r="H140" i="237"/>
  <c r="H145" i="237"/>
  <c r="H142" i="237"/>
  <c r="H134" i="237"/>
  <c r="H153" i="237" l="1"/>
  <c r="F40" i="100" l="1"/>
  <c r="F41" i="100"/>
  <c r="J41" i="100"/>
  <c r="J40" i="100"/>
  <c r="F58" i="100" l="1"/>
  <c r="F27" i="100"/>
  <c r="D79" i="51"/>
  <c r="J27" i="100"/>
  <c r="J58" i="100"/>
  <c r="F64" i="100" l="1"/>
  <c r="J21" i="100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D39" i="171"/>
  <c r="E39" i="171"/>
  <c r="F39" i="171"/>
  <c r="G39" i="171"/>
  <c r="H39" i="171"/>
  <c r="D67" i="171"/>
  <c r="E67" i="171"/>
  <c r="F67" i="171"/>
  <c r="G67" i="171"/>
  <c r="H67" i="171"/>
  <c r="O16" i="171" l="1"/>
  <c r="G34" i="171"/>
  <c r="F34" i="171"/>
  <c r="H47" i="171"/>
  <c r="D47" i="171"/>
  <c r="F62" i="171"/>
  <c r="G24" i="171"/>
  <c r="G47" i="171"/>
  <c r="E62" i="171"/>
  <c r="F24" i="171"/>
  <c r="E34" i="171"/>
  <c r="O32" i="171"/>
  <c r="H34" i="171"/>
  <c r="D34" i="171"/>
  <c r="F47" i="171"/>
  <c r="H62" i="171"/>
  <c r="D62" i="171"/>
  <c r="E24" i="171"/>
  <c r="E47" i="171"/>
  <c r="G62" i="17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34" i="171"/>
  <c r="C62" i="171"/>
  <c r="O15" i="238" l="1"/>
  <c r="O14" i="171"/>
  <c r="M43" i="35" l="1"/>
  <c r="L43" i="35" s="1"/>
  <c r="O43" i="35"/>
  <c r="O45" i="171"/>
  <c r="O59" i="171" l="1"/>
  <c r="O30" i="171"/>
  <c r="N43" i="35" l="1"/>
  <c r="D46" i="238"/>
  <c r="C48" i="238"/>
  <c r="C53" i="238" s="1"/>
  <c r="C21" i="238" s="1"/>
  <c r="E46" i="238" l="1"/>
  <c r="D48" i="238"/>
  <c r="D53" i="238" s="1"/>
  <c r="D21" i="238" s="1"/>
  <c r="C35" i="238"/>
  <c r="D60" i="238"/>
  <c r="C63" i="238"/>
  <c r="E60" i="238" l="1"/>
  <c r="D63" i="238"/>
  <c r="D68" i="238" s="1"/>
  <c r="D23" i="238" s="1"/>
  <c r="C40" i="238"/>
  <c r="D35" i="238"/>
  <c r="D40" i="238" s="1"/>
  <c r="D22" i="238" s="1"/>
  <c r="C68" i="238"/>
  <c r="F46" i="238"/>
  <c r="E48" i="238"/>
  <c r="E35" i="238" l="1"/>
  <c r="F60" i="238"/>
  <c r="E63" i="238"/>
  <c r="E53" i="238"/>
  <c r="C23" i="238"/>
  <c r="C22" i="238"/>
  <c r="G46" i="238"/>
  <c r="H46" i="238" l="1"/>
  <c r="E68" i="238"/>
  <c r="E21" i="238"/>
  <c r="G60" i="238"/>
  <c r="E40" i="238"/>
  <c r="E22" i="238" l="1"/>
  <c r="H60" i="238"/>
  <c r="E23" i="238"/>
  <c r="I46" i="238"/>
  <c r="J46" i="238" l="1"/>
  <c r="I60" i="238"/>
  <c r="K46" i="238" l="1"/>
  <c r="J60" i="238"/>
  <c r="K60" i="238" l="1"/>
  <c r="L46" i="238"/>
  <c r="L60" i="238" l="1"/>
  <c r="M46" i="238"/>
  <c r="L48" i="238"/>
  <c r="L53" i="238" s="1"/>
  <c r="L21" i="238" s="1"/>
  <c r="N46" i="238" l="1"/>
  <c r="M48" i="238"/>
  <c r="M53" i="238" s="1"/>
  <c r="M21" i="238" s="1"/>
  <c r="M60" i="238"/>
  <c r="L63" i="238"/>
  <c r="L68" i="238" s="1"/>
  <c r="L23" i="238" s="1"/>
  <c r="N48" i="238" l="1"/>
  <c r="N53" i="238" s="1"/>
  <c r="O46" i="238"/>
  <c r="N60" i="238"/>
  <c r="M63" i="238"/>
  <c r="M68" i="238" s="1"/>
  <c r="N63" i="238" l="1"/>
  <c r="N68" i="238" s="1"/>
  <c r="N23" i="238" s="1"/>
  <c r="O60" i="238"/>
  <c r="N21" i="238"/>
  <c r="M23" i="238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4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70" i="50"/>
  <c r="D28" i="79"/>
  <c r="E20" i="238"/>
  <c r="F20" i="238" l="1"/>
  <c r="K14" i="46"/>
  <c r="O14" i="46" l="1"/>
  <c r="F15" i="47" s="1"/>
  <c r="G20" i="238"/>
  <c r="G36" i="1" l="1"/>
  <c r="H20" i="238"/>
  <c r="I20" i="238" l="1"/>
  <c r="J20" i="238" l="1"/>
  <c r="K20" i="238" l="1"/>
  <c r="L20" i="238" l="1"/>
  <c r="M20" i="238" l="1"/>
  <c r="N20" i="238" l="1"/>
  <c r="P40" i="44" l="1"/>
  <c r="D96" i="45" s="1"/>
  <c r="P43" i="44"/>
  <c r="D99" i="45" s="1"/>
  <c r="P45" i="44"/>
  <c r="D102" i="45" s="1"/>
  <c r="P37" i="44"/>
  <c r="D92" i="45" s="1"/>
  <c r="P34" i="44"/>
  <c r="D88" i="45" s="1"/>
  <c r="P42" i="44"/>
  <c r="D98" i="45" s="1"/>
  <c r="P33" i="44"/>
  <c r="D87" i="45" s="1"/>
  <c r="P36" i="44"/>
  <c r="D91" i="45" s="1"/>
  <c r="P35" i="44"/>
  <c r="D90" i="45" s="1"/>
  <c r="P41" i="44"/>
  <c r="D97" i="45" s="1"/>
  <c r="P44" i="44"/>
  <c r="D100" i="45" s="1"/>
  <c r="P39" i="44"/>
  <c r="D94" i="45" s="1"/>
  <c r="P38" i="44"/>
  <c r="D93" i="45" s="1"/>
  <c r="P32" i="44" l="1"/>
  <c r="D86" i="45" l="1"/>
  <c r="P32" i="222" l="1"/>
  <c r="D81" i="79" l="1"/>
  <c r="P40" i="222"/>
  <c r="D91" i="79" s="1"/>
  <c r="P35" i="222"/>
  <c r="D85" i="79" s="1"/>
  <c r="P46" i="222"/>
  <c r="D99" i="79" s="1"/>
  <c r="P45" i="222"/>
  <c r="D97" i="79" s="1"/>
  <c r="P42" i="222"/>
  <c r="D93" i="79" s="1"/>
  <c r="P36" i="222"/>
  <c r="P33" i="222"/>
  <c r="D82" i="79" s="1"/>
  <c r="P39" i="222"/>
  <c r="D89" i="79" s="1"/>
  <c r="P37" i="222"/>
  <c r="D87" i="79" s="1"/>
  <c r="P41" i="222"/>
  <c r="D92" i="79" s="1"/>
  <c r="P38" i="222"/>
  <c r="D88" i="79" s="1"/>
  <c r="P34" i="222"/>
  <c r="D83" i="79" s="1"/>
  <c r="P43" i="222"/>
  <c r="D94" i="79" s="1"/>
  <c r="P44" i="222"/>
  <c r="D95" i="79" s="1"/>
  <c r="D86" i="79" l="1"/>
  <c r="D100" i="79" s="1"/>
  <c r="L21" i="42" l="1"/>
  <c r="L22" i="42" s="1"/>
  <c r="D58" i="50"/>
  <c r="K17" i="46"/>
  <c r="O17" i="46" l="1"/>
  <c r="D71" i="50"/>
  <c r="D72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D31" i="45" s="1"/>
  <c r="F18" i="51"/>
  <c r="P18" i="51" s="1"/>
  <c r="D31" i="50"/>
  <c r="P15" i="51"/>
  <c r="D39" i="50" l="1"/>
  <c r="D40" i="50" s="1"/>
  <c r="D24" i="51"/>
  <c r="D29" i="51" s="1"/>
  <c r="J18" i="42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6" i="50"/>
  <c r="P16" i="51"/>
  <c r="M35" i="41"/>
  <c r="M22" i="41"/>
  <c r="J16" i="42"/>
  <c r="J19" i="42" s="1"/>
  <c r="D33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2" i="42" s="1"/>
  <c r="P43" i="42" s="1"/>
  <c r="P45" i="42" l="1"/>
  <c r="H53" i="192" l="1"/>
  <c r="H55" i="192" s="1"/>
  <c r="G53" i="192"/>
  <c r="G55" i="192" s="1"/>
  <c r="F53" i="192"/>
  <c r="F55" i="192" s="1"/>
  <c r="E53" i="192"/>
  <c r="E55" i="192" s="1"/>
  <c r="H56" i="192" l="1"/>
  <c r="E56" i="192"/>
  <c r="I53" i="192"/>
  <c r="F56" i="192"/>
  <c r="G56" i="192"/>
  <c r="D53" i="192"/>
  <c r="I56" i="192" l="1"/>
  <c r="J57" i="192"/>
  <c r="D56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N96" i="236" l="1"/>
  <c r="P46" i="44" l="1"/>
  <c r="D104" i="45" l="1"/>
  <c r="D105" i="45" s="1"/>
  <c r="J21" i="42" s="1"/>
  <c r="J22" i="42" s="1"/>
  <c r="D59" i="50" l="1"/>
  <c r="D67" i="50" s="1"/>
  <c r="D68" i="50" s="1"/>
  <c r="D17" i="46"/>
  <c r="F17" i="46" s="1"/>
  <c r="D34" i="51"/>
  <c r="D36" i="51" s="1"/>
  <c r="D38" i="51" s="1"/>
  <c r="D60" i="50"/>
  <c r="D18" i="47" l="1"/>
  <c r="J34" i="51"/>
  <c r="D61" i="50"/>
  <c r="J36" i="51" l="1"/>
  <c r="P34" i="51"/>
  <c r="P36" i="51" l="1"/>
  <c r="J38" i="51"/>
  <c r="P38" i="51" l="1"/>
  <c r="P40" i="51" s="1"/>
  <c r="P42" i="51" s="1"/>
  <c r="J40" i="51"/>
  <c r="J42" i="51" s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9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N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N19" i="202" s="1"/>
  <c r="R27" i="202"/>
  <c r="V27" i="202" s="1"/>
  <c r="J27" i="202"/>
  <c r="N27" i="202" s="1"/>
  <c r="J25" i="202"/>
  <c r="J23" i="202"/>
  <c r="N23" i="202" s="1"/>
  <c r="J52" i="202"/>
  <c r="N52" i="202" s="1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21" i="202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J19" i="230" l="1"/>
  <c r="I47" i="230" l="1"/>
  <c r="J47" i="230"/>
  <c r="I19" i="230"/>
  <c r="I36" i="230"/>
  <c r="J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D28" i="233"/>
  <c r="F28" i="233" l="1"/>
  <c r="G28" i="233"/>
  <c r="H28" i="233" l="1"/>
  <c r="I28" i="233" l="1"/>
  <c r="K28" i="233" l="1"/>
  <c r="J28" i="233"/>
  <c r="D24" i="232"/>
  <c r="G24" i="232" s="1"/>
  <c r="Q24" i="233"/>
  <c r="I24" i="232" s="1"/>
  <c r="L24" i="232" s="1"/>
  <c r="L28" i="233" l="1"/>
  <c r="M28" i="233" l="1"/>
  <c r="N28" i="233" l="1"/>
  <c r="D26" i="232"/>
  <c r="G26" i="232" s="1"/>
  <c r="Q26" i="233"/>
  <c r="I26" i="232" s="1"/>
  <c r="L26" i="232" s="1"/>
  <c r="O28" i="233" l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H49" i="230"/>
  <c r="Q22" i="230"/>
  <c r="I22" i="231" s="1"/>
  <c r="D28" i="230"/>
  <c r="J49" i="230"/>
  <c r="G49" i="230"/>
  <c r="I49" i="230"/>
  <c r="P28" i="233"/>
  <c r="D22" i="232"/>
  <c r="Q22" i="233"/>
  <c r="I22" i="232" s="1"/>
  <c r="F49" i="230"/>
  <c r="P28" i="230"/>
  <c r="D22" i="231"/>
  <c r="D28" i="231" l="1"/>
  <c r="G22" i="231"/>
  <c r="G28" i="231" s="1"/>
  <c r="L22" i="232"/>
  <c r="L28" i="232" s="1"/>
  <c r="I28" i="232"/>
  <c r="D28" i="232"/>
  <c r="G22" i="232"/>
  <c r="G28" i="232" s="1"/>
  <c r="Q28" i="230"/>
  <c r="D49" i="230"/>
  <c r="Q28" i="233"/>
  <c r="L22" i="231"/>
  <c r="L28" i="231" s="1"/>
  <c r="I28" i="231"/>
  <c r="M32" i="35" l="1"/>
  <c r="L30" i="35"/>
  <c r="I23" i="102"/>
  <c r="E23" i="102"/>
  <c r="D21" i="49"/>
  <c r="H144" i="51" l="1"/>
  <c r="D22" i="49"/>
  <c r="E18" i="102"/>
  <c r="M42" i="35"/>
  <c r="L42" i="35" s="1"/>
  <c r="M35" i="35"/>
  <c r="L35" i="35" s="1"/>
  <c r="I18" i="102"/>
  <c r="M25" i="35"/>
  <c r="L25" i="35" s="1"/>
  <c r="D17" i="36"/>
  <c r="D21" i="36" s="1"/>
  <c r="P51" i="192"/>
  <c r="F21" i="105"/>
  <c r="F23" i="105" s="1"/>
  <c r="E22" i="102"/>
  <c r="E24" i="102" s="1"/>
  <c r="P49" i="228"/>
  <c r="P89" i="51"/>
  <c r="M24" i="35" l="1"/>
  <c r="L24" i="35" s="1"/>
  <c r="D28" i="36"/>
  <c r="H28" i="36" s="1"/>
  <c r="C24" i="102"/>
  <c r="D25" i="36"/>
  <c r="H25" i="36" s="1"/>
  <c r="M39" i="35"/>
  <c r="D23" i="36"/>
  <c r="H23" i="36" s="1"/>
  <c r="D20" i="36"/>
  <c r="H20" i="36" s="1"/>
  <c r="H21" i="36"/>
  <c r="H17" i="36"/>
  <c r="E17" i="102"/>
  <c r="E19" i="102" s="1"/>
  <c r="C19" i="102"/>
  <c r="M46" i="35"/>
  <c r="H146" i="51"/>
  <c r="H148" i="51" s="1"/>
  <c r="P29" i="192"/>
  <c r="P25" i="192"/>
  <c r="M28" i="35"/>
  <c r="I17" i="102"/>
  <c r="I19" i="102" s="1"/>
  <c r="G19" i="102"/>
  <c r="D23" i="105"/>
  <c r="P26" i="192"/>
  <c r="P40" i="192"/>
  <c r="D56" i="100" s="1"/>
  <c r="F56" i="100" s="1"/>
  <c r="P21" i="192"/>
  <c r="P18" i="192"/>
  <c r="P38" i="192"/>
  <c r="D28" i="100" s="1"/>
  <c r="D29" i="100" s="1"/>
  <c r="P41" i="192"/>
  <c r="D57" i="100" s="1"/>
  <c r="F57" i="100" s="1"/>
  <c r="P39" i="192"/>
  <c r="D55" i="100" s="1"/>
  <c r="P33" i="192"/>
  <c r="P47" i="192"/>
  <c r="P31" i="192"/>
  <c r="P22" i="192"/>
  <c r="P34" i="192"/>
  <c r="P19" i="228"/>
  <c r="P26" i="228"/>
  <c r="P33" i="228"/>
  <c r="N44" i="192"/>
  <c r="D42" i="228"/>
  <c r="P30" i="192"/>
  <c r="P38" i="228"/>
  <c r="H56" i="100" s="1"/>
  <c r="J56" i="100" s="1"/>
  <c r="K44" i="192"/>
  <c r="P17" i="192"/>
  <c r="P36" i="228"/>
  <c r="H28" i="100" s="1"/>
  <c r="G24" i="102"/>
  <c r="I22" i="102"/>
  <c r="I24" i="102" s="1"/>
  <c r="P32" i="192"/>
  <c r="P32" i="228"/>
  <c r="P43" i="228"/>
  <c r="M44" i="192"/>
  <c r="L44" i="192"/>
  <c r="P24" i="192"/>
  <c r="P27" i="192"/>
  <c r="P39" i="228"/>
  <c r="H57" i="100" s="1"/>
  <c r="J57" i="100" s="1"/>
  <c r="P45" i="192"/>
  <c r="P43" i="192"/>
  <c r="P48" i="192"/>
  <c r="P17" i="228"/>
  <c r="P20" i="192"/>
  <c r="P48" i="228"/>
  <c r="P35" i="192"/>
  <c r="O44" i="192"/>
  <c r="P19" i="192"/>
  <c r="P20" i="228"/>
  <c r="P42" i="192"/>
  <c r="P46" i="192"/>
  <c r="P28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L55" i="192" l="1"/>
  <c r="L64" i="192"/>
  <c r="L66" i="192" s="1"/>
  <c r="O64" i="192"/>
  <c r="O66" i="192" s="1"/>
  <c r="O55" i="192"/>
  <c r="O57" i="192" s="1"/>
  <c r="M53" i="192"/>
  <c r="M64" i="192"/>
  <c r="M66" i="192" s="1"/>
  <c r="M55" i="192"/>
  <c r="M57" i="192" s="1"/>
  <c r="K53" i="192"/>
  <c r="K55" i="192"/>
  <c r="K64" i="192"/>
  <c r="K66" i="192" s="1"/>
  <c r="N53" i="192"/>
  <c r="N55" i="192"/>
  <c r="N57" i="192" s="1"/>
  <c r="N64" i="192"/>
  <c r="N66" i="192" s="1"/>
  <c r="D29" i="36"/>
  <c r="H29" i="36" s="1"/>
  <c r="P25" i="193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3" i="192"/>
  <c r="L57" i="192"/>
  <c r="D51" i="228"/>
  <c r="D53" i="228"/>
  <c r="D61" i="228" s="1"/>
  <c r="D63" i="228" s="1"/>
  <c r="J28" i="100"/>
  <c r="J29" i="100" s="1"/>
  <c r="H29" i="100"/>
  <c r="O53" i="192"/>
  <c r="P44" i="192"/>
  <c r="D59" i="100"/>
  <c r="F55" i="100"/>
  <c r="F59" i="100" s="1"/>
  <c r="D31" i="36" l="1"/>
  <c r="H31" i="36" s="1"/>
  <c r="P18" i="227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3" i="192"/>
  <c r="E42" i="228"/>
  <c r="D55" i="228"/>
  <c r="K57" i="192"/>
  <c r="P55" i="192"/>
  <c r="E22" i="227"/>
  <c r="E41" i="227" s="1"/>
  <c r="E43" i="227" s="1"/>
  <c r="N32" i="193" l="1"/>
  <c r="N34" i="193" s="1"/>
  <c r="M32" i="193"/>
  <c r="M34" i="193" s="1"/>
  <c r="L32" i="193"/>
  <c r="L34" i="193" s="1"/>
  <c r="E32" i="227"/>
  <c r="E34" i="227" s="1"/>
  <c r="K32" i="193"/>
  <c r="D22" i="227"/>
  <c r="D41" i="227" s="1"/>
  <c r="D43" i="227" s="1"/>
  <c r="P22" i="193"/>
  <c r="P30" i="193" s="1"/>
  <c r="E30" i="227"/>
  <c r="O32" i="193"/>
  <c r="O34" i="193" s="1"/>
  <c r="P139" i="51"/>
  <c r="H142" i="51"/>
  <c r="L30" i="193"/>
  <c r="F42" i="228"/>
  <c r="P57" i="192"/>
  <c r="E53" i="228"/>
  <c r="E61" i="228" s="1"/>
  <c r="E63" i="228" s="1"/>
  <c r="E51" i="228"/>
  <c r="P56" i="192" l="1"/>
  <c r="F22" i="227"/>
  <c r="F41" i="227" s="1"/>
  <c r="F43" i="227" s="1"/>
  <c r="D32" i="227"/>
  <c r="D30" i="227"/>
  <c r="P32" i="193"/>
  <c r="K34" i="193"/>
  <c r="F53" i="228"/>
  <c r="F51" i="228"/>
  <c r="G42" i="228"/>
  <c r="E55" i="228"/>
  <c r="F55" i="228" l="1"/>
  <c r="F61" i="228"/>
  <c r="F63" i="228" s="1"/>
  <c r="P16" i="228"/>
  <c r="P24" i="228"/>
  <c r="P34" i="193"/>
  <c r="D34" i="227"/>
  <c r="F30" i="227"/>
  <c r="F32" i="227"/>
  <c r="F34" i="227" s="1"/>
  <c r="P29" i="228"/>
  <c r="G22" i="227"/>
  <c r="G41" i="227" s="1"/>
  <c r="G43" i="227" s="1"/>
  <c r="H42" i="228"/>
  <c r="J21" i="105"/>
  <c r="J23" i="105" s="1"/>
  <c r="H23" i="105"/>
  <c r="G53" i="228"/>
  <c r="G61" i="228" s="1"/>
  <c r="G63" i="228" s="1"/>
  <c r="G51" i="228"/>
  <c r="P40" i="228"/>
  <c r="P35" i="228"/>
  <c r="P37" i="228"/>
  <c r="H55" i="100" s="1"/>
  <c r="P31" i="228"/>
  <c r="P22" i="228"/>
  <c r="P30" i="228"/>
  <c r="P18" i="228"/>
  <c r="P28" i="228"/>
  <c r="P23" i="228"/>
  <c r="H22" i="227"/>
  <c r="H41" i="227" s="1"/>
  <c r="H43" i="227" s="1"/>
  <c r="P33" i="193" l="1"/>
  <c r="H32" i="227"/>
  <c r="H34" i="227" s="1"/>
  <c r="H30" i="227"/>
  <c r="D15" i="49"/>
  <c r="G32" i="227"/>
  <c r="G34" i="227" s="1"/>
  <c r="G30" i="227"/>
  <c r="P27" i="228"/>
  <c r="P41" i="228"/>
  <c r="P15" i="228"/>
  <c r="G55" i="228"/>
  <c r="H53" i="228"/>
  <c r="H51" i="228"/>
  <c r="H59" i="100"/>
  <c r="J55" i="100"/>
  <c r="J59" i="100" s="1"/>
  <c r="I42" i="228"/>
  <c r="P78" i="51"/>
  <c r="P103" i="51"/>
  <c r="P76" i="51"/>
  <c r="P115" i="51"/>
  <c r="P120" i="51"/>
  <c r="P63" i="51"/>
  <c r="P119" i="51"/>
  <c r="P52" i="51"/>
  <c r="P55" i="51"/>
  <c r="F19" i="250"/>
  <c r="I22" i="227"/>
  <c r="I41" i="227" s="1"/>
  <c r="I43" i="227" s="1"/>
  <c r="H55" i="228" l="1"/>
  <c r="H61" i="228"/>
  <c r="H63" i="228" s="1"/>
  <c r="P122" i="5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4" i="228"/>
  <c r="J42" i="228"/>
  <c r="I53" i="228"/>
  <c r="I51" i="228"/>
  <c r="P25" i="228"/>
  <c r="P71" i="51"/>
  <c r="P88" i="51"/>
  <c r="P104" i="51"/>
  <c r="P87" i="51"/>
  <c r="P85" i="51"/>
  <c r="P84" i="51"/>
  <c r="P86" i="51"/>
  <c r="P90" i="51"/>
  <c r="I55" i="228" l="1"/>
  <c r="I61" i="228"/>
  <c r="I63" i="228" s="1"/>
  <c r="L28" i="36"/>
  <c r="J28" i="36" s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J41" i="227" s="1"/>
  <c r="J43" i="227" s="1"/>
  <c r="P24" i="227"/>
  <c r="J140" i="51"/>
  <c r="P140" i="51" s="1"/>
  <c r="L17" i="36"/>
  <c r="L21" i="36" s="1"/>
  <c r="N26" i="35"/>
  <c r="O25" i="35"/>
  <c r="I34" i="227"/>
  <c r="K42" i="228"/>
  <c r="J53" i="228"/>
  <c r="J51" i="228"/>
  <c r="P16" i="227"/>
  <c r="P27" i="227"/>
  <c r="P15" i="227"/>
  <c r="P21" i="227"/>
  <c r="P19" i="227"/>
  <c r="P17" i="227"/>
  <c r="P20" i="227"/>
  <c r="J55" i="228" l="1"/>
  <c r="J61" i="228"/>
  <c r="J63" i="228" s="1"/>
  <c r="L29" i="36"/>
  <c r="O24" i="35"/>
  <c r="O28" i="35" s="1"/>
  <c r="L42" i="228"/>
  <c r="L51" i="228" s="1"/>
  <c r="P14" i="227"/>
  <c r="K53" i="228"/>
  <c r="N25" i="35"/>
  <c r="J32" i="227"/>
  <c r="J30" i="227"/>
  <c r="K22" i="227"/>
  <c r="K41" i="227" s="1"/>
  <c r="K43" i="227" s="1"/>
  <c r="K51" i="228"/>
  <c r="L20" i="36"/>
  <c r="J20" i="36" s="1"/>
  <c r="J21" i="36"/>
  <c r="L23" i="36"/>
  <c r="J23" i="36" s="1"/>
  <c r="J17" i="36"/>
  <c r="F37" i="250"/>
  <c r="F33" i="250"/>
  <c r="K55" i="228" l="1"/>
  <c r="K61" i="228"/>
  <c r="K63" i="228" s="1"/>
  <c r="J29" i="36"/>
  <c r="N24" i="35"/>
  <c r="L53" i="228"/>
  <c r="L22" i="227"/>
  <c r="L41" i="227" s="1"/>
  <c r="L43" i="227" s="1"/>
  <c r="N36" i="35"/>
  <c r="O35" i="35"/>
  <c r="K32" i="227"/>
  <c r="K34" i="227" s="1"/>
  <c r="K30" i="227"/>
  <c r="J34" i="227"/>
  <c r="M42" i="228"/>
  <c r="F36" i="250"/>
  <c r="M22" i="227"/>
  <c r="M41" i="227" s="1"/>
  <c r="M43" i="227" s="1"/>
  <c r="L55" i="228" l="1"/>
  <c r="L61" i="228"/>
  <c r="L63" i="228" s="1"/>
  <c r="M32" i="227"/>
  <c r="M34" i="227" s="1"/>
  <c r="M30" i="227"/>
  <c r="P125" i="51"/>
  <c r="O39" i="35"/>
  <c r="N35" i="35"/>
  <c r="L25" i="36"/>
  <c r="J25" i="36" s="1"/>
  <c r="J31" i="36" s="1"/>
  <c r="L31" i="36" s="1"/>
  <c r="P124" i="51"/>
  <c r="L32" i="227"/>
  <c r="L30" i="227"/>
  <c r="P45" i="228"/>
  <c r="O42" i="228"/>
  <c r="P46" i="228"/>
  <c r="N42" i="228"/>
  <c r="M53" i="228"/>
  <c r="M51" i="228"/>
  <c r="O22" i="227"/>
  <c r="O41" i="227" s="1"/>
  <c r="O43" i="227" s="1"/>
  <c r="M55" i="228" l="1"/>
  <c r="M61" i="228"/>
  <c r="M63" i="228" s="1"/>
  <c r="O32" i="227"/>
  <c r="O34" i="227" s="1"/>
  <c r="O30" i="227"/>
  <c r="N22" i="227"/>
  <c r="F138" i="51"/>
  <c r="F134" i="51"/>
  <c r="P26" i="227"/>
  <c r="L34" i="227"/>
  <c r="P25" i="227"/>
  <c r="N53" i="228"/>
  <c r="N51" i="228"/>
  <c r="O53" i="228"/>
  <c r="O61" i="228" s="1"/>
  <c r="O63" i="228" s="1"/>
  <c r="O51" i="228"/>
  <c r="P42" i="228"/>
  <c r="P51" i="228" s="1"/>
  <c r="P22" i="227" l="1"/>
  <c r="N41" i="227"/>
  <c r="N43" i="227" s="1"/>
  <c r="N55" i="228"/>
  <c r="N61" i="228"/>
  <c r="N63" i="228" s="1"/>
  <c r="P30" i="227"/>
  <c r="P138" i="51"/>
  <c r="F142" i="51"/>
  <c r="N32" i="227"/>
  <c r="N30" i="227"/>
  <c r="O55" i="228"/>
  <c r="P53" i="228"/>
  <c r="N34" i="227" l="1"/>
  <c r="P34" i="227" s="1"/>
  <c r="P32" i="227"/>
  <c r="P55" i="228"/>
  <c r="P54" i="228" l="1"/>
  <c r="I27" i="102" l="1"/>
  <c r="E28" i="102" l="1"/>
  <c r="E29" i="102" s="1"/>
  <c r="J31" i="190"/>
  <c r="P34" i="226"/>
  <c r="P36" i="190"/>
  <c r="C29" i="102" l="1"/>
  <c r="J40" i="190"/>
  <c r="P39" i="190"/>
  <c r="I28" i="102"/>
  <c r="I29" i="102" s="1"/>
  <c r="G29" i="102"/>
  <c r="P21" i="190"/>
  <c r="P38" i="190"/>
  <c r="P26" i="190"/>
  <c r="P36" i="226"/>
  <c r="P25" i="226"/>
  <c r="H63" i="100" s="1"/>
  <c r="P19" i="226"/>
  <c r="P27" i="190"/>
  <c r="P24" i="226"/>
  <c r="H35" i="100" s="1"/>
  <c r="P37" i="226"/>
  <c r="P30" i="226"/>
  <c r="P32" i="190"/>
  <c r="J42" i="190" l="1"/>
  <c r="D35" i="100"/>
  <c r="F35" i="100" s="1"/>
  <c r="F36" i="100" s="1"/>
  <c r="D63" i="100"/>
  <c r="H66" i="100"/>
  <c r="J63" i="100"/>
  <c r="J66" i="100" s="1"/>
  <c r="J35" i="100"/>
  <c r="J36" i="100" s="1"/>
  <c r="H36" i="100"/>
  <c r="J44" i="190" l="1"/>
  <c r="J102" i="44" s="1"/>
  <c r="J123" i="44" s="1"/>
  <c r="J125" i="44" s="1"/>
  <c r="J58" i="190"/>
  <c r="J59" i="190" s="1"/>
  <c r="D36" i="100"/>
  <c r="D66" i="100"/>
  <c r="F63" i="100"/>
  <c r="F66" i="100" s="1"/>
  <c r="P33" i="190" l="1"/>
  <c r="P31" i="226"/>
  <c r="P20" i="190" l="1"/>
  <c r="P34" i="190" l="1"/>
  <c r="P18" i="226"/>
  <c r="P25" i="190"/>
  <c r="P19" i="190"/>
  <c r="D28" i="105" l="1"/>
  <c r="D35" i="105" s="1"/>
  <c r="F26" i="105"/>
  <c r="F28" i="105" s="1"/>
  <c r="F35" i="105" s="1"/>
  <c r="P23" i="226"/>
  <c r="P17" i="226"/>
  <c r="P35" i="190"/>
  <c r="H28" i="105" l="1"/>
  <c r="H35" i="105" s="1"/>
  <c r="J26" i="105"/>
  <c r="J28" i="105" s="1"/>
  <c r="J35" i="105" s="1"/>
  <c r="P32" i="226"/>
  <c r="P33" i="226"/>
  <c r="P24" i="190" l="1"/>
  <c r="P17" i="190"/>
  <c r="N31" i="190"/>
  <c r="P30" i="190"/>
  <c r="O31" i="190"/>
  <c r="P37" i="190"/>
  <c r="P29" i="190"/>
  <c r="M31" i="190"/>
  <c r="L31" i="190"/>
  <c r="E29" i="226"/>
  <c r="E50" i="226" s="1"/>
  <c r="E52" i="226" s="1"/>
  <c r="G29" i="226"/>
  <c r="G38" i="226" l="1"/>
  <c r="G50" i="226"/>
  <c r="G52" i="226" s="1"/>
  <c r="M40" i="190"/>
  <c r="O40" i="190"/>
  <c r="P22" i="226"/>
  <c r="P35" i="226"/>
  <c r="P27" i="226"/>
  <c r="P28" i="226"/>
  <c r="I29" i="226"/>
  <c r="L40" i="190"/>
  <c r="L42" i="190"/>
  <c r="G40" i="226"/>
  <c r="G42" i="226" s="1"/>
  <c r="G102" i="222" s="1"/>
  <c r="N40" i="190"/>
  <c r="N42" i="190"/>
  <c r="N29" i="226"/>
  <c r="N50" i="226" s="1"/>
  <c r="N52" i="226" s="1"/>
  <c r="P16" i="226"/>
  <c r="M29" i="226"/>
  <c r="M50" i="226" s="1"/>
  <c r="M52" i="226" s="1"/>
  <c r="H29" i="226"/>
  <c r="H50" i="226" s="1"/>
  <c r="H52" i="226" s="1"/>
  <c r="K31" i="190"/>
  <c r="L29" i="226"/>
  <c r="L50" i="226" s="1"/>
  <c r="L52" i="226" s="1"/>
  <c r="K29" i="226"/>
  <c r="E38" i="226"/>
  <c r="E40" i="226"/>
  <c r="E42" i="226" s="1"/>
  <c r="E102" i="222" s="1"/>
  <c r="F29" i="226"/>
  <c r="M42" i="190"/>
  <c r="O42" i="190"/>
  <c r="D29" i="226"/>
  <c r="D50" i="226" s="1"/>
  <c r="D52" i="226" s="1"/>
  <c r="F38" i="226" l="1"/>
  <c r="F50" i="226"/>
  <c r="F52" i="226" s="1"/>
  <c r="K38" i="226"/>
  <c r="K50" i="226"/>
  <c r="K52" i="226" s="1"/>
  <c r="I38" i="226"/>
  <c r="I50" i="226"/>
  <c r="I52" i="226" s="1"/>
  <c r="O44" i="190"/>
  <c r="O102" i="44" s="1"/>
  <c r="O58" i="190"/>
  <c r="O59" i="190" s="1"/>
  <c r="N44" i="190"/>
  <c r="N102" i="44" s="1"/>
  <c r="N58" i="190"/>
  <c r="N59" i="190" s="1"/>
  <c r="M44" i="190"/>
  <c r="M102" i="44" s="1"/>
  <c r="M58" i="190"/>
  <c r="M59" i="190" s="1"/>
  <c r="L44" i="190"/>
  <c r="L102" i="44" s="1"/>
  <c r="L58" i="190"/>
  <c r="L59" i="190" s="1"/>
  <c r="P15" i="226"/>
  <c r="L40" i="226"/>
  <c r="L42" i="226" s="1"/>
  <c r="L102" i="222" s="1"/>
  <c r="L38" i="226"/>
  <c r="F40" i="226"/>
  <c r="F42" i="226" s="1"/>
  <c r="F102" i="222" s="1"/>
  <c r="H38" i="226"/>
  <c r="H40" i="226"/>
  <c r="H42" i="226" s="1"/>
  <c r="H102" i="222" s="1"/>
  <c r="M38" i="226"/>
  <c r="M40" i="226"/>
  <c r="M42" i="226" s="1"/>
  <c r="M102" i="222" s="1"/>
  <c r="N38" i="226"/>
  <c r="N40" i="226"/>
  <c r="N42" i="226" s="1"/>
  <c r="N102" i="222" s="1"/>
  <c r="I40" i="226"/>
  <c r="I42" i="226" s="1"/>
  <c r="I102" i="222" s="1"/>
  <c r="D40" i="226"/>
  <c r="D42" i="226" s="1"/>
  <c r="J29" i="226"/>
  <c r="P31" i="190"/>
  <c r="P62" i="190" s="1"/>
  <c r="D38" i="226"/>
  <c r="K40" i="226"/>
  <c r="K42" i="226" s="1"/>
  <c r="K102" i="222" s="1"/>
  <c r="K40" i="190"/>
  <c r="O29" i="226"/>
  <c r="O50" i="226" s="1"/>
  <c r="O52" i="226" s="1"/>
  <c r="J38" i="226" l="1"/>
  <c r="J50" i="226"/>
  <c r="J52" i="226" s="1"/>
  <c r="P40" i="190"/>
  <c r="O40" i="226"/>
  <c r="O42" i="226" s="1"/>
  <c r="O102" i="222" s="1"/>
  <c r="K42" i="190"/>
  <c r="K58" i="190" s="1"/>
  <c r="K59" i="190" s="1"/>
  <c r="F17" i="250"/>
  <c r="P29" i="226"/>
  <c r="P38" i="226" s="1"/>
  <c r="J40" i="226"/>
  <c r="J42" i="226" s="1"/>
  <c r="J102" i="222" s="1"/>
  <c r="F28" i="250"/>
  <c r="D102" i="222"/>
  <c r="F30" i="250"/>
  <c r="F27" i="250"/>
  <c r="O38" i="226"/>
  <c r="F31" i="250"/>
  <c r="F15" i="250"/>
  <c r="P42" i="226" l="1"/>
  <c r="F39" i="250"/>
  <c r="F23" i="250"/>
  <c r="P42" i="190"/>
  <c r="K44" i="190"/>
  <c r="K102" i="44" s="1"/>
  <c r="P102" i="222"/>
  <c r="P124" i="222" s="1"/>
  <c r="F41" i="250" l="1"/>
  <c r="F43" i="250" s="1"/>
  <c r="M27" i="46" s="1"/>
  <c r="L26" i="42"/>
  <c r="D154" i="79"/>
  <c r="P44" i="190"/>
  <c r="P43" i="190" l="1"/>
  <c r="P102" i="44"/>
  <c r="J26" i="42" l="1"/>
  <c r="D159" i="45"/>
  <c r="N121" i="51"/>
  <c r="D121" i="51" l="1"/>
  <c r="P121" i="51"/>
  <c r="N142" i="51"/>
  <c r="N134" i="51"/>
  <c r="D142" i="51" l="1"/>
  <c r="D144" i="51" s="1"/>
  <c r="D22" i="36" l="1"/>
  <c r="H22" i="36" s="1"/>
  <c r="L22" i="36"/>
  <c r="J22" i="36" l="1"/>
  <c r="I63" i="238" l="1"/>
  <c r="I68" i="238" s="1"/>
  <c r="I23" i="238" s="1"/>
  <c r="L62" i="171"/>
  <c r="L67" i="171" s="1"/>
  <c r="G63" i="238"/>
  <c r="G68" i="238" s="1"/>
  <c r="G23" i="238" s="1"/>
  <c r="J62" i="171"/>
  <c r="J67" i="171" s="1"/>
  <c r="J22" i="171" s="1"/>
  <c r="O45" i="238"/>
  <c r="O44" i="171"/>
  <c r="J63" i="238"/>
  <c r="J68" i="238" s="1"/>
  <c r="J23" i="238" s="1"/>
  <c r="M62" i="171"/>
  <c r="M67" i="171" s="1"/>
  <c r="H48" i="238"/>
  <c r="H53" i="238" s="1"/>
  <c r="H21" i="238" s="1"/>
  <c r="K47" i="171"/>
  <c r="K52" i="171" s="1"/>
  <c r="K20" i="171" s="1"/>
  <c r="G48" i="238"/>
  <c r="G53" i="238" s="1"/>
  <c r="G21" i="238" s="1"/>
  <c r="J47" i="171"/>
  <c r="K48" i="238"/>
  <c r="K53" i="238" s="1"/>
  <c r="K21" i="238" s="1"/>
  <c r="N47" i="171"/>
  <c r="N52" i="171" s="1"/>
  <c r="I62" i="171"/>
  <c r="I67" i="171" s="1"/>
  <c r="I22" i="171" s="1"/>
  <c r="I47" i="171"/>
  <c r="J48" i="238"/>
  <c r="J53" i="238" s="1"/>
  <c r="J21" i="238" s="1"/>
  <c r="M47" i="171"/>
  <c r="M52" i="171" s="1"/>
  <c r="I48" i="238"/>
  <c r="I53" i="238" s="1"/>
  <c r="I21" i="238" s="1"/>
  <c r="L47" i="171"/>
  <c r="L52" i="171" s="1"/>
  <c r="K63" i="238"/>
  <c r="K68" i="238" s="1"/>
  <c r="K23" i="238" s="1"/>
  <c r="N62" i="171"/>
  <c r="N67" i="171" s="1"/>
  <c r="O58" i="238"/>
  <c r="O57" i="171"/>
  <c r="H63" i="238"/>
  <c r="H68" i="238" s="1"/>
  <c r="H23" i="238" s="1"/>
  <c r="K62" i="171"/>
  <c r="K67" i="171" s="1"/>
  <c r="K22" i="171" s="1"/>
  <c r="I52" i="171" l="1"/>
  <c r="I20" i="171" s="1"/>
  <c r="J52" i="171"/>
  <c r="J20" i="171" s="1"/>
  <c r="L34" i="171"/>
  <c r="L39" i="171" s="1"/>
  <c r="O29" i="171"/>
  <c r="M34" i="171"/>
  <c r="M39" i="171" s="1"/>
  <c r="L20" i="171"/>
  <c r="N20" i="171"/>
  <c r="G35" i="238"/>
  <c r="G40" i="238" s="1"/>
  <c r="G22" i="238" s="1"/>
  <c r="J34" i="171"/>
  <c r="J39" i="171" s="1"/>
  <c r="J21" i="171" s="1"/>
  <c r="O47" i="171"/>
  <c r="I34" i="171"/>
  <c r="I39" i="171" s="1"/>
  <c r="I21" i="171" s="1"/>
  <c r="H35" i="238"/>
  <c r="H40" i="238" s="1"/>
  <c r="H22" i="238" s="1"/>
  <c r="K34" i="171"/>
  <c r="K39" i="171" s="1"/>
  <c r="K21" i="171" s="1"/>
  <c r="K24" i="171" s="1"/>
  <c r="L16" i="44" s="1"/>
  <c r="N22" i="171"/>
  <c r="M20" i="171"/>
  <c r="F48" i="238"/>
  <c r="O62" i="171"/>
  <c r="M22" i="171"/>
  <c r="L22" i="171"/>
  <c r="O67" i="171"/>
  <c r="N34" i="171"/>
  <c r="N39" i="171" s="1"/>
  <c r="F63" i="238"/>
  <c r="O52" i="171" l="1"/>
  <c r="I24" i="171"/>
  <c r="J16" i="44" s="1"/>
  <c r="J113" i="44" s="1"/>
  <c r="J24" i="171"/>
  <c r="K16" i="44" s="1"/>
  <c r="K35" i="238"/>
  <c r="K40" i="238" s="1"/>
  <c r="K22" i="238" s="1"/>
  <c r="L35" i="238"/>
  <c r="L40" i="238" s="1"/>
  <c r="L22" i="238" s="1"/>
  <c r="M35" i="238"/>
  <c r="M40" i="238" s="1"/>
  <c r="M22" i="238" s="1"/>
  <c r="M21" i="171"/>
  <c r="M24" i="171" s="1"/>
  <c r="N16" i="44" s="1"/>
  <c r="F68" i="238"/>
  <c r="O63" i="238"/>
  <c r="J35" i="238"/>
  <c r="J40" i="238" s="1"/>
  <c r="J22" i="238" s="1"/>
  <c r="O30" i="238"/>
  <c r="O34" i="171"/>
  <c r="L21" i="171"/>
  <c r="L24" i="171" s="1"/>
  <c r="O39" i="171"/>
  <c r="N21" i="171"/>
  <c r="F53" i="238"/>
  <c r="O48" i="238"/>
  <c r="O22" i="171"/>
  <c r="F35" i="238"/>
  <c r="O20" i="171"/>
  <c r="N35" i="238"/>
  <c r="N40" i="238" s="1"/>
  <c r="N22" i="238" s="1"/>
  <c r="I35" i="238"/>
  <c r="I40" i="238" s="1"/>
  <c r="I22" i="238" s="1"/>
  <c r="O21" i="171" l="1"/>
  <c r="F40" i="238"/>
  <c r="O35" i="238"/>
  <c r="F21" i="238"/>
  <c r="O53" i="238"/>
  <c r="F23" i="238"/>
  <c r="O23" i="238" s="1"/>
  <c r="O68" i="238"/>
  <c r="M16" i="44"/>
  <c r="N24" i="171"/>
  <c r="O16" i="44" s="1"/>
  <c r="F22" i="238" l="1"/>
  <c r="O22" i="238" s="1"/>
  <c r="O40" i="238"/>
  <c r="O24" i="171"/>
  <c r="P16" i="44"/>
  <c r="O21" i="238"/>
  <c r="D19" i="48" l="1"/>
  <c r="D178" i="45"/>
  <c r="D168" i="51"/>
  <c r="D27" i="46" l="1"/>
  <c r="J28" i="42"/>
  <c r="D21" i="47" l="1"/>
  <c r="D44" i="232" l="1"/>
  <c r="G44" i="232" s="1"/>
  <c r="D45" i="231"/>
  <c r="G45" i="231" s="1"/>
  <c r="D42" i="232"/>
  <c r="G42" i="232" s="1"/>
  <c r="D43" i="231"/>
  <c r="G43" i="231" s="1"/>
  <c r="D17" i="232"/>
  <c r="G17" i="232" s="1"/>
  <c r="D17" i="231"/>
  <c r="G17" i="231" s="1"/>
  <c r="D15" i="232"/>
  <c r="G15" i="232" s="1"/>
  <c r="D15" i="231"/>
  <c r="G15" i="231" s="1"/>
  <c r="M19" i="230"/>
  <c r="D34" i="232"/>
  <c r="G34" i="232" s="1"/>
  <c r="D34" i="231"/>
  <c r="G34" i="231" s="1"/>
  <c r="D32" i="232"/>
  <c r="G32" i="232" s="1"/>
  <c r="D32" i="231"/>
  <c r="G32" i="231" s="1"/>
  <c r="L36" i="233"/>
  <c r="H36" i="233"/>
  <c r="K47" i="233" l="1"/>
  <c r="O47" i="233"/>
  <c r="Q17" i="230"/>
  <c r="I17" i="231" s="1"/>
  <c r="L17" i="231" s="1"/>
  <c r="G47" i="233"/>
  <c r="E36" i="233"/>
  <c r="I36" i="233"/>
  <c r="M36" i="233"/>
  <c r="N19" i="230"/>
  <c r="O36" i="230"/>
  <c r="F19" i="233"/>
  <c r="J19" i="233"/>
  <c r="N19" i="233"/>
  <c r="Q17" i="233"/>
  <c r="I17" i="232" s="1"/>
  <c r="L17" i="232" s="1"/>
  <c r="N47" i="230"/>
  <c r="L47" i="233"/>
  <c r="L36" i="230"/>
  <c r="G19" i="233"/>
  <c r="K19" i="233"/>
  <c r="O19" i="233"/>
  <c r="K47" i="230"/>
  <c r="O47" i="230"/>
  <c r="H47" i="233"/>
  <c r="L47" i="230"/>
  <c r="D39" i="231"/>
  <c r="P47" i="230"/>
  <c r="E47" i="233"/>
  <c r="I47" i="233"/>
  <c r="M47" i="233"/>
  <c r="Q41" i="230"/>
  <c r="I43" i="231" s="1"/>
  <c r="L43" i="231" s="1"/>
  <c r="Q41" i="233"/>
  <c r="I42" i="232" s="1"/>
  <c r="L42" i="232" s="1"/>
  <c r="M47" i="230"/>
  <c r="F47" i="233"/>
  <c r="J47" i="233"/>
  <c r="N47" i="233"/>
  <c r="Q43" i="230"/>
  <c r="I45" i="231" s="1"/>
  <c r="L45" i="231" s="1"/>
  <c r="Q43" i="233"/>
  <c r="I44" i="232" s="1"/>
  <c r="L44" i="232" s="1"/>
  <c r="K36" i="230"/>
  <c r="Q30" i="230"/>
  <c r="I30" i="231" s="1"/>
  <c r="D30" i="232"/>
  <c r="P36" i="233"/>
  <c r="Q32" i="230"/>
  <c r="I32" i="231" s="1"/>
  <c r="L32" i="231" s="1"/>
  <c r="D36" i="233"/>
  <c r="Q30" i="233"/>
  <c r="I30" i="232" s="1"/>
  <c r="M36" i="230"/>
  <c r="F36" i="233"/>
  <c r="J36" i="233"/>
  <c r="N36" i="233"/>
  <c r="Q34" i="230"/>
  <c r="I34" i="231" s="1"/>
  <c r="L34" i="231" s="1"/>
  <c r="Q34" i="233"/>
  <c r="I34" i="232" s="1"/>
  <c r="L34" i="232" s="1"/>
  <c r="P36" i="230"/>
  <c r="D30" i="231"/>
  <c r="Q32" i="233"/>
  <c r="I32" i="232" s="1"/>
  <c r="L32" i="232" s="1"/>
  <c r="N36" i="230"/>
  <c r="G36" i="233"/>
  <c r="K36" i="233"/>
  <c r="O36" i="233"/>
  <c r="O19" i="230"/>
  <c r="D19" i="233"/>
  <c r="Q13" i="233"/>
  <c r="I13" i="232" s="1"/>
  <c r="H19" i="233"/>
  <c r="L19" i="233"/>
  <c r="D13" i="232"/>
  <c r="P19" i="233"/>
  <c r="L19" i="230"/>
  <c r="Q13" i="230"/>
  <c r="I13" i="231" s="1"/>
  <c r="D13" i="231"/>
  <c r="P19" i="230"/>
  <c r="E19" i="233"/>
  <c r="I19" i="233"/>
  <c r="M19" i="233"/>
  <c r="Q15" i="230"/>
  <c r="I15" i="231" s="1"/>
  <c r="L15" i="231" s="1"/>
  <c r="K19" i="230"/>
  <c r="Q15" i="233"/>
  <c r="I15" i="232" s="1"/>
  <c r="L15" i="232" s="1"/>
  <c r="O49" i="233" l="1"/>
  <c r="L49" i="233"/>
  <c r="K49" i="233"/>
  <c r="G49" i="233"/>
  <c r="I49" i="233"/>
  <c r="F49" i="233"/>
  <c r="N49" i="230"/>
  <c r="E49" i="233"/>
  <c r="L49" i="230"/>
  <c r="N49" i="233"/>
  <c r="M49" i="230"/>
  <c r="M49" i="233"/>
  <c r="P49" i="230"/>
  <c r="J49" i="233"/>
  <c r="O49" i="230"/>
  <c r="H49" i="233"/>
  <c r="D38" i="232"/>
  <c r="P47" i="233"/>
  <c r="P49" i="233" s="1"/>
  <c r="D47" i="233"/>
  <c r="D49" i="233" s="1"/>
  <c r="Q39" i="233"/>
  <c r="I38" i="232" s="1"/>
  <c r="Q47" i="230"/>
  <c r="D47" i="231"/>
  <c r="G39" i="231"/>
  <c r="G47" i="231" s="1"/>
  <c r="Q39" i="230"/>
  <c r="I39" i="231" s="1"/>
  <c r="Q36" i="233"/>
  <c r="D36" i="231"/>
  <c r="G30" i="231"/>
  <c r="G36" i="231" s="1"/>
  <c r="G30" i="232"/>
  <c r="G36" i="232" s="1"/>
  <c r="D36" i="232"/>
  <c r="L30" i="231"/>
  <c r="L36" i="231" s="1"/>
  <c r="I36" i="231"/>
  <c r="L30" i="232"/>
  <c r="L36" i="232" s="1"/>
  <c r="I36" i="232"/>
  <c r="Q36" i="230"/>
  <c r="G13" i="231"/>
  <c r="G19" i="231" s="1"/>
  <c r="D19" i="231"/>
  <c r="L13" i="232"/>
  <c r="L19" i="232" s="1"/>
  <c r="I19" i="232"/>
  <c r="L13" i="231"/>
  <c r="L19" i="231" s="1"/>
  <c r="I19" i="231"/>
  <c r="G13" i="232"/>
  <c r="G19" i="232" s="1"/>
  <c r="D19" i="232"/>
  <c r="Q19" i="233"/>
  <c r="Q19" i="230"/>
  <c r="K49" i="230"/>
  <c r="G49" i="231" l="1"/>
  <c r="Q49" i="233"/>
  <c r="D49" i="231"/>
  <c r="G38" i="232"/>
  <c r="G46" i="232" s="1"/>
  <c r="G49" i="232" s="1"/>
  <c r="D25" i="137" s="1"/>
  <c r="D46" i="232"/>
  <c r="D49" i="232" s="1"/>
  <c r="L39" i="231"/>
  <c r="L47" i="231" s="1"/>
  <c r="L49" i="231" s="1"/>
  <c r="I47" i="231"/>
  <c r="I49" i="231" s="1"/>
  <c r="L38" i="232"/>
  <c r="L46" i="232" s="1"/>
  <c r="L49" i="232" s="1"/>
  <c r="I46" i="232"/>
  <c r="I49" i="232" s="1"/>
  <c r="Q49" i="230"/>
  <c r="Q47" i="233"/>
  <c r="I72" i="232" l="1"/>
  <c r="I75" i="232" s="1"/>
  <c r="F25" i="3"/>
  <c r="I79" i="232"/>
  <c r="D25" i="3"/>
  <c r="L53" i="232"/>
  <c r="F25" i="137" s="1"/>
  <c r="I81" i="232"/>
  <c r="I83" i="232" s="1"/>
  <c r="I85" i="232" l="1"/>
  <c r="J27" i="106"/>
  <c r="I17" i="106" l="1"/>
  <c r="I18" i="106" l="1"/>
  <c r="I19" i="106" l="1"/>
  <c r="I20" i="106" l="1"/>
  <c r="I21" i="106" l="1"/>
  <c r="I22" i="106" l="1"/>
  <c r="I23" i="106" l="1"/>
  <c r="I24" i="106" l="1"/>
  <c r="I25" i="106" l="1"/>
  <c r="I26" i="106" l="1"/>
  <c r="Q26" i="106" s="1"/>
  <c r="I27" i="106"/>
  <c r="I31" i="106" l="1"/>
  <c r="I32" i="106" l="1"/>
  <c r="I33" i="106" l="1"/>
  <c r="I34" i="106" l="1"/>
  <c r="I35" i="106" l="1"/>
  <c r="I36" i="106" l="1"/>
  <c r="R41" i="106" l="1"/>
  <c r="R58" i="106"/>
  <c r="R47" i="106"/>
  <c r="R49" i="106"/>
  <c r="R64" i="106"/>
  <c r="R28" i="106"/>
  <c r="R33" i="106"/>
  <c r="R34" i="106"/>
  <c r="R43" i="106"/>
  <c r="R37" i="106"/>
  <c r="R35" i="106"/>
  <c r="R62" i="106"/>
  <c r="R51" i="106"/>
  <c r="R30" i="106"/>
  <c r="R50" i="106"/>
  <c r="R31" i="106"/>
  <c r="R44" i="106"/>
  <c r="R36" i="106"/>
  <c r="R61" i="106"/>
  <c r="R60" i="106"/>
  <c r="R52" i="106"/>
  <c r="R38" i="106"/>
  <c r="R42" i="106"/>
  <c r="R63" i="106"/>
  <c r="R45" i="106"/>
  <c r="R56" i="106"/>
  <c r="R59" i="106"/>
  <c r="R46" i="106"/>
  <c r="R29" i="106"/>
  <c r="R57" i="106"/>
  <c r="R32" i="106"/>
  <c r="M16" i="106"/>
  <c r="R48" i="106"/>
  <c r="R54" i="106"/>
  <c r="R53" i="106"/>
  <c r="R55" i="106"/>
  <c r="Q27" i="106"/>
  <c r="M17" i="106" l="1"/>
  <c r="M18" i="106" s="1"/>
  <c r="N27" i="106"/>
  <c r="Q29" i="106"/>
  <c r="Q28" i="106"/>
  <c r="R27" i="106"/>
  <c r="R39" i="106" l="1"/>
  <c r="M19" i="106"/>
  <c r="Q30" i="106"/>
  <c r="M25" i="46" l="1"/>
  <c r="Q31" i="106"/>
  <c r="M20" i="106"/>
  <c r="Q32" i="106" l="1"/>
  <c r="M21" i="106"/>
  <c r="M22" i="106" l="1"/>
  <c r="Q33" i="106"/>
  <c r="Q34" i="106" l="1"/>
  <c r="M23" i="106"/>
  <c r="Q35" i="106" l="1"/>
  <c r="M24" i="106"/>
  <c r="M25" i="106" l="1"/>
  <c r="Q36" i="106"/>
  <c r="Q37" i="106" l="1"/>
  <c r="M26" i="106"/>
  <c r="Q38" i="106" l="1"/>
  <c r="M31" i="106"/>
  <c r="M27" i="106"/>
  <c r="Q41" i="106" l="1"/>
  <c r="M32" i="106"/>
  <c r="D24" i="137"/>
  <c r="Q39" i="106"/>
  <c r="F24" i="137" s="1"/>
  <c r="Q42" i="106" l="1"/>
  <c r="M33" i="106"/>
  <c r="Q43" i="106" l="1"/>
  <c r="M34" i="106"/>
  <c r="Q44" i="106" l="1"/>
  <c r="M35" i="106"/>
  <c r="Q45" i="106" l="1"/>
  <c r="M36" i="106"/>
  <c r="M37" i="106" l="1"/>
  <c r="Q46" i="106"/>
  <c r="M38" i="106" l="1"/>
  <c r="Q47" i="106"/>
  <c r="M39" i="106" l="1"/>
  <c r="Q48" i="106"/>
  <c r="Q49" i="106" l="1"/>
  <c r="M40" i="106"/>
  <c r="M41" i="106" l="1"/>
  <c r="Q50" i="106"/>
  <c r="M42" i="106" l="1"/>
  <c r="Q51" i="106"/>
  <c r="Q52" i="106" l="1"/>
  <c r="M43" i="106"/>
  <c r="Q53" i="106" l="1"/>
  <c r="M44" i="106"/>
  <c r="M45" i="106" l="1"/>
  <c r="Q54" i="106"/>
  <c r="M46" i="106" l="1"/>
  <c r="Q55" i="106"/>
  <c r="Q56" i="106" l="1"/>
  <c r="M47" i="106"/>
  <c r="Q57" i="106" l="1"/>
  <c r="M48" i="106"/>
  <c r="Q58" i="106" l="1"/>
  <c r="M49" i="106"/>
  <c r="M50" i="106" l="1"/>
  <c r="Q59" i="106"/>
  <c r="Q60" i="106" l="1"/>
  <c r="M51" i="106"/>
  <c r="Q61" i="106" l="1"/>
  <c r="M52" i="106"/>
  <c r="M53" i="106" l="1"/>
  <c r="Q62" i="106"/>
  <c r="Q63" i="106" l="1"/>
  <c r="M54" i="106"/>
  <c r="Q64" i="106" s="1"/>
  <c r="D74" i="237" l="1"/>
  <c r="H74" i="237" s="1"/>
  <c r="D75" i="237"/>
  <c r="H75" i="237" s="1"/>
  <c r="D56" i="237"/>
  <c r="D262" i="209" l="1"/>
  <c r="F262" i="209" s="1"/>
  <c r="I262" i="209" s="1"/>
  <c r="D260" i="236"/>
  <c r="F260" i="236" s="1"/>
  <c r="I260" i="236" s="1"/>
  <c r="K260" i="236" l="1"/>
  <c r="N260" i="236" s="1"/>
  <c r="K262" i="209" l="1"/>
  <c r="N262" i="209" s="1"/>
  <c r="D119" i="207" l="1"/>
  <c r="F119" i="207" s="1"/>
  <c r="I119" i="207" s="1"/>
  <c r="D181" i="213" l="1"/>
  <c r="F181" i="213" s="1"/>
  <c r="I181" i="213" s="1"/>
  <c r="D181" i="207"/>
  <c r="F181" i="207" s="1"/>
  <c r="I181" i="207" s="1"/>
  <c r="D264" i="207"/>
  <c r="D227" i="207"/>
  <c r="F227" i="207" s="1"/>
  <c r="I227" i="207" l="1"/>
  <c r="F264" i="207"/>
  <c r="I264" i="207" s="1"/>
  <c r="I268" i="207" s="1"/>
  <c r="D16" i="3" s="1"/>
  <c r="H29" i="10" s="1"/>
  <c r="H31" i="10" s="1"/>
  <c r="D268" i="207"/>
  <c r="K181" i="213"/>
  <c r="N181" i="213" s="1"/>
  <c r="D119" i="213"/>
  <c r="F119" i="213" s="1"/>
  <c r="I119" i="213" s="1"/>
  <c r="F268" i="207" l="1"/>
  <c r="K119" i="213"/>
  <c r="N119" i="213" s="1"/>
  <c r="D227" i="213"/>
  <c r="F227" i="213" s="1"/>
  <c r="I227" i="213" s="1"/>
  <c r="D264" i="213"/>
  <c r="D268" i="213" l="1"/>
  <c r="F264" i="213"/>
  <c r="K264" i="213"/>
  <c r="K227" i="213"/>
  <c r="N227" i="213" s="1"/>
  <c r="N264" i="213" l="1"/>
  <c r="N268" i="213" s="1"/>
  <c r="F16" i="137" s="1"/>
  <c r="K268" i="213"/>
  <c r="F268" i="213"/>
  <c r="I264" i="213"/>
  <c r="I268" i="213" s="1"/>
  <c r="D16" i="137" s="1"/>
  <c r="G29" i="10" s="1"/>
  <c r="G31" i="10" s="1"/>
  <c r="K227" i="207" l="1"/>
  <c r="N227" i="207" s="1"/>
  <c r="K119" i="207"/>
  <c r="N119" i="207" s="1"/>
  <c r="K181" i="207"/>
  <c r="N181" i="207" s="1"/>
  <c r="K264" i="207" l="1"/>
  <c r="K268" i="207" l="1"/>
  <c r="N264" i="207"/>
  <c r="N268" i="207" s="1"/>
  <c r="F16" i="3" s="1"/>
  <c r="D96" i="207" l="1"/>
  <c r="F96" i="207" s="1"/>
  <c r="I96" i="207" s="1"/>
  <c r="D105" i="207"/>
  <c r="F105" i="207" s="1"/>
  <c r="I105" i="207" s="1"/>
  <c r="D109" i="207" l="1"/>
  <c r="F109" i="207" s="1"/>
  <c r="I109" i="207" s="1"/>
  <c r="K109" i="207"/>
  <c r="N109" i="207" s="1"/>
  <c r="D96" i="236"/>
  <c r="F96" i="236" s="1"/>
  <c r="I96" i="236" s="1"/>
  <c r="D96" i="213"/>
  <c r="F96" i="213" s="1"/>
  <c r="I96" i="213" s="1"/>
  <c r="K96" i="207"/>
  <c r="N96" i="207" s="1"/>
  <c r="K105" i="207"/>
  <c r="N105" i="207" s="1"/>
  <c r="D105" i="213"/>
  <c r="F105" i="213" s="1"/>
  <c r="I105" i="213" s="1"/>
  <c r="D109" i="213" l="1"/>
  <c r="F109" i="213" s="1"/>
  <c r="I109" i="213" s="1"/>
  <c r="K96" i="213"/>
  <c r="N96" i="213" s="1"/>
  <c r="K105" i="213"/>
  <c r="N105" i="213" s="1"/>
  <c r="K109" i="213" l="1"/>
  <c r="N109" i="213" s="1"/>
  <c r="D104" i="207" l="1"/>
  <c r="F104" i="207" s="1"/>
  <c r="I104" i="207" s="1"/>
  <c r="D104" i="236"/>
  <c r="F104" i="236" s="1"/>
  <c r="I104" i="236" s="1"/>
  <c r="D108" i="207" l="1"/>
  <c r="F108" i="207" s="1"/>
  <c r="I108" i="207" s="1"/>
  <c r="K108" i="207"/>
  <c r="N108" i="207" s="1"/>
  <c r="K104" i="236"/>
  <c r="N104" i="236" s="1"/>
  <c r="K104" i="207"/>
  <c r="N104" i="207" s="1"/>
  <c r="D108" i="236"/>
  <c r="F108" i="236" s="1"/>
  <c r="I108" i="236" s="1"/>
  <c r="K108" i="236" l="1"/>
  <c r="N108" i="236" s="1"/>
  <c r="D96" i="237" l="1"/>
  <c r="H96" i="237" s="1"/>
  <c r="D96" i="209" l="1"/>
  <c r="F96" i="209" s="1"/>
  <c r="I96" i="209" s="1"/>
  <c r="D259" i="207" l="1"/>
  <c r="F259" i="207" s="1"/>
  <c r="I259" i="207" s="1"/>
  <c r="K259" i="207" l="1"/>
  <c r="N259" i="207" s="1"/>
  <c r="D244" i="207"/>
  <c r="F244" i="207" s="1"/>
  <c r="I244" i="207" s="1"/>
  <c r="D242" i="207"/>
  <c r="F242" i="207" s="1"/>
  <c r="I242" i="207" s="1"/>
  <c r="D243" i="207"/>
  <c r="F243" i="207" s="1"/>
  <c r="I243" i="207" s="1"/>
  <c r="D241" i="207"/>
  <c r="F241" i="207" s="1"/>
  <c r="I241" i="207" s="1"/>
  <c r="D239" i="207"/>
  <c r="F239" i="207" s="1"/>
  <c r="I239" i="207" s="1"/>
  <c r="D248" i="207"/>
  <c r="F248" i="207" s="1"/>
  <c r="I248" i="207" s="1"/>
  <c r="D260" i="207"/>
  <c r="F260" i="207" s="1"/>
  <c r="I260" i="207" s="1"/>
  <c r="D238" i="207"/>
  <c r="F238" i="207" s="1"/>
  <c r="I238" i="207" s="1"/>
  <c r="K248" i="207" l="1"/>
  <c r="N248" i="207" s="1"/>
  <c r="K260" i="207"/>
  <c r="N260" i="207" s="1"/>
  <c r="D245" i="207"/>
  <c r="F245" i="207" s="1"/>
  <c r="I245" i="207" s="1"/>
  <c r="D247" i="207"/>
  <c r="F247" i="207" s="1"/>
  <c r="I247" i="207" s="1"/>
  <c r="D253" i="207"/>
  <c r="F253" i="207" s="1"/>
  <c r="I253" i="207" s="1"/>
  <c r="D256" i="207"/>
  <c r="F256" i="207" s="1"/>
  <c r="I256" i="207" s="1"/>
  <c r="D249" i="207"/>
  <c r="F249" i="207" s="1"/>
  <c r="I249" i="207" s="1"/>
  <c r="K243" i="207"/>
  <c r="N243" i="207" s="1"/>
  <c r="K244" i="207"/>
  <c r="N244" i="207" s="1"/>
  <c r="D251" i="207"/>
  <c r="F251" i="207" s="1"/>
  <c r="I251" i="207" s="1"/>
  <c r="D255" i="207"/>
  <c r="F255" i="207" s="1"/>
  <c r="I255" i="207" s="1"/>
  <c r="D257" i="207"/>
  <c r="F257" i="207" s="1"/>
  <c r="I257" i="207" s="1"/>
  <c r="D250" i="207"/>
  <c r="F250" i="207" s="1"/>
  <c r="I250" i="207" s="1"/>
  <c r="D246" i="207"/>
  <c r="F246" i="207" s="1"/>
  <c r="I246" i="207" s="1"/>
  <c r="D254" i="207"/>
  <c r="F254" i="207" s="1"/>
  <c r="I254" i="207" s="1"/>
  <c r="K238" i="207"/>
  <c r="N238" i="207" s="1"/>
  <c r="K239" i="207"/>
  <c r="N239" i="207" s="1"/>
  <c r="K241" i="207"/>
  <c r="N241" i="207" s="1"/>
  <c r="K242" i="207"/>
  <c r="N242" i="207" s="1"/>
  <c r="D245" i="213" l="1"/>
  <c r="F245" i="213" s="1"/>
  <c r="I245" i="213" s="1"/>
  <c r="K250" i="207"/>
  <c r="N250" i="207" s="1"/>
  <c r="K255" i="207"/>
  <c r="N255" i="207" s="1"/>
  <c r="K249" i="207"/>
  <c r="N249" i="207" s="1"/>
  <c r="K254" i="207"/>
  <c r="N254" i="207" s="1"/>
  <c r="K253" i="207"/>
  <c r="N253" i="207" s="1"/>
  <c r="D258" i="207"/>
  <c r="F258" i="207" s="1"/>
  <c r="I258" i="207" s="1"/>
  <c r="K257" i="207"/>
  <c r="N257" i="207" s="1"/>
  <c r="K251" i="207"/>
  <c r="N251" i="207" s="1"/>
  <c r="K256" i="207"/>
  <c r="N256" i="207" s="1"/>
  <c r="D252" i="207"/>
  <c r="F252" i="207" s="1"/>
  <c r="I252" i="207" s="1"/>
  <c r="K247" i="207"/>
  <c r="N247" i="207" s="1"/>
  <c r="K245" i="207"/>
  <c r="N245" i="207" s="1"/>
  <c r="K246" i="207"/>
  <c r="N246" i="207" s="1"/>
  <c r="D246" i="213"/>
  <c r="F246" i="213" s="1"/>
  <c r="I246" i="213" s="1"/>
  <c r="D240" i="207"/>
  <c r="F240" i="207" s="1"/>
  <c r="I240" i="207" s="1"/>
  <c r="D247" i="213"/>
  <c r="F247" i="213" s="1"/>
  <c r="I247" i="213" s="1"/>
  <c r="K245" i="213" l="1"/>
  <c r="N245" i="213" s="1"/>
  <c r="D252" i="213"/>
  <c r="F252" i="213" s="1"/>
  <c r="I252" i="213" s="1"/>
  <c r="D240" i="213"/>
  <c r="F240" i="213" s="1"/>
  <c r="I240" i="213" s="1"/>
  <c r="D258" i="213"/>
  <c r="F258" i="213" s="1"/>
  <c r="I258" i="213" s="1"/>
  <c r="K252" i="207"/>
  <c r="N252" i="207" s="1"/>
  <c r="D257" i="213"/>
  <c r="F257" i="213" s="1"/>
  <c r="I257" i="213" s="1"/>
  <c r="D254" i="213"/>
  <c r="F254" i="213" s="1"/>
  <c r="I254" i="213" s="1"/>
  <c r="D249" i="213"/>
  <c r="F249" i="213" s="1"/>
  <c r="I249" i="213" s="1"/>
  <c r="D250" i="213"/>
  <c r="F250" i="213" s="1"/>
  <c r="I250" i="213" s="1"/>
  <c r="K258" i="207"/>
  <c r="N258" i="207" s="1"/>
  <c r="D256" i="213"/>
  <c r="F256" i="213" s="1"/>
  <c r="I256" i="213" s="1"/>
  <c r="D251" i="213"/>
  <c r="F251" i="213" s="1"/>
  <c r="I251" i="213" s="1"/>
  <c r="D253" i="213"/>
  <c r="F253" i="213" s="1"/>
  <c r="I253" i="213" s="1"/>
  <c r="D255" i="213"/>
  <c r="F255" i="213" s="1"/>
  <c r="I255" i="213" s="1"/>
  <c r="K240" i="207"/>
  <c r="N240" i="207" s="1"/>
  <c r="K247" i="213"/>
  <c r="N247" i="213" s="1"/>
  <c r="K246" i="213"/>
  <c r="N246" i="213" s="1"/>
  <c r="K250" i="213" l="1"/>
  <c r="N250" i="213" s="1"/>
  <c r="K254" i="213"/>
  <c r="N254" i="213" s="1"/>
  <c r="K255" i="213"/>
  <c r="N255" i="213" s="1"/>
  <c r="K253" i="213"/>
  <c r="N253" i="213" s="1"/>
  <c r="K251" i="213"/>
  <c r="N251" i="213" s="1"/>
  <c r="K249" i="213"/>
  <c r="N249" i="213" s="1"/>
  <c r="D104" i="213"/>
  <c r="F104" i="213" s="1"/>
  <c r="I104" i="213" s="1"/>
  <c r="D104" i="237"/>
  <c r="H104" i="237" s="1"/>
  <c r="K257" i="213"/>
  <c r="N257" i="213" s="1"/>
  <c r="K252" i="213"/>
  <c r="N252" i="213" s="1"/>
  <c r="K258" i="213"/>
  <c r="N258" i="213" s="1"/>
  <c r="K256" i="213"/>
  <c r="N256" i="213" s="1"/>
  <c r="K240" i="213"/>
  <c r="N240" i="213" s="1"/>
  <c r="D233" i="207"/>
  <c r="F233" i="207" s="1"/>
  <c r="I233" i="207" s="1"/>
  <c r="D232" i="207"/>
  <c r="D234" i="207"/>
  <c r="F234" i="207" s="1"/>
  <c r="I234" i="207" s="1"/>
  <c r="F232" i="207" l="1"/>
  <c r="D108" i="213"/>
  <c r="F108" i="213" s="1"/>
  <c r="I108" i="213" s="1"/>
  <c r="K108" i="213"/>
  <c r="N108" i="213" s="1"/>
  <c r="D108" i="237"/>
  <c r="H108" i="237" s="1"/>
  <c r="D104" i="209"/>
  <c r="F104" i="209" s="1"/>
  <c r="I104" i="209" s="1"/>
  <c r="K104" i="213"/>
  <c r="N104" i="213" s="1"/>
  <c r="K233" i="207"/>
  <c r="N233" i="207" s="1"/>
  <c r="D237" i="207"/>
  <c r="F237" i="207" s="1"/>
  <c r="I237" i="207" s="1"/>
  <c r="K234" i="207"/>
  <c r="N234" i="207" s="1"/>
  <c r="D235" i="207"/>
  <c r="F235" i="207" s="1"/>
  <c r="I235" i="207" s="1"/>
  <c r="K232" i="207"/>
  <c r="D236" i="207"/>
  <c r="F236" i="207" s="1"/>
  <c r="I236" i="207" s="1"/>
  <c r="N232" i="207" l="1"/>
  <c r="D262" i="207"/>
  <c r="I232" i="207"/>
  <c r="I262" i="207" s="1"/>
  <c r="F262" i="207"/>
  <c r="K104" i="209"/>
  <c r="N104" i="209" s="1"/>
  <c r="K108" i="209"/>
  <c r="N108" i="209" s="1"/>
  <c r="K235" i="207"/>
  <c r="N235" i="207" s="1"/>
  <c r="K236" i="207"/>
  <c r="N236" i="207" s="1"/>
  <c r="K237" i="207"/>
  <c r="N237" i="207" s="1"/>
  <c r="D108" i="209" l="1"/>
  <c r="F108" i="209" s="1"/>
  <c r="I108" i="209" s="1"/>
  <c r="K262" i="207"/>
  <c r="N262" i="207"/>
  <c r="D259" i="213" l="1"/>
  <c r="F259" i="213" s="1"/>
  <c r="I259" i="213" s="1"/>
  <c r="D238" i="213" l="1"/>
  <c r="F238" i="213" s="1"/>
  <c r="I238" i="213" s="1"/>
  <c r="D242" i="213"/>
  <c r="F242" i="213" s="1"/>
  <c r="I242" i="213" s="1"/>
  <c r="K259" i="213"/>
  <c r="N259" i="213" s="1"/>
  <c r="D239" i="213"/>
  <c r="F239" i="213" s="1"/>
  <c r="I239" i="213" s="1"/>
  <c r="D243" i="213"/>
  <c r="F243" i="213" s="1"/>
  <c r="I243" i="213" s="1"/>
  <c r="D244" i="213"/>
  <c r="F244" i="213" s="1"/>
  <c r="I244" i="213" s="1"/>
  <c r="D260" i="213"/>
  <c r="F260" i="213" s="1"/>
  <c r="I260" i="213" s="1"/>
  <c r="D248" i="213"/>
  <c r="F248" i="213" s="1"/>
  <c r="I248" i="213" s="1"/>
  <c r="D241" i="213"/>
  <c r="F241" i="213" s="1"/>
  <c r="I241" i="213" s="1"/>
  <c r="K241" i="213" l="1"/>
  <c r="N241" i="213" s="1"/>
  <c r="K260" i="213"/>
  <c r="N260" i="213" s="1"/>
  <c r="K243" i="213"/>
  <c r="N243" i="213" s="1"/>
  <c r="K238" i="213"/>
  <c r="N238" i="213" s="1"/>
  <c r="K248" i="213"/>
  <c r="N248" i="213" s="1"/>
  <c r="K244" i="213"/>
  <c r="N244" i="213" s="1"/>
  <c r="K239" i="213"/>
  <c r="N239" i="213" s="1"/>
  <c r="K242" i="213"/>
  <c r="N242" i="213" s="1"/>
  <c r="D232" i="213" l="1"/>
  <c r="F232" i="213" l="1"/>
  <c r="K232" i="213"/>
  <c r="D234" i="213"/>
  <c r="F234" i="213" s="1"/>
  <c r="I234" i="213" s="1"/>
  <c r="N232" i="213" l="1"/>
  <c r="I232" i="213"/>
  <c r="K234" i="213"/>
  <c r="N234" i="213" s="1"/>
  <c r="D233" i="213" l="1"/>
  <c r="D237" i="213"/>
  <c r="F237" i="213" s="1"/>
  <c r="I237" i="213" s="1"/>
  <c r="F233" i="213" l="1"/>
  <c r="K237" i="213"/>
  <c r="N237" i="213" s="1"/>
  <c r="K233" i="213"/>
  <c r="D236" i="213"/>
  <c r="F236" i="213" s="1"/>
  <c r="I236" i="213" s="1"/>
  <c r="D235" i="213"/>
  <c r="F235" i="213" s="1"/>
  <c r="I235" i="213" s="1"/>
  <c r="I233" i="213" l="1"/>
  <c r="F262" i="213"/>
  <c r="N233" i="213"/>
  <c r="D262" i="213"/>
  <c r="I262" i="213"/>
  <c r="K235" i="213"/>
  <c r="N235" i="213" s="1"/>
  <c r="K236" i="213"/>
  <c r="N236" i="213" s="1"/>
  <c r="K262" i="213" l="1"/>
  <c r="N262" i="213"/>
  <c r="D167" i="207" l="1"/>
  <c r="F167" i="207" s="1"/>
  <c r="I167" i="207" s="1"/>
  <c r="D167" i="213" l="1"/>
  <c r="F167" i="213" s="1"/>
  <c r="I167" i="213" s="1"/>
  <c r="K167" i="207"/>
  <c r="N167" i="207" s="1"/>
  <c r="K167" i="213" l="1"/>
  <c r="N167" i="213" s="1"/>
  <c r="D163" i="207" l="1"/>
  <c r="F163" i="207" s="1"/>
  <c r="I163" i="207" s="1"/>
  <c r="D164" i="207"/>
  <c r="F164" i="207" s="1"/>
  <c r="I164" i="207" s="1"/>
  <c r="D159" i="207"/>
  <c r="F159" i="207" s="1"/>
  <c r="I159" i="207" s="1"/>
  <c r="D160" i="236"/>
  <c r="F160" i="236" s="1"/>
  <c r="I160" i="236" s="1"/>
  <c r="D161" i="207"/>
  <c r="F161" i="207" s="1"/>
  <c r="I161" i="207" s="1"/>
  <c r="D160" i="207"/>
  <c r="F160" i="207" s="1"/>
  <c r="I160" i="207" s="1"/>
  <c r="D161" i="236"/>
  <c r="F161" i="236" s="1"/>
  <c r="I161" i="236" s="1"/>
  <c r="D166" i="207"/>
  <c r="F166" i="207" s="1"/>
  <c r="I166" i="207" s="1"/>
  <c r="D167" i="236"/>
  <c r="F167" i="236" s="1"/>
  <c r="I167" i="236" s="1"/>
  <c r="D162" i="207"/>
  <c r="F162" i="207" s="1"/>
  <c r="I162" i="207" s="1"/>
  <c r="D163" i="236"/>
  <c r="F163" i="236" s="1"/>
  <c r="I163" i="236" s="1"/>
  <c r="D165" i="207"/>
  <c r="F165" i="207" s="1"/>
  <c r="I165" i="207" s="1"/>
  <c r="K163" i="236" l="1"/>
  <c r="N163" i="236" s="1"/>
  <c r="K160" i="236"/>
  <c r="N160" i="236" s="1"/>
  <c r="D164" i="213"/>
  <c r="F164" i="213" s="1"/>
  <c r="I164" i="213" s="1"/>
  <c r="D163" i="213"/>
  <c r="F163" i="213" s="1"/>
  <c r="I163" i="213" s="1"/>
  <c r="K167" i="236"/>
  <c r="N167" i="236" s="1"/>
  <c r="K161" i="236"/>
  <c r="N161" i="236" s="1"/>
  <c r="D165" i="213"/>
  <c r="F165" i="213" s="1"/>
  <c r="I165" i="213" s="1"/>
  <c r="D161" i="213"/>
  <c r="F161" i="213" s="1"/>
  <c r="I161" i="213" s="1"/>
  <c r="K166" i="207"/>
  <c r="N166" i="207" s="1"/>
  <c r="K162" i="207"/>
  <c r="N162" i="207" s="1"/>
  <c r="K160" i="207"/>
  <c r="N160" i="207" s="1"/>
  <c r="K159" i="207"/>
  <c r="N159" i="207" s="1"/>
  <c r="K165" i="207"/>
  <c r="N165" i="207" s="1"/>
  <c r="K164" i="207"/>
  <c r="N164" i="207" s="1"/>
  <c r="K161" i="207"/>
  <c r="N161" i="207" s="1"/>
  <c r="K163" i="207"/>
  <c r="N163" i="207" s="1"/>
  <c r="K164" i="213" l="1"/>
  <c r="N164" i="213" s="1"/>
  <c r="K161" i="213"/>
  <c r="N161" i="213" s="1"/>
  <c r="K163" i="213"/>
  <c r="N163" i="213" s="1"/>
  <c r="K165" i="213"/>
  <c r="N165" i="213" s="1"/>
  <c r="D155" i="207" l="1"/>
  <c r="F155" i="207" l="1"/>
  <c r="D125" i="207"/>
  <c r="F125" i="207" s="1"/>
  <c r="I125" i="207" s="1"/>
  <c r="K155" i="207"/>
  <c r="D124" i="207"/>
  <c r="F124" i="207" l="1"/>
  <c r="D127" i="207"/>
  <c r="N155" i="207"/>
  <c r="I155" i="207"/>
  <c r="D172" i="207"/>
  <c r="F172" i="207" s="1"/>
  <c r="I172" i="207" s="1"/>
  <c r="D171" i="207"/>
  <c r="F171" i="207" s="1"/>
  <c r="I171" i="207" s="1"/>
  <c r="K125" i="207"/>
  <c r="N125" i="207" s="1"/>
  <c r="D173" i="207"/>
  <c r="F173" i="207" s="1"/>
  <c r="I173" i="207" s="1"/>
  <c r="D174" i="207"/>
  <c r="F174" i="207" s="1"/>
  <c r="I174" i="207" s="1"/>
  <c r="D156" i="207"/>
  <c r="D170" i="207"/>
  <c r="F170" i="207" s="1"/>
  <c r="I170" i="207" s="1"/>
  <c r="K124" i="207"/>
  <c r="D169" i="207"/>
  <c r="F169" i="207" s="1"/>
  <c r="I169" i="207" s="1"/>
  <c r="D157" i="207"/>
  <c r="F157" i="207" s="1"/>
  <c r="I157" i="207" s="1"/>
  <c r="D168" i="207"/>
  <c r="F168" i="207" s="1"/>
  <c r="I168" i="207" s="1"/>
  <c r="F156" i="207" l="1"/>
  <c r="K127" i="207"/>
  <c r="N124" i="207"/>
  <c r="N127" i="207" s="1"/>
  <c r="I124" i="207"/>
  <c r="I127" i="207" s="1"/>
  <c r="F127" i="207"/>
  <c r="D173" i="236"/>
  <c r="F173" i="236" s="1"/>
  <c r="I173" i="236" s="1"/>
  <c r="D168" i="236"/>
  <c r="F168" i="236" s="1"/>
  <c r="I168" i="236" s="1"/>
  <c r="K172" i="207"/>
  <c r="N172" i="207" s="1"/>
  <c r="K156" i="207"/>
  <c r="D162" i="236"/>
  <c r="F162" i="236" s="1"/>
  <c r="I162" i="236" s="1"/>
  <c r="D166" i="236"/>
  <c r="F166" i="236" s="1"/>
  <c r="I166" i="236" s="1"/>
  <c r="K168" i="236"/>
  <c r="N168" i="236" s="1"/>
  <c r="D126" i="236"/>
  <c r="F126" i="236" s="1"/>
  <c r="I126" i="236" s="1"/>
  <c r="D156" i="236"/>
  <c r="F156" i="236" s="1"/>
  <c r="K174" i="207"/>
  <c r="N174" i="207" s="1"/>
  <c r="K173" i="207"/>
  <c r="N173" i="207" s="1"/>
  <c r="K171" i="207"/>
  <c r="N171" i="207" s="1"/>
  <c r="K170" i="207"/>
  <c r="N170" i="207" s="1"/>
  <c r="K157" i="207"/>
  <c r="N157" i="207" s="1"/>
  <c r="K168" i="207"/>
  <c r="N168" i="207" s="1"/>
  <c r="D175" i="207"/>
  <c r="F175" i="207" s="1"/>
  <c r="I175" i="207" s="1"/>
  <c r="D158" i="207"/>
  <c r="F158" i="207" s="1"/>
  <c r="I158" i="207" s="1"/>
  <c r="D158" i="236"/>
  <c r="F158" i="236" s="1"/>
  <c r="I158" i="236" s="1"/>
  <c r="K169" i="207"/>
  <c r="N169" i="207" s="1"/>
  <c r="I156" i="236" l="1"/>
  <c r="D177" i="207"/>
  <c r="D179" i="207" s="1"/>
  <c r="N156" i="207"/>
  <c r="I156" i="207"/>
  <c r="I177" i="207" s="1"/>
  <c r="I179" i="207" s="1"/>
  <c r="F177" i="207"/>
  <c r="F179" i="207" s="1"/>
  <c r="D171" i="236"/>
  <c r="F171" i="236" s="1"/>
  <c r="I171" i="236" s="1"/>
  <c r="D172" i="236"/>
  <c r="F172" i="236" s="1"/>
  <c r="I172" i="236" s="1"/>
  <c r="K166" i="236"/>
  <c r="N166" i="236" s="1"/>
  <c r="K162" i="236"/>
  <c r="N162" i="236" s="1"/>
  <c r="K126" i="236"/>
  <c r="N126" i="236" s="1"/>
  <c r="D157" i="236"/>
  <c r="F157" i="236" s="1"/>
  <c r="I157" i="236" s="1"/>
  <c r="K156" i="236"/>
  <c r="D174" i="236"/>
  <c r="F174" i="236" s="1"/>
  <c r="I174" i="236" s="1"/>
  <c r="D170" i="236"/>
  <c r="F170" i="236" s="1"/>
  <c r="I170" i="236" s="1"/>
  <c r="K173" i="236"/>
  <c r="N173" i="236" s="1"/>
  <c r="D175" i="236"/>
  <c r="F175" i="236" s="1"/>
  <c r="I175" i="236" s="1"/>
  <c r="K158" i="236"/>
  <c r="N158" i="236" s="1"/>
  <c r="K158" i="207"/>
  <c r="N158" i="207" s="1"/>
  <c r="K175" i="207"/>
  <c r="N175" i="207" s="1"/>
  <c r="K171" i="236" l="1"/>
  <c r="N171" i="236" s="1"/>
  <c r="N177" i="207"/>
  <c r="N179" i="207" s="1"/>
  <c r="N156" i="236"/>
  <c r="K177" i="207"/>
  <c r="K179" i="207" s="1"/>
  <c r="D164" i="236"/>
  <c r="F164" i="236" s="1"/>
  <c r="I164" i="236" s="1"/>
  <c r="D165" i="236"/>
  <c r="F165" i="236" s="1"/>
  <c r="I165" i="236" s="1"/>
  <c r="K175" i="236"/>
  <c r="N175" i="236" s="1"/>
  <c r="K174" i="236"/>
  <c r="N174" i="236" s="1"/>
  <c r="K157" i="236"/>
  <c r="N157" i="236" s="1"/>
  <c r="K170" i="236"/>
  <c r="N170" i="236" s="1"/>
  <c r="D159" i="236"/>
  <c r="F159" i="236" s="1"/>
  <c r="I159" i="236" s="1"/>
  <c r="D176" i="236"/>
  <c r="F176" i="236" s="1"/>
  <c r="I176" i="236" s="1"/>
  <c r="K172" i="236"/>
  <c r="N172" i="236" s="1"/>
  <c r="D169" i="236"/>
  <c r="F169" i="236" s="1"/>
  <c r="I169" i="236" s="1"/>
  <c r="I179" i="236" l="1"/>
  <c r="F179" i="236"/>
  <c r="K176" i="236"/>
  <c r="N176" i="236" s="1"/>
  <c r="K164" i="236"/>
  <c r="N164" i="236" s="1"/>
  <c r="K165" i="236"/>
  <c r="N165" i="236" s="1"/>
  <c r="K159" i="236"/>
  <c r="N159" i="236" s="1"/>
  <c r="K169" i="236"/>
  <c r="N169" i="236" s="1"/>
  <c r="D177" i="236" l="1"/>
  <c r="D179" i="236" s="1"/>
  <c r="D125" i="236"/>
  <c r="D128" i="236" l="1"/>
  <c r="D181" i="236" s="1"/>
  <c r="F125" i="236"/>
  <c r="K177" i="236"/>
  <c r="K125" i="236"/>
  <c r="K128" i="236" l="1"/>
  <c r="N125" i="236"/>
  <c r="N128" i="236" s="1"/>
  <c r="F128" i="236"/>
  <c r="F181" i="236" s="1"/>
  <c r="I125" i="236"/>
  <c r="I128" i="236" s="1"/>
  <c r="I181" i="236" s="1"/>
  <c r="N177" i="236"/>
  <c r="N179" i="236" s="1"/>
  <c r="K179" i="236"/>
  <c r="D162" i="213"/>
  <c r="F162" i="213" s="1"/>
  <c r="I162" i="213" s="1"/>
  <c r="D163" i="237"/>
  <c r="H163" i="237" s="1"/>
  <c r="D166" i="213"/>
  <c r="F166" i="213" s="1"/>
  <c r="I166" i="213" s="1"/>
  <c r="D167" i="237"/>
  <c r="H167" i="237" s="1"/>
  <c r="D159" i="213"/>
  <c r="F159" i="213" s="1"/>
  <c r="I159" i="213" s="1"/>
  <c r="D160" i="237"/>
  <c r="H160" i="237" s="1"/>
  <c r="D160" i="213"/>
  <c r="F160" i="213" s="1"/>
  <c r="I160" i="213" s="1"/>
  <c r="D161" i="237"/>
  <c r="H161" i="237" s="1"/>
  <c r="N181" i="236" l="1"/>
  <c r="K181" i="236"/>
  <c r="D169" i="209"/>
  <c r="F169" i="209" s="1"/>
  <c r="I169" i="209" s="1"/>
  <c r="D165" i="209"/>
  <c r="F165" i="209" s="1"/>
  <c r="I165" i="209" s="1"/>
  <c r="D162" i="209"/>
  <c r="F162" i="209" s="1"/>
  <c r="I162" i="209" s="1"/>
  <c r="K159" i="213"/>
  <c r="N159" i="213" s="1"/>
  <c r="K162" i="213"/>
  <c r="N162" i="213" s="1"/>
  <c r="K160" i="213"/>
  <c r="N160" i="213" s="1"/>
  <c r="K166" i="213"/>
  <c r="N166" i="213" s="1"/>
  <c r="D163" i="209"/>
  <c r="F163" i="209" s="1"/>
  <c r="I163" i="209" s="1"/>
  <c r="K162" i="209" l="1"/>
  <c r="N162" i="209" s="1"/>
  <c r="K165" i="209"/>
  <c r="N165" i="209" s="1"/>
  <c r="K163" i="209"/>
  <c r="N163" i="209" s="1"/>
  <c r="K169" i="209"/>
  <c r="N169" i="209" s="1"/>
  <c r="D124" i="213" l="1"/>
  <c r="F124" i="213" l="1"/>
  <c r="K124" i="213"/>
  <c r="I124" i="213" l="1"/>
  <c r="N124" i="213"/>
  <c r="D169" i="213"/>
  <c r="F169" i="213" s="1"/>
  <c r="I169" i="213" s="1"/>
  <c r="D126" i="237" l="1"/>
  <c r="H126" i="237" s="1"/>
  <c r="D155" i="213"/>
  <c r="K169" i="213"/>
  <c r="N169" i="213" s="1"/>
  <c r="D125" i="213"/>
  <c r="D171" i="213"/>
  <c r="F171" i="213" s="1"/>
  <c r="I171" i="213" s="1"/>
  <c r="F125" i="213" l="1"/>
  <c r="D127" i="213"/>
  <c r="F155" i="213"/>
  <c r="K155" i="213"/>
  <c r="D157" i="213"/>
  <c r="F157" i="213" s="1"/>
  <c r="I157" i="213" s="1"/>
  <c r="K171" i="213"/>
  <c r="N171" i="213" s="1"/>
  <c r="K125" i="213"/>
  <c r="N125" i="213" l="1"/>
  <c r="N127" i="213" s="1"/>
  <c r="K127" i="213"/>
  <c r="I155" i="213"/>
  <c r="N155" i="213"/>
  <c r="I125" i="213"/>
  <c r="I127" i="213" s="1"/>
  <c r="F127" i="213"/>
  <c r="D158" i="237"/>
  <c r="H158" i="237" s="1"/>
  <c r="D166" i="237"/>
  <c r="H166" i="237" s="1"/>
  <c r="D156" i="237"/>
  <c r="D158" i="209"/>
  <c r="F158" i="209" s="1"/>
  <c r="K157" i="213"/>
  <c r="N157" i="213" s="1"/>
  <c r="D174" i="213"/>
  <c r="F174" i="213" s="1"/>
  <c r="I174" i="213" s="1"/>
  <c r="D156" i="213"/>
  <c r="D128" i="209"/>
  <c r="F128" i="209" s="1"/>
  <c r="I128" i="209" s="1"/>
  <c r="I158" i="209" l="1"/>
  <c r="F156" i="213"/>
  <c r="H156" i="237"/>
  <c r="D172" i="237"/>
  <c r="H172" i="237" s="1"/>
  <c r="D170" i="237"/>
  <c r="H170" i="237" s="1"/>
  <c r="D168" i="209"/>
  <c r="F168" i="209" s="1"/>
  <c r="I168" i="209" s="1"/>
  <c r="K158" i="209"/>
  <c r="K156" i="213"/>
  <c r="K174" i="213"/>
  <c r="N174" i="213" s="1"/>
  <c r="D160" i="209"/>
  <c r="F160" i="209" s="1"/>
  <c r="I160" i="209" s="1"/>
  <c r="D170" i="213"/>
  <c r="F170" i="213" s="1"/>
  <c r="I170" i="213" s="1"/>
  <c r="K128" i="209"/>
  <c r="N128" i="209" s="1"/>
  <c r="D172" i="213"/>
  <c r="F172" i="213" s="1"/>
  <c r="I172" i="213" s="1"/>
  <c r="D158" i="213"/>
  <c r="F158" i="213" s="1"/>
  <c r="I158" i="213" s="1"/>
  <c r="N156" i="213" l="1"/>
  <c r="I156" i="213"/>
  <c r="N158" i="209"/>
  <c r="D174" i="209"/>
  <c r="F174" i="209" s="1"/>
  <c r="I174" i="209" s="1"/>
  <c r="D171" i="237"/>
  <c r="H171" i="237" s="1"/>
  <c r="D172" i="209"/>
  <c r="F172" i="209" s="1"/>
  <c r="I172" i="209" s="1"/>
  <c r="D168" i="237"/>
  <c r="H168" i="237" s="1"/>
  <c r="D173" i="237"/>
  <c r="H173" i="237" s="1"/>
  <c r="K168" i="209"/>
  <c r="N168" i="209" s="1"/>
  <c r="D159" i="237"/>
  <c r="H159" i="237" s="1"/>
  <c r="K160" i="209"/>
  <c r="N160" i="209" s="1"/>
  <c r="D168" i="213"/>
  <c r="F168" i="213" s="1"/>
  <c r="I168" i="213" s="1"/>
  <c r="K158" i="213"/>
  <c r="N158" i="213" s="1"/>
  <c r="K170" i="213"/>
  <c r="N170" i="213" s="1"/>
  <c r="K172" i="213"/>
  <c r="N172" i="213" s="1"/>
  <c r="D159" i="209"/>
  <c r="F159" i="209" s="1"/>
  <c r="D157" i="237"/>
  <c r="D173" i="213"/>
  <c r="F173" i="213" s="1"/>
  <c r="I173" i="213" s="1"/>
  <c r="K174" i="209" l="1"/>
  <c r="N174" i="209" s="1"/>
  <c r="H157" i="237"/>
  <c r="I159" i="209"/>
  <c r="D173" i="209"/>
  <c r="F173" i="209" s="1"/>
  <c r="I173" i="209" s="1"/>
  <c r="K172" i="209"/>
  <c r="N172" i="209" s="1"/>
  <c r="D170" i="209"/>
  <c r="F170" i="209" s="1"/>
  <c r="I170" i="209" s="1"/>
  <c r="D169" i="237"/>
  <c r="H169" i="237" s="1"/>
  <c r="D175" i="209"/>
  <c r="F175" i="209" s="1"/>
  <c r="I175" i="209" s="1"/>
  <c r="D174" i="237"/>
  <c r="H174" i="237" s="1"/>
  <c r="D165" i="237"/>
  <c r="H165" i="237" s="1"/>
  <c r="D167" i="209"/>
  <c r="F167" i="209" s="1"/>
  <c r="I167" i="209" s="1"/>
  <c r="K168" i="213"/>
  <c r="N168" i="213" s="1"/>
  <c r="K173" i="213"/>
  <c r="N173" i="213" s="1"/>
  <c r="D175" i="213"/>
  <c r="F175" i="213" s="1"/>
  <c r="I175" i="213" s="1"/>
  <c r="I177" i="213" s="1"/>
  <c r="I179" i="213" s="1"/>
  <c r="K159" i="209"/>
  <c r="D161" i="209"/>
  <c r="F161" i="209" s="1"/>
  <c r="I161" i="209" s="1"/>
  <c r="K173" i="209" l="1"/>
  <c r="N173" i="209" s="1"/>
  <c r="N159" i="209"/>
  <c r="D177" i="213"/>
  <c r="D179" i="213" s="1"/>
  <c r="F177" i="213"/>
  <c r="F179" i="213" s="1"/>
  <c r="K170" i="209"/>
  <c r="N170" i="209" s="1"/>
  <c r="D171" i="209"/>
  <c r="F171" i="209" s="1"/>
  <c r="I171" i="209" s="1"/>
  <c r="K175" i="209"/>
  <c r="N175" i="209" s="1"/>
  <c r="D175" i="237"/>
  <c r="H175" i="237" s="1"/>
  <c r="D176" i="237"/>
  <c r="H176" i="237" s="1"/>
  <c r="D176" i="209"/>
  <c r="F176" i="209" s="1"/>
  <c r="I176" i="209" s="1"/>
  <c r="K167" i="209"/>
  <c r="N167" i="209" s="1"/>
  <c r="K175" i="213"/>
  <c r="N175" i="213" s="1"/>
  <c r="N177" i="213" s="1"/>
  <c r="N179" i="213" s="1"/>
  <c r="K161" i="209"/>
  <c r="N161" i="209" s="1"/>
  <c r="K177" i="213" l="1"/>
  <c r="K179" i="213" s="1"/>
  <c r="D177" i="209"/>
  <c r="F177" i="209" s="1"/>
  <c r="I177" i="209" s="1"/>
  <c r="K176" i="209"/>
  <c r="N176" i="209" s="1"/>
  <c r="K171" i="209"/>
  <c r="N171" i="209" s="1"/>
  <c r="D162" i="237"/>
  <c r="D164" i="209"/>
  <c r="F164" i="209" s="1"/>
  <c r="I164" i="209" s="1"/>
  <c r="D178" i="209"/>
  <c r="F178" i="209" s="1"/>
  <c r="I178" i="209" s="1"/>
  <c r="H162" i="237" l="1"/>
  <c r="K177" i="209"/>
  <c r="N177" i="209" s="1"/>
  <c r="K164" i="209"/>
  <c r="N164" i="209" s="1"/>
  <c r="D164" i="237"/>
  <c r="H164" i="237" s="1"/>
  <c r="K178" i="209"/>
  <c r="N178" i="209" s="1"/>
  <c r="D179" i="237" l="1"/>
  <c r="H179" i="237"/>
  <c r="D166" i="209"/>
  <c r="F166" i="209" s="1"/>
  <c r="I166" i="209" l="1"/>
  <c r="K166" i="209"/>
  <c r="N166" i="209" s="1"/>
  <c r="D125" i="237" l="1"/>
  <c r="D128" i="237" l="1"/>
  <c r="D181" i="237" s="1"/>
  <c r="H125" i="237"/>
  <c r="H128" i="237" s="1"/>
  <c r="H181" i="237" s="1"/>
  <c r="D127" i="209"/>
  <c r="F127" i="209" l="1"/>
  <c r="D130" i="209"/>
  <c r="D179" i="209"/>
  <c r="K127" i="209"/>
  <c r="D181" i="209" l="1"/>
  <c r="D183" i="209" s="1"/>
  <c r="F179" i="209"/>
  <c r="K130" i="209"/>
  <c r="N127" i="209"/>
  <c r="N130" i="209" s="1"/>
  <c r="I127" i="209"/>
  <c r="I130" i="209" s="1"/>
  <c r="F130" i="209"/>
  <c r="K179" i="209"/>
  <c r="I179" i="209" l="1"/>
  <c r="I181" i="209" s="1"/>
  <c r="I183" i="209" s="1"/>
  <c r="F181" i="209"/>
  <c r="F183" i="209" s="1"/>
  <c r="N179" i="209"/>
  <c r="N181" i="209" s="1"/>
  <c r="N183" i="209" s="1"/>
  <c r="K181" i="209"/>
  <c r="K183" i="209" s="1"/>
  <c r="D195" i="207" l="1"/>
  <c r="F195" i="207" s="1"/>
  <c r="I195" i="207" s="1"/>
  <c r="K195" i="207" l="1"/>
  <c r="N195" i="207" s="1"/>
  <c r="D195" i="213"/>
  <c r="F195" i="213" s="1"/>
  <c r="I195" i="213" s="1"/>
  <c r="D199" i="207"/>
  <c r="F199" i="207" s="1"/>
  <c r="I199" i="207" s="1"/>
  <c r="D193" i="207"/>
  <c r="F193" i="207" s="1"/>
  <c r="I193" i="207" s="1"/>
  <c r="D210" i="207"/>
  <c r="F210" i="207" s="1"/>
  <c r="I210" i="207" s="1"/>
  <c r="D206" i="207"/>
  <c r="F206" i="207" s="1"/>
  <c r="I206" i="207" s="1"/>
  <c r="D201" i="207"/>
  <c r="F201" i="207" s="1"/>
  <c r="I201" i="207" s="1"/>
  <c r="D202" i="207"/>
  <c r="F202" i="207" s="1"/>
  <c r="I202" i="207" s="1"/>
  <c r="D215" i="207"/>
  <c r="F215" i="207" s="1"/>
  <c r="I215" i="207" s="1"/>
  <c r="D209" i="207"/>
  <c r="F209" i="207" s="1"/>
  <c r="I209" i="207" s="1"/>
  <c r="D213" i="207"/>
  <c r="F213" i="207" s="1"/>
  <c r="I213" i="207" s="1"/>
  <c r="D198" i="207"/>
  <c r="F198" i="207" s="1"/>
  <c r="I198" i="207" s="1"/>
  <c r="D194" i="207"/>
  <c r="F194" i="207" s="1"/>
  <c r="I194" i="207" s="1"/>
  <c r="D219" i="207"/>
  <c r="F219" i="207" s="1"/>
  <c r="I219" i="207" s="1"/>
  <c r="D191" i="207"/>
  <c r="F191" i="207" s="1"/>
  <c r="I191" i="207" s="1"/>
  <c r="D197" i="207"/>
  <c r="F197" i="207" s="1"/>
  <c r="I197" i="207" s="1"/>
  <c r="D214" i="207"/>
  <c r="F214" i="207" s="1"/>
  <c r="I214" i="207" s="1"/>
  <c r="D212" i="207"/>
  <c r="F212" i="207" s="1"/>
  <c r="I212" i="207" s="1"/>
  <c r="D204" i="207"/>
  <c r="F204" i="207" s="1"/>
  <c r="I204" i="207" s="1"/>
  <c r="D211" i="207"/>
  <c r="F211" i="207" s="1"/>
  <c r="I211" i="207" s="1"/>
  <c r="D207" i="207"/>
  <c r="F207" i="207" s="1"/>
  <c r="I207" i="207" s="1"/>
  <c r="D208" i="207"/>
  <c r="F208" i="207" s="1"/>
  <c r="I208" i="207" s="1"/>
  <c r="D214" i="213" l="1"/>
  <c r="F214" i="213" s="1"/>
  <c r="I214" i="213" s="1"/>
  <c r="D209" i="213"/>
  <c r="F209" i="213" s="1"/>
  <c r="I209" i="213" s="1"/>
  <c r="D208" i="213"/>
  <c r="F208" i="213" s="1"/>
  <c r="I208" i="213" s="1"/>
  <c r="D211" i="213"/>
  <c r="F211" i="213" s="1"/>
  <c r="I211" i="213" s="1"/>
  <c r="D204" i="213"/>
  <c r="F204" i="213" s="1"/>
  <c r="I204" i="213" s="1"/>
  <c r="D219" i="213"/>
  <c r="F219" i="213" s="1"/>
  <c r="I219" i="213" s="1"/>
  <c r="D198" i="213"/>
  <c r="F198" i="213" s="1"/>
  <c r="I198" i="213" s="1"/>
  <c r="D201" i="213"/>
  <c r="F201" i="213" s="1"/>
  <c r="I201" i="213" s="1"/>
  <c r="D215" i="213"/>
  <c r="F215" i="213" s="1"/>
  <c r="I215" i="213" s="1"/>
  <c r="D210" i="213"/>
  <c r="F210" i="213" s="1"/>
  <c r="I210" i="213" s="1"/>
  <c r="D199" i="213"/>
  <c r="F199" i="213" s="1"/>
  <c r="I199" i="213" s="1"/>
  <c r="D212" i="213"/>
  <c r="F212" i="213" s="1"/>
  <c r="I212" i="213" s="1"/>
  <c r="D194" i="213"/>
  <c r="F194" i="213" s="1"/>
  <c r="I194" i="213" s="1"/>
  <c r="D213" i="213"/>
  <c r="F213" i="213" s="1"/>
  <c r="I213" i="213" s="1"/>
  <c r="D202" i="213"/>
  <c r="F202" i="213" s="1"/>
  <c r="I202" i="213" s="1"/>
  <c r="D206" i="213"/>
  <c r="F206" i="213" s="1"/>
  <c r="I206" i="213" s="1"/>
  <c r="K195" i="213"/>
  <c r="N195" i="213" s="1"/>
  <c r="K215" i="207"/>
  <c r="N215" i="207" s="1"/>
  <c r="K202" i="207"/>
  <c r="N202" i="207" s="1"/>
  <c r="K204" i="207"/>
  <c r="N204" i="207" s="1"/>
  <c r="K214" i="207"/>
  <c r="N214" i="207" s="1"/>
  <c r="K197" i="207"/>
  <c r="N197" i="207" s="1"/>
  <c r="K193" i="207"/>
  <c r="N193" i="207" s="1"/>
  <c r="K208" i="207"/>
  <c r="N208" i="207" s="1"/>
  <c r="K206" i="207"/>
  <c r="N206" i="207" s="1"/>
  <c r="K194" i="207"/>
  <c r="N194" i="207" s="1"/>
  <c r="K211" i="207"/>
  <c r="N211" i="207" s="1"/>
  <c r="K212" i="207"/>
  <c r="N212" i="207" s="1"/>
  <c r="D197" i="213"/>
  <c r="F197" i="213" s="1"/>
  <c r="I197" i="213" s="1"/>
  <c r="K198" i="207"/>
  <c r="N198" i="207" s="1"/>
  <c r="K213" i="207"/>
  <c r="N213" i="207" s="1"/>
  <c r="K201" i="207"/>
  <c r="N201" i="207" s="1"/>
  <c r="K210" i="207"/>
  <c r="N210" i="207" s="1"/>
  <c r="K199" i="207"/>
  <c r="N199" i="207" s="1"/>
  <c r="K207" i="207"/>
  <c r="N207" i="207" s="1"/>
  <c r="K191" i="207"/>
  <c r="N191" i="207" s="1"/>
  <c r="K219" i="207"/>
  <c r="N219" i="207" s="1"/>
  <c r="K209" i="207"/>
  <c r="N209" i="207" s="1"/>
  <c r="D193" i="213"/>
  <c r="F193" i="213" s="1"/>
  <c r="I193" i="213" s="1"/>
  <c r="K204" i="213" l="1"/>
  <c r="N204" i="213" s="1"/>
  <c r="K206" i="213"/>
  <c r="N206" i="213" s="1"/>
  <c r="K209" i="213"/>
  <c r="N209" i="213" s="1"/>
  <c r="K211" i="213"/>
  <c r="N211" i="213" s="1"/>
  <c r="K215" i="213"/>
  <c r="N215" i="213" s="1"/>
  <c r="K202" i="213"/>
  <c r="N202" i="213" s="1"/>
  <c r="K214" i="213"/>
  <c r="N214" i="213" s="1"/>
  <c r="D207" i="213"/>
  <c r="F207" i="213" s="1"/>
  <c r="I207" i="213" s="1"/>
  <c r="K194" i="213"/>
  <c r="N194" i="213" s="1"/>
  <c r="D191" i="213"/>
  <c r="F191" i="213" s="1"/>
  <c r="I191" i="213" s="1"/>
  <c r="K199" i="213"/>
  <c r="N199" i="213" s="1"/>
  <c r="K213" i="213"/>
  <c r="N213" i="213" s="1"/>
  <c r="K198" i="213"/>
  <c r="N198" i="213" s="1"/>
  <c r="K197" i="213"/>
  <c r="N197" i="213" s="1"/>
  <c r="K212" i="213"/>
  <c r="N212" i="213" s="1"/>
  <c r="K193" i="213"/>
  <c r="N193" i="213" s="1"/>
  <c r="K210" i="213"/>
  <c r="N210" i="213" s="1"/>
  <c r="K201" i="213"/>
  <c r="N201" i="213" s="1"/>
  <c r="K208" i="213"/>
  <c r="N208" i="213" s="1"/>
  <c r="K219" i="213"/>
  <c r="N219" i="213" s="1"/>
  <c r="K207" i="213" l="1"/>
  <c r="N207" i="213" s="1"/>
  <c r="K191" i="213"/>
  <c r="N191" i="213" s="1"/>
  <c r="D223" i="236" l="1"/>
  <c r="F223" i="236" s="1"/>
  <c r="I223" i="236" s="1"/>
  <c r="D190" i="207"/>
  <c r="F190" i="207" s="1"/>
  <c r="I190" i="207" s="1"/>
  <c r="D222" i="207"/>
  <c r="F222" i="207" s="1"/>
  <c r="I222" i="207" s="1"/>
  <c r="D217" i="207"/>
  <c r="F217" i="207" s="1"/>
  <c r="I217" i="207" s="1"/>
  <c r="D196" i="207"/>
  <c r="F196" i="207" s="1"/>
  <c r="I196" i="207" s="1"/>
  <c r="D216" i="207"/>
  <c r="F216" i="207" s="1"/>
  <c r="I216" i="207" s="1"/>
  <c r="D189" i="207"/>
  <c r="F189" i="207" s="1"/>
  <c r="I189" i="207" s="1"/>
  <c r="D221" i="207"/>
  <c r="F221" i="207" s="1"/>
  <c r="I221" i="207" s="1"/>
  <c r="D205" i="207"/>
  <c r="F205" i="207" s="1"/>
  <c r="I205" i="207" s="1"/>
  <c r="D218" i="207"/>
  <c r="F218" i="207" s="1"/>
  <c r="I218" i="207" s="1"/>
  <c r="D223" i="207"/>
  <c r="F223" i="207" s="1"/>
  <c r="I223" i="207" s="1"/>
  <c r="D220" i="207"/>
  <c r="F220" i="207" s="1"/>
  <c r="I220" i="207" s="1"/>
  <c r="D200" i="207"/>
  <c r="F200" i="207" s="1"/>
  <c r="I200" i="207" s="1"/>
  <c r="D203" i="207"/>
  <c r="F203" i="207" s="1"/>
  <c r="I203" i="207" s="1"/>
  <c r="D192" i="207"/>
  <c r="F192" i="207" s="1"/>
  <c r="I192" i="207" s="1"/>
  <c r="K203" i="207" l="1"/>
  <c r="N203" i="207" s="1"/>
  <c r="D190" i="236"/>
  <c r="F190" i="236" s="1"/>
  <c r="I190" i="236" s="1"/>
  <c r="K223" i="236"/>
  <c r="K200" i="207"/>
  <c r="N200" i="207" s="1"/>
  <c r="D189" i="236"/>
  <c r="F189" i="236" s="1"/>
  <c r="I189" i="236" s="1"/>
  <c r="K192" i="207"/>
  <c r="N192" i="207" s="1"/>
  <c r="K205" i="207"/>
  <c r="N205" i="207" s="1"/>
  <c r="K189" i="207"/>
  <c r="N189" i="207" s="1"/>
  <c r="K196" i="207"/>
  <c r="N196" i="207" s="1"/>
  <c r="K222" i="207"/>
  <c r="N222" i="207" s="1"/>
  <c r="K220" i="207"/>
  <c r="N220" i="207" s="1"/>
  <c r="K217" i="207"/>
  <c r="N217" i="207" s="1"/>
  <c r="K223" i="207"/>
  <c r="N223" i="207" s="1"/>
  <c r="K218" i="207"/>
  <c r="N218" i="207" s="1"/>
  <c r="K221" i="207"/>
  <c r="N221" i="207" s="1"/>
  <c r="K216" i="207"/>
  <c r="N216" i="207" s="1"/>
  <c r="K190" i="207"/>
  <c r="N190" i="207" s="1"/>
  <c r="D222" i="236" l="1"/>
  <c r="F222" i="236" s="1"/>
  <c r="I222" i="236" s="1"/>
  <c r="D221" i="236"/>
  <c r="F221" i="236" s="1"/>
  <c r="I221" i="236" s="1"/>
  <c r="D220" i="236"/>
  <c r="F220" i="236" s="1"/>
  <c r="I220" i="236" s="1"/>
  <c r="K190" i="236"/>
  <c r="N190" i="236" s="1"/>
  <c r="K221" i="236"/>
  <c r="N221" i="236" s="1"/>
  <c r="K222" i="236"/>
  <c r="N222" i="236" s="1"/>
  <c r="K220" i="236"/>
  <c r="N220" i="236" s="1"/>
  <c r="K189" i="236"/>
  <c r="N189" i="236" s="1"/>
  <c r="D192" i="213" l="1"/>
  <c r="F192" i="213" s="1"/>
  <c r="I192" i="213" s="1"/>
  <c r="D203" i="213"/>
  <c r="F203" i="213" s="1"/>
  <c r="I203" i="213" s="1"/>
  <c r="D189" i="213"/>
  <c r="F189" i="213" s="1"/>
  <c r="I189" i="213" s="1"/>
  <c r="D216" i="213"/>
  <c r="F216" i="213" s="1"/>
  <c r="I216" i="213" s="1"/>
  <c r="D200" i="213"/>
  <c r="F200" i="213" s="1"/>
  <c r="I200" i="213" s="1"/>
  <c r="D222" i="213"/>
  <c r="F222" i="213" s="1"/>
  <c r="I222" i="213" s="1"/>
  <c r="D190" i="213"/>
  <c r="F190" i="213" s="1"/>
  <c r="I190" i="213" s="1"/>
  <c r="D218" i="213"/>
  <c r="F218" i="213" s="1"/>
  <c r="I218" i="213" s="1"/>
  <c r="D221" i="213"/>
  <c r="F221" i="213" s="1"/>
  <c r="I221" i="213" s="1"/>
  <c r="D205" i="213"/>
  <c r="F205" i="213" s="1"/>
  <c r="I205" i="213" s="1"/>
  <c r="D217" i="213"/>
  <c r="F217" i="213" s="1"/>
  <c r="I217" i="213" s="1"/>
  <c r="D223" i="213"/>
  <c r="F223" i="213" s="1"/>
  <c r="I223" i="213" s="1"/>
  <c r="D220" i="213"/>
  <c r="F220" i="213" s="1"/>
  <c r="I220" i="213" s="1"/>
  <c r="D196" i="213"/>
  <c r="F196" i="213" s="1"/>
  <c r="I196" i="213" s="1"/>
  <c r="D190" i="237" l="1"/>
  <c r="H190" i="237" s="1"/>
  <c r="D189" i="237"/>
  <c r="H189" i="237" s="1"/>
  <c r="K223" i="213"/>
  <c r="N223" i="213" s="1"/>
  <c r="K205" i="213"/>
  <c r="N205" i="213" s="1"/>
  <c r="K222" i="213"/>
  <c r="N222" i="213" s="1"/>
  <c r="K216" i="213"/>
  <c r="N216" i="213" s="1"/>
  <c r="K203" i="213"/>
  <c r="N203" i="213" s="1"/>
  <c r="K217" i="213"/>
  <c r="N217" i="213" s="1"/>
  <c r="K220" i="213"/>
  <c r="N220" i="213" s="1"/>
  <c r="K221" i="213"/>
  <c r="N221" i="213" s="1"/>
  <c r="K190" i="213"/>
  <c r="N190" i="213" s="1"/>
  <c r="K200" i="213"/>
  <c r="N200" i="213" s="1"/>
  <c r="K189" i="213"/>
  <c r="N189" i="213" s="1"/>
  <c r="K192" i="213"/>
  <c r="N192" i="213" s="1"/>
  <c r="K196" i="213"/>
  <c r="N196" i="213" s="1"/>
  <c r="K218" i="213"/>
  <c r="N218" i="213" s="1"/>
  <c r="D191" i="209" l="1"/>
  <c r="F191" i="209" s="1"/>
  <c r="I191" i="209" s="1"/>
  <c r="D192" i="209"/>
  <c r="F192" i="209" s="1"/>
  <c r="I192" i="209" s="1"/>
  <c r="K192" i="209"/>
  <c r="N192" i="209" s="1"/>
  <c r="K191" i="209"/>
  <c r="N191" i="209" s="1"/>
  <c r="D219" i="236" l="1"/>
  <c r="F219" i="236" s="1"/>
  <c r="I219" i="236" s="1"/>
  <c r="K219" i="236"/>
  <c r="N219" i="236" s="1"/>
  <c r="D218" i="236" l="1"/>
  <c r="F218" i="236" s="1"/>
  <c r="I218" i="236" s="1"/>
  <c r="K218" i="236"/>
  <c r="N218" i="236" s="1"/>
  <c r="D213" i="236" l="1"/>
  <c r="F213" i="236" s="1"/>
  <c r="I213" i="236" s="1"/>
  <c r="K213" i="236"/>
  <c r="N213" i="236" s="1"/>
  <c r="D187" i="207"/>
  <c r="F187" i="207" s="1"/>
  <c r="I187" i="207" s="1"/>
  <c r="D188" i="207"/>
  <c r="F188" i="207" s="1"/>
  <c r="I188" i="207" s="1"/>
  <c r="D211" i="236" l="1"/>
  <c r="F211" i="236" s="1"/>
  <c r="I211" i="236" s="1"/>
  <c r="D212" i="236"/>
  <c r="F212" i="236" s="1"/>
  <c r="I212" i="236" s="1"/>
  <c r="D216" i="236"/>
  <c r="F216" i="236" s="1"/>
  <c r="I216" i="236" s="1"/>
  <c r="D217" i="236"/>
  <c r="F217" i="236" s="1"/>
  <c r="I217" i="236" s="1"/>
  <c r="K211" i="236"/>
  <c r="N211" i="236" s="1"/>
  <c r="K212" i="236"/>
  <c r="N212" i="236" s="1"/>
  <c r="K217" i="236"/>
  <c r="N217" i="236" s="1"/>
  <c r="K216" i="236"/>
  <c r="N216" i="236" s="1"/>
  <c r="D187" i="236"/>
  <c r="F187" i="236" s="1"/>
  <c r="I187" i="236" s="1"/>
  <c r="K188" i="207"/>
  <c r="N188" i="207" s="1"/>
  <c r="K187" i="207"/>
  <c r="N187" i="207" s="1"/>
  <c r="D192" i="236" l="1"/>
  <c r="F192" i="236" s="1"/>
  <c r="I192" i="236" s="1"/>
  <c r="D209" i="236"/>
  <c r="F209" i="236" s="1"/>
  <c r="I209" i="236" s="1"/>
  <c r="D215" i="236"/>
  <c r="F215" i="236" s="1"/>
  <c r="I215" i="236" s="1"/>
  <c r="D200" i="236"/>
  <c r="F200" i="236" s="1"/>
  <c r="I200" i="236" s="1"/>
  <c r="D210" i="236"/>
  <c r="F210" i="236" s="1"/>
  <c r="I210" i="236" s="1"/>
  <c r="D205" i="236"/>
  <c r="F205" i="236" s="1"/>
  <c r="I205" i="236" s="1"/>
  <c r="D196" i="236"/>
  <c r="F196" i="236" s="1"/>
  <c r="I196" i="236" s="1"/>
  <c r="D193" i="236"/>
  <c r="F193" i="236" s="1"/>
  <c r="I193" i="236" s="1"/>
  <c r="D214" i="236"/>
  <c r="F214" i="236" s="1"/>
  <c r="I214" i="236" s="1"/>
  <c r="K215" i="236"/>
  <c r="N215" i="236" s="1"/>
  <c r="K210" i="236"/>
  <c r="N210" i="236" s="1"/>
  <c r="D191" i="236"/>
  <c r="F191" i="236" s="1"/>
  <c r="I191" i="236" s="1"/>
  <c r="K209" i="236"/>
  <c r="N209" i="236" s="1"/>
  <c r="K214" i="236"/>
  <c r="N214" i="236" s="1"/>
  <c r="K205" i="236"/>
  <c r="N205" i="236" s="1"/>
  <c r="K196" i="236"/>
  <c r="N196" i="236" s="1"/>
  <c r="K200" i="236"/>
  <c r="N200" i="236" s="1"/>
  <c r="K193" i="236"/>
  <c r="N193" i="236" s="1"/>
  <c r="K192" i="236"/>
  <c r="N192" i="236" s="1"/>
  <c r="D188" i="236"/>
  <c r="F188" i="236" s="1"/>
  <c r="I188" i="236" s="1"/>
  <c r="K187" i="236"/>
  <c r="N187" i="236" s="1"/>
  <c r="D202" i="236" l="1"/>
  <c r="F202" i="236" s="1"/>
  <c r="I202" i="236" s="1"/>
  <c r="D194" i="236"/>
  <c r="F194" i="236" s="1"/>
  <c r="I194" i="236" s="1"/>
  <c r="D204" i="236"/>
  <c r="F204" i="236" s="1"/>
  <c r="I204" i="236" s="1"/>
  <c r="D195" i="236"/>
  <c r="F195" i="236" s="1"/>
  <c r="I195" i="236" s="1"/>
  <c r="D197" i="236"/>
  <c r="F197" i="236" s="1"/>
  <c r="I197" i="236" s="1"/>
  <c r="D201" i="236"/>
  <c r="F201" i="236" s="1"/>
  <c r="I201" i="236" s="1"/>
  <c r="D199" i="236"/>
  <c r="F199" i="236" s="1"/>
  <c r="I199" i="236" s="1"/>
  <c r="D203" i="236"/>
  <c r="F203" i="236" s="1"/>
  <c r="I203" i="236" s="1"/>
  <c r="K202" i="236"/>
  <c r="N202" i="236" s="1"/>
  <c r="K199" i="236"/>
  <c r="N199" i="236" s="1"/>
  <c r="K195" i="236"/>
  <c r="N195" i="236" s="1"/>
  <c r="K204" i="236"/>
  <c r="N204" i="236" s="1"/>
  <c r="K201" i="236"/>
  <c r="N201" i="236" s="1"/>
  <c r="K194" i="236"/>
  <c r="N194" i="236" s="1"/>
  <c r="K197" i="236"/>
  <c r="N197" i="236" s="1"/>
  <c r="K203" i="236"/>
  <c r="N203" i="236" s="1"/>
  <c r="K191" i="236"/>
  <c r="N191" i="236" s="1"/>
  <c r="K188" i="236"/>
  <c r="N188" i="236" s="1"/>
  <c r="D206" i="236" l="1"/>
  <c r="F206" i="236" s="1"/>
  <c r="I206" i="236" s="1"/>
  <c r="D198" i="236"/>
  <c r="F198" i="236" s="1"/>
  <c r="I198" i="236" s="1"/>
  <c r="D207" i="236"/>
  <c r="F207" i="236" s="1"/>
  <c r="I207" i="236" s="1"/>
  <c r="D208" i="236"/>
  <c r="F208" i="236" s="1"/>
  <c r="I208" i="236" s="1"/>
  <c r="K206" i="236"/>
  <c r="N206" i="236" s="1"/>
  <c r="K198" i="236"/>
  <c r="N198" i="236" s="1"/>
  <c r="K208" i="236"/>
  <c r="N208" i="236" s="1"/>
  <c r="K207" i="236"/>
  <c r="N207" i="236" s="1"/>
  <c r="D223" i="237" l="1"/>
  <c r="H223" i="237" s="1"/>
  <c r="D222" i="237" l="1"/>
  <c r="H222" i="237" s="1"/>
  <c r="D219" i="237"/>
  <c r="H219" i="237" s="1"/>
  <c r="D225" i="209" l="1"/>
  <c r="F225" i="209" s="1"/>
  <c r="I225" i="209" s="1"/>
  <c r="D221" i="237"/>
  <c r="H221" i="237" s="1"/>
  <c r="K223" i="209"/>
  <c r="N223" i="209" s="1"/>
  <c r="K225" i="209"/>
  <c r="N225" i="209" s="1"/>
  <c r="D220" i="237"/>
  <c r="H220" i="237" s="1"/>
  <c r="D224" i="209" l="1"/>
  <c r="F224" i="209" s="1"/>
  <c r="I224" i="209" s="1"/>
  <c r="D221" i="209"/>
  <c r="F221" i="209" s="1"/>
  <c r="I221" i="209" s="1"/>
  <c r="D223" i="209"/>
  <c r="F223" i="209" s="1"/>
  <c r="I223" i="209" s="1"/>
  <c r="D222" i="209"/>
  <c r="F222" i="209" s="1"/>
  <c r="I222" i="209" s="1"/>
  <c r="K221" i="209"/>
  <c r="N221" i="209" s="1"/>
  <c r="K224" i="209"/>
  <c r="N224" i="209" s="1"/>
  <c r="K222" i="209"/>
  <c r="N222" i="209" s="1"/>
  <c r="D218" i="237"/>
  <c r="H218" i="237" s="1"/>
  <c r="D187" i="213"/>
  <c r="F187" i="213" s="1"/>
  <c r="I187" i="213" s="1"/>
  <c r="D220" i="209" l="1"/>
  <c r="F220" i="209" s="1"/>
  <c r="I220" i="209" s="1"/>
  <c r="K220" i="209"/>
  <c r="N220" i="209" s="1"/>
  <c r="K187" i="213"/>
  <c r="N187" i="213" s="1"/>
  <c r="D188" i="213"/>
  <c r="F188" i="213" s="1"/>
  <c r="I188" i="213" s="1"/>
  <c r="D190" i="209" l="1"/>
  <c r="F190" i="209" s="1"/>
  <c r="I190" i="209" s="1"/>
  <c r="D212" i="237"/>
  <c r="H212" i="237" s="1"/>
  <c r="K188" i="213"/>
  <c r="N188" i="213" s="1"/>
  <c r="D189" i="209"/>
  <c r="F189" i="209" s="1"/>
  <c r="I189" i="209" s="1"/>
  <c r="D187" i="237"/>
  <c r="H187" i="237" s="1"/>
  <c r="D188" i="237" l="1"/>
  <c r="H188" i="237" s="1"/>
  <c r="D217" i="237"/>
  <c r="H217" i="237" s="1"/>
  <c r="D219" i="209"/>
  <c r="F219" i="209" s="1"/>
  <c r="I219" i="209" s="1"/>
  <c r="D213" i="237"/>
  <c r="H213" i="237" s="1"/>
  <c r="D193" i="237"/>
  <c r="H193" i="237" s="1"/>
  <c r="D215" i="237"/>
  <c r="H215" i="237" s="1"/>
  <c r="D214" i="237"/>
  <c r="H214" i="237" s="1"/>
  <c r="D211" i="237"/>
  <c r="H211" i="237" s="1"/>
  <c r="D216" i="237"/>
  <c r="H216" i="237" s="1"/>
  <c r="D207" i="237"/>
  <c r="H207" i="237" s="1"/>
  <c r="D206" i="237"/>
  <c r="H206" i="237" s="1"/>
  <c r="K190" i="209"/>
  <c r="N190" i="209" s="1"/>
  <c r="D191" i="237"/>
  <c r="H191" i="237" s="1"/>
  <c r="K189" i="209"/>
  <c r="N189" i="209" s="1"/>
  <c r="D213" i="209" l="1"/>
  <c r="F213" i="209" s="1"/>
  <c r="I213" i="209" s="1"/>
  <c r="D214" i="209"/>
  <c r="F214" i="209" s="1"/>
  <c r="I214" i="209" s="1"/>
  <c r="D218" i="209"/>
  <c r="F218" i="209" s="1"/>
  <c r="I218" i="209" s="1"/>
  <c r="K215" i="209"/>
  <c r="N215" i="209" s="1"/>
  <c r="D215" i="209"/>
  <c r="F215" i="209" s="1"/>
  <c r="I215" i="209" s="1"/>
  <c r="K217" i="209"/>
  <c r="N217" i="209" s="1"/>
  <c r="K219" i="209"/>
  <c r="N219" i="209" s="1"/>
  <c r="D203" i="237"/>
  <c r="H203" i="237" s="1"/>
  <c r="D204" i="237"/>
  <c r="H204" i="237" s="1"/>
  <c r="D205" i="237"/>
  <c r="H205" i="237" s="1"/>
  <c r="K214" i="209"/>
  <c r="N214" i="209" s="1"/>
  <c r="D202" i="237"/>
  <c r="H202" i="237" s="1"/>
  <c r="D201" i="237"/>
  <c r="H201" i="237" s="1"/>
  <c r="K213" i="209"/>
  <c r="N213" i="209" s="1"/>
  <c r="K218" i="209"/>
  <c r="N218" i="209" s="1"/>
  <c r="D192" i="237"/>
  <c r="H192" i="237" s="1"/>
  <c r="D208" i="237"/>
  <c r="H208" i="237" s="1"/>
  <c r="D209" i="209" l="1"/>
  <c r="F209" i="209" s="1"/>
  <c r="I209" i="209" s="1"/>
  <c r="D216" i="209"/>
  <c r="F216" i="209" s="1"/>
  <c r="I216" i="209" s="1"/>
  <c r="D194" i="209"/>
  <c r="F194" i="209" s="1"/>
  <c r="I194" i="209" s="1"/>
  <c r="D206" i="209"/>
  <c r="F206" i="209" s="1"/>
  <c r="I206" i="209" s="1"/>
  <c r="D208" i="209"/>
  <c r="F208" i="209" s="1"/>
  <c r="I208" i="209" s="1"/>
  <c r="D195" i="209"/>
  <c r="F195" i="209" s="1"/>
  <c r="I195" i="209" s="1"/>
  <c r="D210" i="209"/>
  <c r="F210" i="209" s="1"/>
  <c r="I210" i="209" s="1"/>
  <c r="D207" i="209"/>
  <c r="F207" i="209" s="1"/>
  <c r="I207" i="209" s="1"/>
  <c r="D205" i="209"/>
  <c r="F205" i="209" s="1"/>
  <c r="I205" i="209" s="1"/>
  <c r="D217" i="209"/>
  <c r="F217" i="209" s="1"/>
  <c r="I217" i="209" s="1"/>
  <c r="K204" i="209"/>
  <c r="N204" i="209" s="1"/>
  <c r="K195" i="209"/>
  <c r="N195" i="209" s="1"/>
  <c r="K205" i="209"/>
  <c r="N205" i="209" s="1"/>
  <c r="K194" i="209"/>
  <c r="N194" i="209" s="1"/>
  <c r="K210" i="209"/>
  <c r="N210" i="209" s="1"/>
  <c r="D210" i="237"/>
  <c r="H210" i="237" s="1"/>
  <c r="K208" i="209"/>
  <c r="N208" i="209" s="1"/>
  <c r="K207" i="209"/>
  <c r="N207" i="209" s="1"/>
  <c r="D195" i="237"/>
  <c r="H195" i="237" s="1"/>
  <c r="D194" i="237"/>
  <c r="H194" i="237" s="1"/>
  <c r="K206" i="209"/>
  <c r="N206" i="209" s="1"/>
  <c r="D200" i="237"/>
  <c r="H200" i="237" s="1"/>
  <c r="K216" i="209"/>
  <c r="N216" i="209" s="1"/>
  <c r="K209" i="209"/>
  <c r="N209" i="209" s="1"/>
  <c r="D193" i="209"/>
  <c r="F193" i="209" s="1"/>
  <c r="I193" i="209" s="1"/>
  <c r="D202" i="209" l="1"/>
  <c r="F202" i="209" s="1"/>
  <c r="I202" i="209" s="1"/>
  <c r="D203" i="209"/>
  <c r="F203" i="209" s="1"/>
  <c r="I203" i="209" s="1"/>
  <c r="D204" i="209"/>
  <c r="F204" i="209" s="1"/>
  <c r="I204" i="209" s="1"/>
  <c r="K203" i="209"/>
  <c r="N203" i="209" s="1"/>
  <c r="D199" i="237"/>
  <c r="H199" i="237" s="1"/>
  <c r="D198" i="237"/>
  <c r="H198" i="237" s="1"/>
  <c r="K202" i="209"/>
  <c r="N202" i="209" s="1"/>
  <c r="K212" i="209"/>
  <c r="N212" i="209" s="1"/>
  <c r="D209" i="237"/>
  <c r="H209" i="237" s="1"/>
  <c r="D197" i="237"/>
  <c r="H197" i="237" s="1"/>
  <c r="K193" i="209"/>
  <c r="N193" i="209" s="1"/>
  <c r="D212" i="209" l="1"/>
  <c r="F212" i="209" s="1"/>
  <c r="I212" i="209" s="1"/>
  <c r="D196" i="209"/>
  <c r="F196" i="209" s="1"/>
  <c r="I196" i="209" s="1"/>
  <c r="D211" i="209"/>
  <c r="F211" i="209" s="1"/>
  <c r="I211" i="209" s="1"/>
  <c r="D197" i="209"/>
  <c r="F197" i="209" s="1"/>
  <c r="I197" i="209" s="1"/>
  <c r="K197" i="209"/>
  <c r="N197" i="209" s="1"/>
  <c r="K211" i="209"/>
  <c r="N211" i="209" s="1"/>
  <c r="K196" i="209"/>
  <c r="N196" i="209" s="1"/>
  <c r="D200" i="209" l="1"/>
  <c r="F200" i="209" s="1"/>
  <c r="I200" i="209" s="1"/>
  <c r="D199" i="209"/>
  <c r="F199" i="209" s="1"/>
  <c r="I199" i="209" s="1"/>
  <c r="D201" i="209"/>
  <c r="F201" i="209" s="1"/>
  <c r="I201" i="209" s="1"/>
  <c r="K201" i="209"/>
  <c r="N201" i="209" s="1"/>
  <c r="D196" i="237"/>
  <c r="H196" i="237" s="1"/>
  <c r="K200" i="209"/>
  <c r="N200" i="209" s="1"/>
  <c r="K199" i="209"/>
  <c r="N199" i="209" s="1"/>
  <c r="D198" i="209" l="1"/>
  <c r="F198" i="209" s="1"/>
  <c r="I198" i="209" s="1"/>
  <c r="K198" i="209"/>
  <c r="N198" i="209" s="1"/>
  <c r="D16" i="207" l="1"/>
  <c r="F16" i="207" l="1"/>
  <c r="K16" i="207"/>
  <c r="N16" i="207" l="1"/>
  <c r="I16" i="207"/>
  <c r="D16" i="236" l="1"/>
  <c r="F16" i="236" l="1"/>
  <c r="K16" i="236"/>
  <c r="N16" i="236" l="1"/>
  <c r="I16" i="236"/>
  <c r="D101" i="207" l="1"/>
  <c r="F101" i="207" s="1"/>
  <c r="I101" i="207" s="1"/>
  <c r="D103" i="207"/>
  <c r="F103" i="207" s="1"/>
  <c r="I103" i="207" s="1"/>
  <c r="D99" i="207" l="1"/>
  <c r="F99" i="207" s="1"/>
  <c r="I99" i="207" s="1"/>
  <c r="K103" i="207"/>
  <c r="N103" i="207" s="1"/>
  <c r="D97" i="207"/>
  <c r="F97" i="207" s="1"/>
  <c r="I97" i="207" s="1"/>
  <c r="D100" i="207"/>
  <c r="F100" i="207" s="1"/>
  <c r="I100" i="207" s="1"/>
  <c r="D102" i="207"/>
  <c r="F102" i="207" s="1"/>
  <c r="I102" i="207" s="1"/>
  <c r="D98" i="207"/>
  <c r="F98" i="207" s="1"/>
  <c r="I98" i="207" s="1"/>
  <c r="K101" i="207"/>
  <c r="N101" i="207" s="1"/>
  <c r="K99" i="207" l="1"/>
  <c r="N99" i="207" s="1"/>
  <c r="K100" i="207"/>
  <c r="N100" i="207" s="1"/>
  <c r="K98" i="207"/>
  <c r="N98" i="207" s="1"/>
  <c r="K102" i="207"/>
  <c r="N102" i="207" s="1"/>
  <c r="K97" i="207"/>
  <c r="N97" i="207" s="1"/>
  <c r="D55" i="207"/>
  <c r="F55" i="207" s="1"/>
  <c r="I55" i="207" s="1"/>
  <c r="D51" i="207"/>
  <c r="F51" i="207" s="1"/>
  <c r="I51" i="207" s="1"/>
  <c r="D64" i="207" l="1"/>
  <c r="F64" i="207" s="1"/>
  <c r="I64" i="207" s="1"/>
  <c r="D43" i="207"/>
  <c r="F43" i="207" s="1"/>
  <c r="I43" i="207" s="1"/>
  <c r="D81" i="207"/>
  <c r="F81" i="207" s="1"/>
  <c r="I81" i="207" s="1"/>
  <c r="D57" i="207"/>
  <c r="F57" i="207" s="1"/>
  <c r="I57" i="207" s="1"/>
  <c r="D37" i="207"/>
  <c r="F37" i="207" s="1"/>
  <c r="I37" i="207" s="1"/>
  <c r="D36" i="207"/>
  <c r="F36" i="207" s="1"/>
  <c r="I36" i="207" s="1"/>
  <c r="D73" i="207"/>
  <c r="F73" i="207" s="1"/>
  <c r="I73" i="207" s="1"/>
  <c r="D72" i="207"/>
  <c r="F72" i="207" s="1"/>
  <c r="I72" i="207" s="1"/>
  <c r="D92" i="207"/>
  <c r="F92" i="207" s="1"/>
  <c r="I92" i="207" s="1"/>
  <c r="D79" i="207"/>
  <c r="F79" i="207" s="1"/>
  <c r="I79" i="207" s="1"/>
  <c r="D83" i="207"/>
  <c r="F83" i="207" s="1"/>
  <c r="I83" i="207" s="1"/>
  <c r="D94" i="207"/>
  <c r="F94" i="207" s="1"/>
  <c r="I94" i="207" s="1"/>
  <c r="D17" i="207"/>
  <c r="D111" i="207"/>
  <c r="F111" i="207" s="1"/>
  <c r="I111" i="207" s="1"/>
  <c r="D52" i="207"/>
  <c r="F52" i="207" s="1"/>
  <c r="I52" i="207" s="1"/>
  <c r="D40" i="207"/>
  <c r="F40" i="207" s="1"/>
  <c r="I40" i="207" s="1"/>
  <c r="D66" i="207"/>
  <c r="F66" i="207" s="1"/>
  <c r="I66" i="207" s="1"/>
  <c r="K55" i="207"/>
  <c r="N55" i="207" s="1"/>
  <c r="K51" i="207"/>
  <c r="N51" i="207" s="1"/>
  <c r="D113" i="207"/>
  <c r="F113" i="207" s="1"/>
  <c r="I113" i="207" s="1"/>
  <c r="D31" i="207"/>
  <c r="F31" i="207" s="1"/>
  <c r="I31" i="207" s="1"/>
  <c r="D41" i="207"/>
  <c r="F41" i="207" s="1"/>
  <c r="I41" i="207" s="1"/>
  <c r="D42" i="207"/>
  <c r="F42" i="207" s="1"/>
  <c r="I42" i="207" s="1"/>
  <c r="D44" i="207"/>
  <c r="F44" i="207" s="1"/>
  <c r="I44" i="207" s="1"/>
  <c r="D77" i="207"/>
  <c r="F77" i="207" s="1"/>
  <c r="I77" i="207" s="1"/>
  <c r="D71" i="207"/>
  <c r="F71" i="207" s="1"/>
  <c r="I71" i="207" s="1"/>
  <c r="D45" i="207"/>
  <c r="F45" i="207" s="1"/>
  <c r="I45" i="207" s="1"/>
  <c r="F17" i="207" l="1"/>
  <c r="D19" i="207"/>
  <c r="K45" i="207"/>
  <c r="N45" i="207" s="1"/>
  <c r="K36" i="207"/>
  <c r="N36" i="207" s="1"/>
  <c r="K43" i="207"/>
  <c r="N43" i="207" s="1"/>
  <c r="K42" i="207"/>
  <c r="N42" i="207" s="1"/>
  <c r="K111" i="207"/>
  <c r="N111" i="207" s="1"/>
  <c r="K72" i="207"/>
  <c r="N72" i="207" s="1"/>
  <c r="K64" i="207"/>
  <c r="N64" i="207" s="1"/>
  <c r="D73" i="236"/>
  <c r="F73" i="236" s="1"/>
  <c r="I73" i="236" s="1"/>
  <c r="D79" i="236"/>
  <c r="F79" i="236" s="1"/>
  <c r="I79" i="236" s="1"/>
  <c r="D55" i="236"/>
  <c r="F55" i="236" s="1"/>
  <c r="I55" i="236" s="1"/>
  <c r="D50" i="207"/>
  <c r="K52" i="207"/>
  <c r="N52" i="207" s="1"/>
  <c r="D91" i="207"/>
  <c r="F91" i="207" s="1"/>
  <c r="I91" i="207" s="1"/>
  <c r="K94" i="207"/>
  <c r="N94" i="207" s="1"/>
  <c r="K79" i="207"/>
  <c r="N79" i="207" s="1"/>
  <c r="K92" i="207"/>
  <c r="N92" i="207" s="1"/>
  <c r="D69" i="207"/>
  <c r="F69" i="207" s="1"/>
  <c r="I69" i="207" s="1"/>
  <c r="D76" i="207"/>
  <c r="F76" i="207" s="1"/>
  <c r="I76" i="207" s="1"/>
  <c r="D53" i="207"/>
  <c r="F53" i="207" s="1"/>
  <c r="I53" i="207" s="1"/>
  <c r="D112" i="207"/>
  <c r="F112" i="207" s="1"/>
  <c r="I112" i="207" s="1"/>
  <c r="D22" i="207"/>
  <c r="D70" i="207"/>
  <c r="F70" i="207" s="1"/>
  <c r="I70" i="207" s="1"/>
  <c r="K71" i="207"/>
  <c r="N71" i="207" s="1"/>
  <c r="K44" i="207"/>
  <c r="N44" i="207" s="1"/>
  <c r="D78" i="207"/>
  <c r="F78" i="207" s="1"/>
  <c r="I78" i="207" s="1"/>
  <c r="D35" i="207"/>
  <c r="F35" i="207" s="1"/>
  <c r="I35" i="207" s="1"/>
  <c r="D24" i="207"/>
  <c r="F24" i="207" s="1"/>
  <c r="I24" i="207" s="1"/>
  <c r="D84" i="207"/>
  <c r="F84" i="207" s="1"/>
  <c r="I84" i="207" s="1"/>
  <c r="D68" i="207"/>
  <c r="F68" i="207" s="1"/>
  <c r="I68" i="207" s="1"/>
  <c r="K66" i="207"/>
  <c r="N66" i="207" s="1"/>
  <c r="D63" i="207"/>
  <c r="D89" i="207"/>
  <c r="K17" i="207"/>
  <c r="D23" i="207"/>
  <c r="F23" i="207" s="1"/>
  <c r="I23" i="207" s="1"/>
  <c r="D32" i="207"/>
  <c r="F32" i="207" s="1"/>
  <c r="I32" i="207" s="1"/>
  <c r="D34" i="207"/>
  <c r="F34" i="207" s="1"/>
  <c r="I34" i="207" s="1"/>
  <c r="D80" i="207"/>
  <c r="F80" i="207" s="1"/>
  <c r="I80" i="207" s="1"/>
  <c r="K41" i="207"/>
  <c r="N41" i="207" s="1"/>
  <c r="D65" i="207"/>
  <c r="F65" i="207" s="1"/>
  <c r="I65" i="207" s="1"/>
  <c r="K31" i="207"/>
  <c r="N31" i="207" s="1"/>
  <c r="D67" i="207"/>
  <c r="F67" i="207" s="1"/>
  <c r="I67" i="207" s="1"/>
  <c r="D58" i="207"/>
  <c r="F58" i="207" s="1"/>
  <c r="I58" i="207" s="1"/>
  <c r="D110" i="207"/>
  <c r="F110" i="207" s="1"/>
  <c r="I110" i="207" s="1"/>
  <c r="D95" i="207"/>
  <c r="F95" i="207" s="1"/>
  <c r="I95" i="207" s="1"/>
  <c r="D93" i="207"/>
  <c r="F93" i="207" s="1"/>
  <c r="I93" i="207" s="1"/>
  <c r="K77" i="207"/>
  <c r="N77" i="207" s="1"/>
  <c r="D82" i="207"/>
  <c r="F82" i="207" s="1"/>
  <c r="I82" i="207" s="1"/>
  <c r="D54" i="207"/>
  <c r="F54" i="207" s="1"/>
  <c r="I54" i="207" s="1"/>
  <c r="D90" i="207"/>
  <c r="F90" i="207" s="1"/>
  <c r="I90" i="207" s="1"/>
  <c r="K83" i="207"/>
  <c r="N83" i="207" s="1"/>
  <c r="D38" i="207"/>
  <c r="F38" i="207" s="1"/>
  <c r="I38" i="207" s="1"/>
  <c r="D39" i="207"/>
  <c r="F39" i="207" s="1"/>
  <c r="I39" i="207" s="1"/>
  <c r="K37" i="207"/>
  <c r="N37" i="207" s="1"/>
  <c r="D30" i="207"/>
  <c r="F30" i="207" s="1"/>
  <c r="I30" i="207" s="1"/>
  <c r="K113" i="207"/>
  <c r="N113" i="207" s="1"/>
  <c r="K40" i="207"/>
  <c r="N40" i="207" s="1"/>
  <c r="D107" i="207"/>
  <c r="F107" i="207" s="1"/>
  <c r="I107" i="207" s="1"/>
  <c r="D29" i="207"/>
  <c r="K73" i="207"/>
  <c r="N73" i="207" s="1"/>
  <c r="D33" i="207"/>
  <c r="F33" i="207" s="1"/>
  <c r="I33" i="207" s="1"/>
  <c r="K57" i="207"/>
  <c r="N57" i="207" s="1"/>
  <c r="K81" i="207"/>
  <c r="N81" i="207" s="1"/>
  <c r="D106" i="207"/>
  <c r="F106" i="207" s="1"/>
  <c r="I106" i="207" s="1"/>
  <c r="F89" i="207" l="1"/>
  <c r="D115" i="207"/>
  <c r="F22" i="207"/>
  <c r="D26" i="207"/>
  <c r="F63" i="207"/>
  <c r="D86" i="207"/>
  <c r="I17" i="207"/>
  <c r="I19" i="207" s="1"/>
  <c r="F19" i="207"/>
  <c r="D47" i="207"/>
  <c r="F29" i="207"/>
  <c r="N17" i="207"/>
  <c r="N19" i="207" s="1"/>
  <c r="K19" i="207"/>
  <c r="D60" i="207"/>
  <c r="F50" i="207"/>
  <c r="D109" i="236"/>
  <c r="F109" i="236" s="1"/>
  <c r="I109" i="236" s="1"/>
  <c r="D110" i="236"/>
  <c r="F110" i="236" s="1"/>
  <c r="I110" i="236" s="1"/>
  <c r="K30" i="207"/>
  <c r="N30" i="207" s="1"/>
  <c r="K91" i="207"/>
  <c r="N91" i="207" s="1"/>
  <c r="K107" i="207"/>
  <c r="N107" i="207" s="1"/>
  <c r="K93" i="207"/>
  <c r="N93" i="207" s="1"/>
  <c r="K70" i="207"/>
  <c r="N70" i="207" s="1"/>
  <c r="K69" i="207"/>
  <c r="N69" i="207" s="1"/>
  <c r="K106" i="207"/>
  <c r="N106" i="207" s="1"/>
  <c r="K110" i="207"/>
  <c r="N110" i="207" s="1"/>
  <c r="D30" i="236"/>
  <c r="F30" i="236" s="1"/>
  <c r="I30" i="236" s="1"/>
  <c r="D63" i="236"/>
  <c r="D69" i="236"/>
  <c r="F69" i="236" s="1"/>
  <c r="I69" i="236" s="1"/>
  <c r="D41" i="236"/>
  <c r="F41" i="236" s="1"/>
  <c r="I41" i="236" s="1"/>
  <c r="D43" i="236"/>
  <c r="F43" i="236" s="1"/>
  <c r="I43" i="236" s="1"/>
  <c r="D67" i="236"/>
  <c r="F67" i="236" s="1"/>
  <c r="I67" i="236" s="1"/>
  <c r="D23" i="236"/>
  <c r="F23" i="236" s="1"/>
  <c r="I23" i="236" s="1"/>
  <c r="D65" i="236"/>
  <c r="F65" i="236" s="1"/>
  <c r="I65" i="236" s="1"/>
  <c r="D89" i="236"/>
  <c r="D34" i="236"/>
  <c r="F34" i="236" s="1"/>
  <c r="I34" i="236" s="1"/>
  <c r="D82" i="236"/>
  <c r="F82" i="236" s="1"/>
  <c r="I82" i="236" s="1"/>
  <c r="D70" i="236"/>
  <c r="F70" i="236" s="1"/>
  <c r="I70" i="236" s="1"/>
  <c r="D58" i="236"/>
  <c r="F58" i="236" s="1"/>
  <c r="I58" i="236" s="1"/>
  <c r="D53" i="236"/>
  <c r="F53" i="236" s="1"/>
  <c r="I53" i="236" s="1"/>
  <c r="D68" i="236"/>
  <c r="F68" i="236" s="1"/>
  <c r="I68" i="236" s="1"/>
  <c r="D31" i="236"/>
  <c r="F31" i="236" s="1"/>
  <c r="I31" i="236" s="1"/>
  <c r="D36" i="236"/>
  <c r="F36" i="236" s="1"/>
  <c r="I36" i="236" s="1"/>
  <c r="D50" i="236"/>
  <c r="D44" i="236"/>
  <c r="F44" i="236" s="1"/>
  <c r="I44" i="236" s="1"/>
  <c r="D90" i="236"/>
  <c r="F90" i="236" s="1"/>
  <c r="I90" i="236" s="1"/>
  <c r="D80" i="236"/>
  <c r="F80" i="236" s="1"/>
  <c r="I80" i="236" s="1"/>
  <c r="D76" i="236"/>
  <c r="F76" i="236" s="1"/>
  <c r="I76" i="236" s="1"/>
  <c r="D95" i="236"/>
  <c r="F95" i="236" s="1"/>
  <c r="I95" i="236" s="1"/>
  <c r="D29" i="236"/>
  <c r="D78" i="236"/>
  <c r="F78" i="236" s="1"/>
  <c r="I78" i="236" s="1"/>
  <c r="D91" i="236"/>
  <c r="F91" i="236" s="1"/>
  <c r="I91" i="236" s="1"/>
  <c r="D33" i="236"/>
  <c r="F33" i="236" s="1"/>
  <c r="I33" i="236" s="1"/>
  <c r="D32" i="236"/>
  <c r="F32" i="236" s="1"/>
  <c r="I32" i="236" s="1"/>
  <c r="D39" i="236"/>
  <c r="F39" i="236" s="1"/>
  <c r="I39" i="236" s="1"/>
  <c r="D38" i="236"/>
  <c r="F38" i="236" s="1"/>
  <c r="I38" i="236" s="1"/>
  <c r="D35" i="236"/>
  <c r="F35" i="236" s="1"/>
  <c r="I35" i="236" s="1"/>
  <c r="D93" i="236"/>
  <c r="F93" i="236" s="1"/>
  <c r="I93" i="236" s="1"/>
  <c r="D54" i="236"/>
  <c r="F54" i="236" s="1"/>
  <c r="I54" i="236" s="1"/>
  <c r="D42" i="236"/>
  <c r="F42" i="236" s="1"/>
  <c r="I42" i="236" s="1"/>
  <c r="D37" i="236"/>
  <c r="F37" i="236" s="1"/>
  <c r="I37" i="236" s="1"/>
  <c r="D45" i="236"/>
  <c r="F45" i="236" s="1"/>
  <c r="I45" i="236" s="1"/>
  <c r="D83" i="236"/>
  <c r="F83" i="236" s="1"/>
  <c r="I83" i="236" s="1"/>
  <c r="D66" i="236"/>
  <c r="F66" i="236" s="1"/>
  <c r="I66" i="236" s="1"/>
  <c r="K55" i="236"/>
  <c r="N55" i="236" s="1"/>
  <c r="D40" i="236"/>
  <c r="F40" i="236" s="1"/>
  <c r="I40" i="236" s="1"/>
  <c r="K79" i="236"/>
  <c r="N79" i="236" s="1"/>
  <c r="K73" i="236"/>
  <c r="N73" i="236" s="1"/>
  <c r="D24" i="236"/>
  <c r="F24" i="236" s="1"/>
  <c r="I24" i="236" s="1"/>
  <c r="D51" i="236"/>
  <c r="F51" i="236" s="1"/>
  <c r="I51" i="236" s="1"/>
  <c r="K38" i="207"/>
  <c r="N38" i="207" s="1"/>
  <c r="K54" i="207"/>
  <c r="N54" i="207" s="1"/>
  <c r="K67" i="207"/>
  <c r="N67" i="207" s="1"/>
  <c r="K23" i="207"/>
  <c r="N23" i="207" s="1"/>
  <c r="K63" i="207"/>
  <c r="K78" i="207"/>
  <c r="N78" i="207" s="1"/>
  <c r="K112" i="207"/>
  <c r="N112" i="207" s="1"/>
  <c r="K50" i="207"/>
  <c r="K95" i="207"/>
  <c r="N95" i="207" s="1"/>
  <c r="K39" i="207"/>
  <c r="N39" i="207" s="1"/>
  <c r="K90" i="207"/>
  <c r="N90" i="207" s="1"/>
  <c r="K35" i="207"/>
  <c r="N35" i="207" s="1"/>
  <c r="K22" i="207"/>
  <c r="K76" i="207"/>
  <c r="N76" i="207" s="1"/>
  <c r="K58" i="207"/>
  <c r="N58" i="207" s="1"/>
  <c r="K33" i="207"/>
  <c r="N33" i="207" s="1"/>
  <c r="K65" i="207"/>
  <c r="N65" i="207" s="1"/>
  <c r="K68" i="207"/>
  <c r="N68" i="207" s="1"/>
  <c r="K29" i="207"/>
  <c r="K82" i="207"/>
  <c r="N82" i="207" s="1"/>
  <c r="K80" i="207"/>
  <c r="N80" i="207" s="1"/>
  <c r="K34" i="207"/>
  <c r="N34" i="207" s="1"/>
  <c r="K32" i="207"/>
  <c r="N32" i="207" s="1"/>
  <c r="K89" i="207"/>
  <c r="K84" i="207"/>
  <c r="N84" i="207" s="1"/>
  <c r="K24" i="207"/>
  <c r="N24" i="207" s="1"/>
  <c r="K53" i="207"/>
  <c r="N53" i="207" s="1"/>
  <c r="D117" i="207" l="1"/>
  <c r="H17" i="10"/>
  <c r="N29" i="207"/>
  <c r="N47" i="207" s="1"/>
  <c r="K47" i="207"/>
  <c r="K26" i="207"/>
  <c r="N22" i="207"/>
  <c r="N26" i="207" s="1"/>
  <c r="N50" i="207"/>
  <c r="N60" i="207" s="1"/>
  <c r="K60" i="207"/>
  <c r="F50" i="236"/>
  <c r="F63" i="236"/>
  <c r="I29" i="207"/>
  <c r="I47" i="207" s="1"/>
  <c r="H19" i="10" s="1"/>
  <c r="F47" i="207"/>
  <c r="I22" i="207"/>
  <c r="I26" i="207" s="1"/>
  <c r="H18" i="10" s="1"/>
  <c r="F26" i="207"/>
  <c r="K86" i="207"/>
  <c r="N63" i="207"/>
  <c r="N86" i="207" s="1"/>
  <c r="F89" i="236"/>
  <c r="F86" i="207"/>
  <c r="I63" i="207"/>
  <c r="I86" i="207" s="1"/>
  <c r="H21" i="10" s="1"/>
  <c r="K115" i="207"/>
  <c r="N89" i="207"/>
  <c r="N115" i="207" s="1"/>
  <c r="F29" i="236"/>
  <c r="D47" i="236"/>
  <c r="F60" i="207"/>
  <c r="I50" i="207"/>
  <c r="I60" i="207" s="1"/>
  <c r="H20" i="10" s="1"/>
  <c r="I89" i="207"/>
  <c r="I115" i="207" s="1"/>
  <c r="F115" i="207"/>
  <c r="K109" i="236"/>
  <c r="N109" i="236" s="1"/>
  <c r="K54" i="236"/>
  <c r="N54" i="236" s="1"/>
  <c r="K36" i="236"/>
  <c r="N36" i="236" s="1"/>
  <c r="K31" i="236"/>
  <c r="N31" i="236" s="1"/>
  <c r="K65" i="236"/>
  <c r="N65" i="236" s="1"/>
  <c r="K41" i="236"/>
  <c r="N41" i="236" s="1"/>
  <c r="K33" i="236"/>
  <c r="N33" i="236" s="1"/>
  <c r="K44" i="236"/>
  <c r="N44" i="236" s="1"/>
  <c r="K23" i="236"/>
  <c r="N23" i="236" s="1"/>
  <c r="K30" i="236"/>
  <c r="N30" i="236" s="1"/>
  <c r="K63" i="236"/>
  <c r="K42" i="236"/>
  <c r="N42" i="236" s="1"/>
  <c r="K43" i="236"/>
  <c r="N43" i="236" s="1"/>
  <c r="K37" i="236"/>
  <c r="N37" i="236" s="1"/>
  <c r="D52" i="236"/>
  <c r="F52" i="236" s="1"/>
  <c r="I52" i="236" s="1"/>
  <c r="D92" i="236"/>
  <c r="F92" i="236" s="1"/>
  <c r="I92" i="236" s="1"/>
  <c r="D81" i="236"/>
  <c r="F81" i="236" s="1"/>
  <c r="I81" i="236" s="1"/>
  <c r="D94" i="236"/>
  <c r="F94" i="236" s="1"/>
  <c r="I94" i="236" s="1"/>
  <c r="D64" i="236"/>
  <c r="F64" i="236" s="1"/>
  <c r="I64" i="236" s="1"/>
  <c r="K45" i="236"/>
  <c r="N45" i="236" s="1"/>
  <c r="K83" i="236"/>
  <c r="N83" i="236" s="1"/>
  <c r="K66" i="236"/>
  <c r="N66" i="236" s="1"/>
  <c r="D77" i="236"/>
  <c r="F77" i="236" s="1"/>
  <c r="I77" i="236" s="1"/>
  <c r="K53" i="236"/>
  <c r="N53" i="236" s="1"/>
  <c r="K78" i="236"/>
  <c r="N78" i="236" s="1"/>
  <c r="K24" i="236"/>
  <c r="N24" i="236" s="1"/>
  <c r="K95" i="236"/>
  <c r="N95" i="236" s="1"/>
  <c r="K50" i="236"/>
  <c r="K90" i="236"/>
  <c r="N90" i="236" s="1"/>
  <c r="K91" i="236"/>
  <c r="N91" i="236" s="1"/>
  <c r="K82" i="236"/>
  <c r="N82" i="236" s="1"/>
  <c r="K29" i="236"/>
  <c r="K32" i="236"/>
  <c r="N32" i="236" s="1"/>
  <c r="K68" i="236"/>
  <c r="N68" i="236" s="1"/>
  <c r="K51" i="236"/>
  <c r="N51" i="236" s="1"/>
  <c r="K40" i="236"/>
  <c r="N40" i="236" s="1"/>
  <c r="K70" i="236"/>
  <c r="N70" i="236" s="1"/>
  <c r="K69" i="236"/>
  <c r="N69" i="236" s="1"/>
  <c r="K80" i="236"/>
  <c r="N80" i="236" s="1"/>
  <c r="K76" i="236"/>
  <c r="N76" i="236" s="1"/>
  <c r="K93" i="236"/>
  <c r="N93" i="236" s="1"/>
  <c r="D111" i="236"/>
  <c r="F111" i="236" s="1"/>
  <c r="I111" i="236" s="1"/>
  <c r="K34" i="236"/>
  <c r="N34" i="236" s="1"/>
  <c r="K58" i="236"/>
  <c r="N58" i="236" s="1"/>
  <c r="K89" i="236"/>
  <c r="K35" i="236"/>
  <c r="N35" i="236" s="1"/>
  <c r="K38" i="236"/>
  <c r="N38" i="236" s="1"/>
  <c r="K67" i="236"/>
  <c r="N67" i="236" s="1"/>
  <c r="K39" i="236"/>
  <c r="N39" i="236" s="1"/>
  <c r="K110" i="236"/>
  <c r="N110" i="236" s="1"/>
  <c r="K117" i="207" l="1"/>
  <c r="N117" i="207"/>
  <c r="F117" i="207"/>
  <c r="K47" i="236"/>
  <c r="N29" i="236"/>
  <c r="N47" i="236" s="1"/>
  <c r="I89" i="236"/>
  <c r="N63" i="236"/>
  <c r="F47" i="236"/>
  <c r="I29" i="236"/>
  <c r="I47" i="236" s="1"/>
  <c r="I63" i="236"/>
  <c r="N89" i="236"/>
  <c r="I117" i="207"/>
  <c r="N50" i="236"/>
  <c r="I50" i="236"/>
  <c r="K77" i="236"/>
  <c r="N77" i="236" s="1"/>
  <c r="K64" i="236"/>
  <c r="N64" i="236" s="1"/>
  <c r="D100" i="236"/>
  <c r="F100" i="236" s="1"/>
  <c r="I100" i="236" s="1"/>
  <c r="D98" i="236"/>
  <c r="F98" i="236" s="1"/>
  <c r="I98" i="236" s="1"/>
  <c r="D105" i="236"/>
  <c r="F105" i="236" s="1"/>
  <c r="I105" i="236" s="1"/>
  <c r="D103" i="236"/>
  <c r="F103" i="236" s="1"/>
  <c r="I103" i="236" s="1"/>
  <c r="D99" i="236"/>
  <c r="F99" i="236" s="1"/>
  <c r="I99" i="236" s="1"/>
  <c r="D112" i="236"/>
  <c r="F112" i="236" s="1"/>
  <c r="I112" i="236" s="1"/>
  <c r="D102" i="236"/>
  <c r="F102" i="236" s="1"/>
  <c r="I102" i="236" s="1"/>
  <c r="K81" i="236"/>
  <c r="N81" i="236" s="1"/>
  <c r="K52" i="236"/>
  <c r="N52" i="236" s="1"/>
  <c r="K92" i="236"/>
  <c r="N92" i="236" s="1"/>
  <c r="K94" i="236"/>
  <c r="N94" i="236" s="1"/>
  <c r="D57" i="236"/>
  <c r="F57" i="236" s="1"/>
  <c r="I57" i="236" s="1"/>
  <c r="D84" i="236"/>
  <c r="F84" i="236" s="1"/>
  <c r="I84" i="236" s="1"/>
  <c r="D22" i="236"/>
  <c r="K111" i="236"/>
  <c r="N111" i="236" s="1"/>
  <c r="D26" i="236" l="1"/>
  <c r="F22" i="236"/>
  <c r="F60" i="236"/>
  <c r="I60" i="236"/>
  <c r="D60" i="236"/>
  <c r="K22" i="236"/>
  <c r="K105" i="236"/>
  <c r="N105" i="236" s="1"/>
  <c r="K100" i="236"/>
  <c r="N100" i="236" s="1"/>
  <c r="D113" i="236"/>
  <c r="F113" i="236" s="1"/>
  <c r="I113" i="236" s="1"/>
  <c r="K99" i="236"/>
  <c r="N99" i="236" s="1"/>
  <c r="K103" i="236"/>
  <c r="N103" i="236" s="1"/>
  <c r="K112" i="236"/>
  <c r="N112" i="236" s="1"/>
  <c r="D101" i="236"/>
  <c r="F101" i="236" s="1"/>
  <c r="I101" i="236" s="1"/>
  <c r="D107" i="236"/>
  <c r="F107" i="236" s="1"/>
  <c r="I107" i="236" s="1"/>
  <c r="K102" i="236"/>
  <c r="N102" i="236" s="1"/>
  <c r="K98" i="236"/>
  <c r="N98" i="236" s="1"/>
  <c r="D106" i="236"/>
  <c r="F106" i="236" s="1"/>
  <c r="I106" i="236" s="1"/>
  <c r="K57" i="236"/>
  <c r="N57" i="236" s="1"/>
  <c r="N60" i="236" s="1"/>
  <c r="K84" i="236"/>
  <c r="N84" i="236" s="1"/>
  <c r="D71" i="236"/>
  <c r="D72" i="236"/>
  <c r="F72" i="236" s="1"/>
  <c r="I72" i="236" s="1"/>
  <c r="F26" i="236" l="1"/>
  <c r="I22" i="236"/>
  <c r="I26" i="236" s="1"/>
  <c r="F71" i="236"/>
  <c r="D86" i="236"/>
  <c r="N22" i="236"/>
  <c r="N26" i="236" s="1"/>
  <c r="K26" i="236"/>
  <c r="K60" i="236"/>
  <c r="K113" i="236"/>
  <c r="N113" i="236" s="1"/>
  <c r="K101" i="236"/>
  <c r="N101" i="236" s="1"/>
  <c r="D97" i="236"/>
  <c r="K106" i="236"/>
  <c r="N106" i="236" s="1"/>
  <c r="K107" i="236"/>
  <c r="N107" i="236" s="1"/>
  <c r="K72" i="236"/>
  <c r="N72" i="236" s="1"/>
  <c r="K71" i="236"/>
  <c r="D114" i="236" l="1"/>
  <c r="F114" i="236" s="1"/>
  <c r="I114" i="236" s="1"/>
  <c r="F97" i="236"/>
  <c r="I71" i="236"/>
  <c r="I86" i="236" s="1"/>
  <c r="F86" i="236"/>
  <c r="N71" i="236"/>
  <c r="N86" i="236" s="1"/>
  <c r="K86" i="236"/>
  <c r="K114" i="236"/>
  <c r="N114" i="236" s="1"/>
  <c r="K97" i="236"/>
  <c r="N97" i="236" l="1"/>
  <c r="I97" i="236"/>
  <c r="D115" i="236" l="1"/>
  <c r="K115" i="236"/>
  <c r="N115" i="236" l="1"/>
  <c r="F115" i="236"/>
  <c r="D116" i="236"/>
  <c r="F116" i="236" s="1"/>
  <c r="I116" i="236" s="1"/>
  <c r="D17" i="236"/>
  <c r="F17" i="236" l="1"/>
  <c r="D19" i="236"/>
  <c r="D118" i="236"/>
  <c r="D120" i="236" s="1"/>
  <c r="I115" i="236"/>
  <c r="I118" i="236" s="1"/>
  <c r="F118" i="236"/>
  <c r="K116" i="236"/>
  <c r="K17" i="236"/>
  <c r="I17" i="236" l="1"/>
  <c r="I19" i="236" s="1"/>
  <c r="I120" i="236" s="1"/>
  <c r="F19" i="236"/>
  <c r="F120" i="236" s="1"/>
  <c r="N17" i="236"/>
  <c r="N19" i="236" s="1"/>
  <c r="K19" i="236"/>
  <c r="N116" i="236"/>
  <c r="N118" i="236" s="1"/>
  <c r="K118" i="236"/>
  <c r="H132" i="10"/>
  <c r="K120" i="236" l="1"/>
  <c r="N120" i="236"/>
  <c r="D224" i="236"/>
  <c r="F224" i="236" s="1"/>
  <c r="I224" i="236" s="1"/>
  <c r="D226" i="209" l="1"/>
  <c r="F226" i="209" s="1"/>
  <c r="I226" i="209" s="1"/>
  <c r="K224" i="236"/>
  <c r="N224" i="236" s="1"/>
  <c r="K226" i="209" l="1"/>
  <c r="N226" i="209" s="1"/>
  <c r="D186" i="207"/>
  <c r="D225" i="207" l="1"/>
  <c r="D266" i="207" s="1"/>
  <c r="F186" i="207"/>
  <c r="K186" i="207"/>
  <c r="I186" i="207" l="1"/>
  <c r="I225" i="207" s="1"/>
  <c r="F225" i="207"/>
  <c r="F266" i="207" s="1"/>
  <c r="K225" i="207"/>
  <c r="K266" i="207" s="1"/>
  <c r="N186" i="207"/>
  <c r="N225" i="207" s="1"/>
  <c r="N266" i="207" s="1"/>
  <c r="F15" i="3" s="1"/>
  <c r="I266" i="207" l="1"/>
  <c r="D15" i="3" s="1"/>
  <c r="H22" i="10"/>
  <c r="H25" i="10" s="1"/>
  <c r="D186" i="236" l="1"/>
  <c r="D226" i="236" l="1"/>
  <c r="F186" i="236"/>
  <c r="K186" i="236"/>
  <c r="K226" i="236" l="1"/>
  <c r="N186" i="236"/>
  <c r="N226" i="236" s="1"/>
  <c r="I186" i="236"/>
  <c r="I226" i="236" s="1"/>
  <c r="F226" i="236"/>
  <c r="D186" i="213" l="1"/>
  <c r="D225" i="213" l="1"/>
  <c r="F186" i="213"/>
  <c r="K186" i="213"/>
  <c r="N186" i="213" l="1"/>
  <c r="N225" i="213" s="1"/>
  <c r="K225" i="213"/>
  <c r="F225" i="213"/>
  <c r="I186" i="213"/>
  <c r="I225" i="213" s="1"/>
  <c r="D186" i="237" l="1"/>
  <c r="D188" i="209"/>
  <c r="H186" i="237" l="1"/>
  <c r="H226" i="237" s="1"/>
  <c r="D226" i="237"/>
  <c r="D228" i="209"/>
  <c r="F188" i="209"/>
  <c r="I188" i="209" s="1"/>
  <c r="K188" i="209"/>
  <c r="I228" i="209" l="1"/>
  <c r="F228" i="209"/>
  <c r="N188" i="209"/>
  <c r="N228" i="209" s="1"/>
  <c r="K228" i="209"/>
  <c r="D98" i="213" l="1"/>
  <c r="F98" i="213" s="1"/>
  <c r="I98" i="213" s="1"/>
  <c r="D97" i="213" l="1"/>
  <c r="F97" i="213" s="1"/>
  <c r="I97" i="213" s="1"/>
  <c r="D102" i="213"/>
  <c r="F102" i="213" s="1"/>
  <c r="I102" i="213" s="1"/>
  <c r="K98" i="213"/>
  <c r="N98" i="213" s="1"/>
  <c r="D99" i="213"/>
  <c r="F99" i="213" s="1"/>
  <c r="I99" i="213" s="1"/>
  <c r="D103" i="213"/>
  <c r="F103" i="213" s="1"/>
  <c r="I103" i="213" s="1"/>
  <c r="D100" i="213"/>
  <c r="F100" i="213" s="1"/>
  <c r="I100" i="213" s="1"/>
  <c r="D101" i="213"/>
  <c r="F101" i="213" s="1"/>
  <c r="I101" i="213" s="1"/>
  <c r="K100" i="213" l="1"/>
  <c r="N100" i="213" s="1"/>
  <c r="K99" i="213"/>
  <c r="N99" i="213" s="1"/>
  <c r="K102" i="213"/>
  <c r="N102" i="213" s="1"/>
  <c r="K101" i="213"/>
  <c r="N101" i="213" s="1"/>
  <c r="K97" i="213"/>
  <c r="N97" i="213" s="1"/>
  <c r="K103" i="213"/>
  <c r="N103" i="213" s="1"/>
  <c r="D113" i="213" l="1"/>
  <c r="F113" i="213" s="1"/>
  <c r="I113" i="213" s="1"/>
  <c r="D65" i="213" l="1"/>
  <c r="F65" i="213" s="1"/>
  <c r="I65" i="213" s="1"/>
  <c r="D53" i="213"/>
  <c r="F53" i="213" s="1"/>
  <c r="I53" i="213" s="1"/>
  <c r="D81" i="213"/>
  <c r="F81" i="213" s="1"/>
  <c r="I81" i="213" s="1"/>
  <c r="K113" i="213"/>
  <c r="N113" i="213" s="1"/>
  <c r="D110" i="213"/>
  <c r="F110" i="213" s="1"/>
  <c r="I110" i="213" s="1"/>
  <c r="D54" i="213"/>
  <c r="F54" i="213" s="1"/>
  <c r="I54" i="213" s="1"/>
  <c r="D93" i="213"/>
  <c r="F93" i="213" s="1"/>
  <c r="I93" i="213" s="1"/>
  <c r="D50" i="213"/>
  <c r="D91" i="213"/>
  <c r="F91" i="213" s="1"/>
  <c r="I91" i="213" s="1"/>
  <c r="D70" i="213"/>
  <c r="F70" i="213" s="1"/>
  <c r="I70" i="213" s="1"/>
  <c r="D35" i="213"/>
  <c r="F35" i="213" s="1"/>
  <c r="I35" i="213" s="1"/>
  <c r="D42" i="213"/>
  <c r="F42" i="213" s="1"/>
  <c r="I42" i="213" s="1"/>
  <c r="D95" i="213"/>
  <c r="F95" i="213" s="1"/>
  <c r="I95" i="213" s="1"/>
  <c r="D72" i="213"/>
  <c r="F72" i="213" s="1"/>
  <c r="I72" i="213" s="1"/>
  <c r="D78" i="213"/>
  <c r="F78" i="213" s="1"/>
  <c r="I78" i="213" s="1"/>
  <c r="D41" i="213"/>
  <c r="F41" i="213" s="1"/>
  <c r="I41" i="213" s="1"/>
  <c r="D17" i="213"/>
  <c r="F17" i="213" s="1"/>
  <c r="I17" i="213" s="1"/>
  <c r="D30" i="213"/>
  <c r="F30" i="213" s="1"/>
  <c r="I30" i="213" s="1"/>
  <c r="D71" i="213"/>
  <c r="F71" i="213" s="1"/>
  <c r="I71" i="213" s="1"/>
  <c r="D37" i="213"/>
  <c r="F37" i="213" s="1"/>
  <c r="I37" i="213" s="1"/>
  <c r="D31" i="213"/>
  <c r="F31" i="213" s="1"/>
  <c r="I31" i="213" s="1"/>
  <c r="D57" i="213"/>
  <c r="F57" i="213" s="1"/>
  <c r="I57" i="213" s="1"/>
  <c r="D45" i="213"/>
  <c r="F45" i="213" s="1"/>
  <c r="I45" i="213" s="1"/>
  <c r="D106" i="213"/>
  <c r="F106" i="213" s="1"/>
  <c r="I106" i="213" s="1"/>
  <c r="D22" i="213"/>
  <c r="D77" i="213"/>
  <c r="F77" i="213" s="1"/>
  <c r="I77" i="213" s="1"/>
  <c r="D55" i="213"/>
  <c r="F55" i="213" s="1"/>
  <c r="I55" i="213" s="1"/>
  <c r="D73" i="213"/>
  <c r="F73" i="213" s="1"/>
  <c r="I73" i="213" s="1"/>
  <c r="D83" i="213"/>
  <c r="F83" i="213" s="1"/>
  <c r="I83" i="213" s="1"/>
  <c r="D39" i="213"/>
  <c r="F39" i="213" s="1"/>
  <c r="I39" i="213" s="1"/>
  <c r="D16" i="213"/>
  <c r="D36" i="213"/>
  <c r="F36" i="213" s="1"/>
  <c r="I36" i="213" s="1"/>
  <c r="D84" i="213"/>
  <c r="F84" i="213" s="1"/>
  <c r="I84" i="213" s="1"/>
  <c r="D64" i="213"/>
  <c r="F64" i="213" s="1"/>
  <c r="I64" i="213" s="1"/>
  <c r="D66" i="213"/>
  <c r="F66" i="213" s="1"/>
  <c r="I66" i="213" s="1"/>
  <c r="D107" i="213"/>
  <c r="F107" i="213" s="1"/>
  <c r="I107" i="213" s="1"/>
  <c r="F22" i="213" l="1"/>
  <c r="F50" i="213"/>
  <c r="F16" i="213"/>
  <c r="D19" i="213"/>
  <c r="K54" i="213"/>
  <c r="N54" i="213" s="1"/>
  <c r="K30" i="213"/>
  <c r="N30" i="213" s="1"/>
  <c r="K93" i="213"/>
  <c r="N93" i="213" s="1"/>
  <c r="K84" i="213"/>
  <c r="N84" i="213" s="1"/>
  <c r="K37" i="213"/>
  <c r="N37" i="213" s="1"/>
  <c r="K16" i="213"/>
  <c r="K39" i="213"/>
  <c r="N39" i="213" s="1"/>
  <c r="K55" i="213"/>
  <c r="N55" i="213" s="1"/>
  <c r="K17" i="213"/>
  <c r="N17" i="213" s="1"/>
  <c r="D42" i="237"/>
  <c r="H42" i="237" s="1"/>
  <c r="K36" i="213"/>
  <c r="N36" i="213" s="1"/>
  <c r="K83" i="213"/>
  <c r="N83" i="213" s="1"/>
  <c r="D44" i="213"/>
  <c r="F44" i="213" s="1"/>
  <c r="I44" i="213" s="1"/>
  <c r="K71" i="213"/>
  <c r="N71" i="213" s="1"/>
  <c r="D90" i="213"/>
  <c r="F90" i="213" s="1"/>
  <c r="I90" i="213" s="1"/>
  <c r="K35" i="213"/>
  <c r="N35" i="213" s="1"/>
  <c r="K45" i="213"/>
  <c r="N45" i="213" s="1"/>
  <c r="K106" i="213"/>
  <c r="N106" i="213" s="1"/>
  <c r="D58" i="213"/>
  <c r="F58" i="213" s="1"/>
  <c r="I58" i="213" s="1"/>
  <c r="K78" i="213"/>
  <c r="N78" i="213" s="1"/>
  <c r="K72" i="213"/>
  <c r="N72" i="213" s="1"/>
  <c r="K42" i="213"/>
  <c r="N42" i="213" s="1"/>
  <c r="K91" i="213"/>
  <c r="N91" i="213" s="1"/>
  <c r="K110" i="213"/>
  <c r="N110" i="213" s="1"/>
  <c r="K64" i="213"/>
  <c r="N64" i="213" s="1"/>
  <c r="D67" i="213"/>
  <c r="F67" i="213" s="1"/>
  <c r="I67" i="213" s="1"/>
  <c r="D51" i="213"/>
  <c r="F51" i="213" s="1"/>
  <c r="I51" i="213" s="1"/>
  <c r="D38" i="213"/>
  <c r="F38" i="213" s="1"/>
  <c r="I38" i="213" s="1"/>
  <c r="K57" i="213"/>
  <c r="N57" i="213" s="1"/>
  <c r="D112" i="213"/>
  <c r="F112" i="213" s="1"/>
  <c r="I112" i="213" s="1"/>
  <c r="D23" i="213"/>
  <c r="F23" i="213" s="1"/>
  <c r="I23" i="213" s="1"/>
  <c r="K41" i="213"/>
  <c r="N41" i="213" s="1"/>
  <c r="K70" i="213"/>
  <c r="N70" i="213" s="1"/>
  <c r="D24" i="213"/>
  <c r="F24" i="213" s="1"/>
  <c r="I24" i="213" s="1"/>
  <c r="D94" i="213"/>
  <c r="F94" i="213" s="1"/>
  <c r="I94" i="213" s="1"/>
  <c r="K81" i="213"/>
  <c r="N81" i="213" s="1"/>
  <c r="K107" i="213"/>
  <c r="N107" i="213" s="1"/>
  <c r="K77" i="213"/>
  <c r="N77" i="213" s="1"/>
  <c r="K22" i="213"/>
  <c r="D52" i="213"/>
  <c r="F52" i="213" s="1"/>
  <c r="I52" i="213" s="1"/>
  <c r="D89" i="213"/>
  <c r="D80" i="213"/>
  <c r="F80" i="213" s="1"/>
  <c r="I80" i="213" s="1"/>
  <c r="D68" i="213"/>
  <c r="F68" i="213" s="1"/>
  <c r="I68" i="213" s="1"/>
  <c r="D69" i="213"/>
  <c r="F69" i="213" s="1"/>
  <c r="I69" i="213" s="1"/>
  <c r="K66" i="213"/>
  <c r="N66" i="213" s="1"/>
  <c r="D82" i="213"/>
  <c r="F82" i="213" s="1"/>
  <c r="I82" i="213" s="1"/>
  <c r="K31" i="213"/>
  <c r="N31" i="213" s="1"/>
  <c r="K95" i="213"/>
  <c r="N95" i="213" s="1"/>
  <c r="D79" i="213"/>
  <c r="F79" i="213" s="1"/>
  <c r="I79" i="213" s="1"/>
  <c r="K65" i="213"/>
  <c r="N65" i="213" s="1"/>
  <c r="D92" i="213"/>
  <c r="F92" i="213" s="1"/>
  <c r="I92" i="213" s="1"/>
  <c r="K73" i="213"/>
  <c r="N73" i="213" s="1"/>
  <c r="D22" i="237"/>
  <c r="D33" i="213"/>
  <c r="F33" i="213" s="1"/>
  <c r="I33" i="213" s="1"/>
  <c r="D43" i="213"/>
  <c r="F43" i="213" s="1"/>
  <c r="I43" i="213" s="1"/>
  <c r="D29" i="213"/>
  <c r="D76" i="213"/>
  <c r="F76" i="213" s="1"/>
  <c r="I76" i="213" s="1"/>
  <c r="D40" i="213"/>
  <c r="F40" i="213" s="1"/>
  <c r="I40" i="213" s="1"/>
  <c r="K50" i="213"/>
  <c r="D34" i="213"/>
  <c r="F34" i="213" s="1"/>
  <c r="I34" i="213" s="1"/>
  <c r="D111" i="213"/>
  <c r="F111" i="213" s="1"/>
  <c r="I111" i="213" s="1"/>
  <c r="D63" i="213"/>
  <c r="D32" i="213"/>
  <c r="F32" i="213" s="1"/>
  <c r="I32" i="213" s="1"/>
  <c r="K53" i="213"/>
  <c r="N53" i="213" s="1"/>
  <c r="N50" i="213" l="1"/>
  <c r="N16" i="213"/>
  <c r="N19" i="213" s="1"/>
  <c r="K19" i="213"/>
  <c r="D60" i="213"/>
  <c r="H22" i="237"/>
  <c r="N22" i="213"/>
  <c r="F60" i="213"/>
  <c r="I50" i="213"/>
  <c r="I60" i="213" s="1"/>
  <c r="G20" i="10" s="1"/>
  <c r="D115" i="213"/>
  <c r="F89" i="213"/>
  <c r="D26" i="213"/>
  <c r="D86" i="213"/>
  <c r="F63" i="213"/>
  <c r="F29" i="213"/>
  <c r="D47" i="213"/>
  <c r="I16" i="213"/>
  <c r="I19" i="213" s="1"/>
  <c r="F19" i="213"/>
  <c r="I22" i="213"/>
  <c r="I26" i="213" s="1"/>
  <c r="G18" i="10" s="1"/>
  <c r="F26" i="213"/>
  <c r="D42" i="209"/>
  <c r="F42" i="209" s="1"/>
  <c r="I42" i="209" s="1"/>
  <c r="K82" i="213"/>
  <c r="N82" i="213" s="1"/>
  <c r="K80" i="213"/>
  <c r="N80" i="213" s="1"/>
  <c r="K94" i="213"/>
  <c r="N94" i="213" s="1"/>
  <c r="K58" i="213"/>
  <c r="N58" i="213" s="1"/>
  <c r="K92" i="213"/>
  <c r="N92" i="213" s="1"/>
  <c r="K44" i="213"/>
  <c r="N44" i="213" s="1"/>
  <c r="K90" i="213"/>
  <c r="N90" i="213" s="1"/>
  <c r="K52" i="213"/>
  <c r="N52" i="213" s="1"/>
  <c r="K63" i="213"/>
  <c r="K40" i="213"/>
  <c r="N40" i="213" s="1"/>
  <c r="K112" i="213"/>
  <c r="N112" i="213" s="1"/>
  <c r="D81" i="237"/>
  <c r="H81" i="237" s="1"/>
  <c r="D78" i="237"/>
  <c r="H78" i="237" s="1"/>
  <c r="D17" i="237"/>
  <c r="H17" i="237" s="1"/>
  <c r="D65" i="237"/>
  <c r="H65" i="237" s="1"/>
  <c r="D91" i="237"/>
  <c r="H91" i="237" s="1"/>
  <c r="D50" i="237"/>
  <c r="D30" i="237"/>
  <c r="H30" i="237" s="1"/>
  <c r="K69" i="213"/>
  <c r="N69" i="213" s="1"/>
  <c r="D22" i="209"/>
  <c r="K67" i="213"/>
  <c r="N67" i="213" s="1"/>
  <c r="K89" i="213"/>
  <c r="K29" i="213"/>
  <c r="K34" i="213"/>
  <c r="N34" i="213" s="1"/>
  <c r="K68" i="213"/>
  <c r="N68" i="213" s="1"/>
  <c r="K42" i="209"/>
  <c r="N42" i="209" s="1"/>
  <c r="K23" i="213"/>
  <c r="N23" i="213" s="1"/>
  <c r="K38" i="213"/>
  <c r="N38" i="213" s="1"/>
  <c r="K51" i="213"/>
  <c r="N51" i="213" s="1"/>
  <c r="K111" i="213"/>
  <c r="N111" i="213" s="1"/>
  <c r="K76" i="213"/>
  <c r="N76" i="213" s="1"/>
  <c r="D64" i="237"/>
  <c r="H64" i="237" s="1"/>
  <c r="K79" i="213"/>
  <c r="N79" i="213" s="1"/>
  <c r="K24" i="213"/>
  <c r="N24" i="213" s="1"/>
  <c r="K32" i="213"/>
  <c r="N32" i="213" s="1"/>
  <c r="K43" i="213"/>
  <c r="N43" i="213" s="1"/>
  <c r="K33" i="213"/>
  <c r="N33" i="213" s="1"/>
  <c r="D57" i="237"/>
  <c r="H57" i="237" s="1"/>
  <c r="D45" i="237"/>
  <c r="H45" i="237" s="1"/>
  <c r="D36" i="237"/>
  <c r="H36" i="237" s="1"/>
  <c r="D54" i="237"/>
  <c r="H54" i="237" s="1"/>
  <c r="D53" i="237"/>
  <c r="H53" i="237" s="1"/>
  <c r="D117" i="213" l="1"/>
  <c r="D266" i="213" s="1"/>
  <c r="K115" i="213"/>
  <c r="N89" i="213"/>
  <c r="N115" i="213" s="1"/>
  <c r="G17" i="10"/>
  <c r="F47" i="213"/>
  <c r="I29" i="213"/>
  <c r="I47" i="213" s="1"/>
  <c r="G19" i="10" s="1"/>
  <c r="N26" i="213"/>
  <c r="I63" i="213"/>
  <c r="I86" i="213" s="1"/>
  <c r="G21" i="10" s="1"/>
  <c r="F86" i="213"/>
  <c r="I89" i="213"/>
  <c r="I115" i="213" s="1"/>
  <c r="G22" i="10" s="1"/>
  <c r="F115" i="213"/>
  <c r="F22" i="209"/>
  <c r="K60" i="213"/>
  <c r="N29" i="213"/>
  <c r="N47" i="213" s="1"/>
  <c r="K47" i="213"/>
  <c r="H50" i="237"/>
  <c r="K86" i="213"/>
  <c r="N63" i="213"/>
  <c r="N86" i="213" s="1"/>
  <c r="K26" i="213"/>
  <c r="N60" i="213"/>
  <c r="K22" i="209"/>
  <c r="D107" i="237"/>
  <c r="H107" i="237" s="1"/>
  <c r="D36" i="209"/>
  <c r="F36" i="209" s="1"/>
  <c r="I36" i="209" s="1"/>
  <c r="D53" i="209"/>
  <c r="F53" i="209" s="1"/>
  <c r="I53" i="209" s="1"/>
  <c r="D54" i="209"/>
  <c r="F54" i="209" s="1"/>
  <c r="I54" i="209" s="1"/>
  <c r="D57" i="209"/>
  <c r="F57" i="209" s="1"/>
  <c r="I57" i="209" s="1"/>
  <c r="D78" i="209"/>
  <c r="F78" i="209" s="1"/>
  <c r="I78" i="209" s="1"/>
  <c r="D64" i="209"/>
  <c r="F64" i="209" s="1"/>
  <c r="I64" i="209" s="1"/>
  <c r="D65" i="209"/>
  <c r="F65" i="209" s="1"/>
  <c r="I65" i="209" s="1"/>
  <c r="D29" i="237"/>
  <c r="D35" i="237"/>
  <c r="H35" i="237" s="1"/>
  <c r="D73" i="237"/>
  <c r="H73" i="237" s="1"/>
  <c r="D37" i="237"/>
  <c r="H37" i="237" s="1"/>
  <c r="D77" i="237"/>
  <c r="H77" i="237" s="1"/>
  <c r="D39" i="237"/>
  <c r="H39" i="237" s="1"/>
  <c r="D55" i="237"/>
  <c r="H55" i="237" s="1"/>
  <c r="D94" i="237"/>
  <c r="H94" i="237" s="1"/>
  <c r="D31" i="237"/>
  <c r="H31" i="237" s="1"/>
  <c r="D24" i="237"/>
  <c r="H24" i="237" s="1"/>
  <c r="D68" i="237"/>
  <c r="H68" i="237" s="1"/>
  <c r="D84" i="237"/>
  <c r="H84" i="237" s="1"/>
  <c r="D71" i="237"/>
  <c r="H71" i="237" s="1"/>
  <c r="D50" i="209"/>
  <c r="D91" i="209"/>
  <c r="F91" i="209" s="1"/>
  <c r="I91" i="209" s="1"/>
  <c r="D95" i="237"/>
  <c r="H95" i="237" s="1"/>
  <c r="D82" i="237"/>
  <c r="H82" i="237" s="1"/>
  <c r="D51" i="237"/>
  <c r="H51" i="237" s="1"/>
  <c r="D83" i="237"/>
  <c r="H83" i="237" s="1"/>
  <c r="D43" i="237"/>
  <c r="H43" i="237" s="1"/>
  <c r="D45" i="209"/>
  <c r="F45" i="209" s="1"/>
  <c r="I45" i="209" s="1"/>
  <c r="D30" i="209"/>
  <c r="F30" i="209" s="1"/>
  <c r="I30" i="209" s="1"/>
  <c r="D17" i="209"/>
  <c r="F17" i="209" s="1"/>
  <c r="I17" i="209" s="1"/>
  <c r="D81" i="209"/>
  <c r="F81" i="209" s="1"/>
  <c r="I81" i="209" s="1"/>
  <c r="K117" i="213" l="1"/>
  <c r="K266" i="213" s="1"/>
  <c r="F117" i="213"/>
  <c r="F266" i="213" s="1"/>
  <c r="N117" i="213"/>
  <c r="N266" i="213" s="1"/>
  <c r="F15" i="137" s="1"/>
  <c r="F50" i="209"/>
  <c r="I22" i="209"/>
  <c r="H29" i="237"/>
  <c r="N22" i="209"/>
  <c r="I117" i="213"/>
  <c r="I266" i="213" s="1"/>
  <c r="D15" i="137" s="1"/>
  <c r="G25" i="10"/>
  <c r="D100" i="237"/>
  <c r="H100" i="237" s="1"/>
  <c r="D100" i="209"/>
  <c r="F100" i="209" s="1"/>
  <c r="I100" i="209" s="1"/>
  <c r="D105" i="209"/>
  <c r="F105" i="209" s="1"/>
  <c r="I105" i="209" s="1"/>
  <c r="D106" i="237"/>
  <c r="H106" i="237" s="1"/>
  <c r="D105" i="237"/>
  <c r="H105" i="237" s="1"/>
  <c r="K36" i="209"/>
  <c r="N36" i="209" s="1"/>
  <c r="K78" i="209"/>
  <c r="N78" i="209" s="1"/>
  <c r="K53" i="209"/>
  <c r="N53" i="209" s="1"/>
  <c r="K64" i="209"/>
  <c r="N64" i="209" s="1"/>
  <c r="K54" i="209"/>
  <c r="N54" i="209" s="1"/>
  <c r="K57" i="209"/>
  <c r="N57" i="209" s="1"/>
  <c r="K65" i="209"/>
  <c r="N65" i="209" s="1"/>
  <c r="D39" i="209"/>
  <c r="F39" i="209" s="1"/>
  <c r="I39" i="209" s="1"/>
  <c r="D84" i="209"/>
  <c r="F84" i="209" s="1"/>
  <c r="I84" i="209" s="1"/>
  <c r="D51" i="209"/>
  <c r="F51" i="209" s="1"/>
  <c r="I51" i="209" s="1"/>
  <c r="D24" i="209"/>
  <c r="F24" i="209" s="1"/>
  <c r="I24" i="209" s="1"/>
  <c r="D31" i="209"/>
  <c r="F31" i="209" s="1"/>
  <c r="I31" i="209" s="1"/>
  <c r="D43" i="209"/>
  <c r="F43" i="209" s="1"/>
  <c r="I43" i="209" s="1"/>
  <c r="D82" i="209"/>
  <c r="F82" i="209" s="1"/>
  <c r="I82" i="209" s="1"/>
  <c r="D37" i="209"/>
  <c r="F37" i="209" s="1"/>
  <c r="I37" i="209" s="1"/>
  <c r="D70" i="237"/>
  <c r="H70" i="237" s="1"/>
  <c r="D93" i="237"/>
  <c r="H93" i="237" s="1"/>
  <c r="D79" i="237"/>
  <c r="H79" i="237" s="1"/>
  <c r="D40" i="237"/>
  <c r="H40" i="237" s="1"/>
  <c r="D69" i="237"/>
  <c r="H69" i="237" s="1"/>
  <c r="D38" i="237"/>
  <c r="H38" i="237" s="1"/>
  <c r="D58" i="237"/>
  <c r="H58" i="237" s="1"/>
  <c r="D72" i="237"/>
  <c r="H72" i="237" s="1"/>
  <c r="D52" i="237"/>
  <c r="H52" i="237" s="1"/>
  <c r="K45" i="209"/>
  <c r="N45" i="209" s="1"/>
  <c r="D83" i="209"/>
  <c r="F83" i="209" s="1"/>
  <c r="I83" i="209" s="1"/>
  <c r="D95" i="209"/>
  <c r="F95" i="209" s="1"/>
  <c r="I95" i="209" s="1"/>
  <c r="D94" i="209"/>
  <c r="F94" i="209" s="1"/>
  <c r="I94" i="209" s="1"/>
  <c r="D55" i="209"/>
  <c r="F55" i="209" s="1"/>
  <c r="I55" i="209" s="1"/>
  <c r="D77" i="209"/>
  <c r="F77" i="209" s="1"/>
  <c r="I77" i="209" s="1"/>
  <c r="D73" i="209"/>
  <c r="F73" i="209" s="1"/>
  <c r="I73" i="209" s="1"/>
  <c r="D35" i="209"/>
  <c r="F35" i="209" s="1"/>
  <c r="I35" i="209" s="1"/>
  <c r="D29" i="209"/>
  <c r="K81" i="209"/>
  <c r="N81" i="209" s="1"/>
  <c r="K91" i="209"/>
  <c r="N91" i="209" s="1"/>
  <c r="D63" i="237"/>
  <c r="D80" i="237"/>
  <c r="H80" i="237" s="1"/>
  <c r="K50" i="209"/>
  <c r="D71" i="209"/>
  <c r="F71" i="209" s="1"/>
  <c r="I71" i="209" s="1"/>
  <c r="D68" i="209"/>
  <c r="F68" i="209" s="1"/>
  <c r="I68" i="209" s="1"/>
  <c r="K17" i="209"/>
  <c r="N17" i="209" s="1"/>
  <c r="K30" i="209"/>
  <c r="N30" i="209" s="1"/>
  <c r="D66" i="237"/>
  <c r="H66" i="237" s="1"/>
  <c r="D41" i="237"/>
  <c r="H41" i="237" s="1"/>
  <c r="D44" i="237"/>
  <c r="H44" i="237" s="1"/>
  <c r="D92" i="237"/>
  <c r="H92" i="237" s="1"/>
  <c r="F17" i="238" l="1"/>
  <c r="F25" i="238" s="1"/>
  <c r="J17" i="238"/>
  <c r="J25" i="238" s="1"/>
  <c r="K16" i="222" s="1"/>
  <c r="N17" i="238"/>
  <c r="N25" i="238" s="1"/>
  <c r="O16" i="222" s="1"/>
  <c r="G17" i="238"/>
  <c r="G25" i="238" s="1"/>
  <c r="H16" i="222" s="1"/>
  <c r="K17" i="238"/>
  <c r="K25" i="238" s="1"/>
  <c r="L16" i="222" s="1"/>
  <c r="C17" i="238"/>
  <c r="D17" i="238"/>
  <c r="D25" i="238" s="1"/>
  <c r="E16" i="222" s="1"/>
  <c r="H17" i="238"/>
  <c r="H25" i="238" s="1"/>
  <c r="I16" i="222" s="1"/>
  <c r="L17" i="238"/>
  <c r="L25" i="238" s="1"/>
  <c r="M16" i="222" s="1"/>
  <c r="I17" i="238"/>
  <c r="I25" i="238" s="1"/>
  <c r="J16" i="222" s="1"/>
  <c r="E17" i="238"/>
  <c r="E25" i="238" s="1"/>
  <c r="F16" i="222" s="1"/>
  <c r="M17" i="238"/>
  <c r="M25" i="238" s="1"/>
  <c r="N16" i="222" s="1"/>
  <c r="H60" i="237"/>
  <c r="F29" i="209"/>
  <c r="N50" i="209"/>
  <c r="H63" i="237"/>
  <c r="D107" i="209"/>
  <c r="F107" i="209" s="1"/>
  <c r="I107" i="209" s="1"/>
  <c r="D60" i="237"/>
  <c r="I50" i="209"/>
  <c r="D110" i="237"/>
  <c r="H110" i="237" s="1"/>
  <c r="K82" i="209"/>
  <c r="N82" i="209" s="1"/>
  <c r="K107" i="209"/>
  <c r="N107" i="209" s="1"/>
  <c r="K105" i="209"/>
  <c r="N105" i="209" s="1"/>
  <c r="K100" i="209"/>
  <c r="N100" i="209" s="1"/>
  <c r="D102" i="237"/>
  <c r="H102" i="237" s="1"/>
  <c r="D102" i="209"/>
  <c r="F102" i="209" s="1"/>
  <c r="I102" i="209" s="1"/>
  <c r="D106" i="209"/>
  <c r="F106" i="209" s="1"/>
  <c r="I106" i="209" s="1"/>
  <c r="D98" i="237"/>
  <c r="H98" i="237" s="1"/>
  <c r="D109" i="237"/>
  <c r="H109" i="237" s="1"/>
  <c r="K24" i="209"/>
  <c r="N24" i="209" s="1"/>
  <c r="K84" i="209"/>
  <c r="N84" i="209" s="1"/>
  <c r="K39" i="209"/>
  <c r="N39" i="209" s="1"/>
  <c r="K31" i="209"/>
  <c r="N31" i="209" s="1"/>
  <c r="K51" i="209"/>
  <c r="N51" i="209" s="1"/>
  <c r="K37" i="209"/>
  <c r="N37" i="209" s="1"/>
  <c r="D79" i="209"/>
  <c r="F79" i="209" s="1"/>
  <c r="I79" i="209" s="1"/>
  <c r="D44" i="209"/>
  <c r="F44" i="209" s="1"/>
  <c r="I44" i="209" s="1"/>
  <c r="K43" i="209"/>
  <c r="N43" i="209" s="1"/>
  <c r="D66" i="209"/>
  <c r="F66" i="209" s="1"/>
  <c r="I66" i="209" s="1"/>
  <c r="D80" i="209"/>
  <c r="F80" i="209" s="1"/>
  <c r="I80" i="209" s="1"/>
  <c r="D72" i="209"/>
  <c r="F72" i="209" s="1"/>
  <c r="I72" i="209" s="1"/>
  <c r="D38" i="209"/>
  <c r="F38" i="209" s="1"/>
  <c r="I38" i="209" s="1"/>
  <c r="D33" i="237"/>
  <c r="H33" i="237" s="1"/>
  <c r="D67" i="237"/>
  <c r="H67" i="237" s="1"/>
  <c r="D32" i="237"/>
  <c r="D76" i="237"/>
  <c r="H76" i="237" s="1"/>
  <c r="D89" i="237"/>
  <c r="D90" i="237"/>
  <c r="H90" i="237" s="1"/>
  <c r="K77" i="209"/>
  <c r="N77" i="209" s="1"/>
  <c r="K95" i="209"/>
  <c r="N95" i="209" s="1"/>
  <c r="K29" i="209"/>
  <c r="K55" i="209"/>
  <c r="N55" i="209" s="1"/>
  <c r="K83" i="209"/>
  <c r="N83" i="209" s="1"/>
  <c r="D52" i="209"/>
  <c r="F52" i="209" s="1"/>
  <c r="I52" i="209" s="1"/>
  <c r="D92" i="209"/>
  <c r="F92" i="209" s="1"/>
  <c r="I92" i="209" s="1"/>
  <c r="D41" i="209"/>
  <c r="F41" i="209" s="1"/>
  <c r="I41" i="209" s="1"/>
  <c r="K68" i="209"/>
  <c r="N68" i="209" s="1"/>
  <c r="D63" i="209"/>
  <c r="K35" i="209"/>
  <c r="N35" i="209" s="1"/>
  <c r="K94" i="209"/>
  <c r="N94" i="209" s="1"/>
  <c r="D58" i="209"/>
  <c r="F58" i="209" s="1"/>
  <c r="I58" i="209" s="1"/>
  <c r="D69" i="209"/>
  <c r="F69" i="209" s="1"/>
  <c r="I69" i="209" s="1"/>
  <c r="D40" i="209"/>
  <c r="F40" i="209" s="1"/>
  <c r="I40" i="209" s="1"/>
  <c r="D93" i="209"/>
  <c r="F93" i="209" s="1"/>
  <c r="I93" i="209" s="1"/>
  <c r="K71" i="209"/>
  <c r="N71" i="209" s="1"/>
  <c r="K73" i="209"/>
  <c r="N73" i="209" s="1"/>
  <c r="D70" i="209"/>
  <c r="F70" i="209" s="1"/>
  <c r="I70" i="209" s="1"/>
  <c r="O17" i="238" l="1"/>
  <c r="C25" i="238"/>
  <c r="D16" i="222" s="1"/>
  <c r="G16" i="222"/>
  <c r="H89" i="237"/>
  <c r="H32" i="237"/>
  <c r="F63" i="209"/>
  <c r="D86" i="237"/>
  <c r="N29" i="209"/>
  <c r="F60" i="209"/>
  <c r="D60" i="209"/>
  <c r="H86" i="237"/>
  <c r="I29" i="209"/>
  <c r="I60" i="209"/>
  <c r="D110" i="209"/>
  <c r="F110" i="209" s="1"/>
  <c r="I110" i="209" s="1"/>
  <c r="K80" i="209"/>
  <c r="N80" i="209" s="1"/>
  <c r="K106" i="209"/>
  <c r="N106" i="209" s="1"/>
  <c r="K110" i="209"/>
  <c r="N110" i="209" s="1"/>
  <c r="K102" i="209"/>
  <c r="N102" i="209" s="1"/>
  <c r="D101" i="237"/>
  <c r="H101" i="237" s="1"/>
  <c r="D101" i="209"/>
  <c r="F101" i="209" s="1"/>
  <c r="I101" i="209" s="1"/>
  <c r="D103" i="237"/>
  <c r="H103" i="237" s="1"/>
  <c r="D103" i="209"/>
  <c r="F103" i="209" s="1"/>
  <c r="I103" i="209" s="1"/>
  <c r="D97" i="237"/>
  <c r="H97" i="237" s="1"/>
  <c r="D97" i="209"/>
  <c r="F97" i="209" s="1"/>
  <c r="I97" i="209" s="1"/>
  <c r="D98" i="209"/>
  <c r="F98" i="209" s="1"/>
  <c r="I98" i="209" s="1"/>
  <c r="D99" i="237"/>
  <c r="H99" i="237" s="1"/>
  <c r="D109" i="209"/>
  <c r="F109" i="209" s="1"/>
  <c r="I109" i="209" s="1"/>
  <c r="K44" i="209"/>
  <c r="N44" i="209" s="1"/>
  <c r="K72" i="209"/>
  <c r="N72" i="209" s="1"/>
  <c r="K66" i="209"/>
  <c r="N66" i="209" s="1"/>
  <c r="K38" i="209"/>
  <c r="N38" i="209" s="1"/>
  <c r="K79" i="209"/>
  <c r="N79" i="209" s="1"/>
  <c r="D34" i="237"/>
  <c r="H34" i="237" s="1"/>
  <c r="D90" i="209"/>
  <c r="F90" i="209" s="1"/>
  <c r="I90" i="209" s="1"/>
  <c r="D89" i="209"/>
  <c r="K70" i="209"/>
  <c r="N70" i="209" s="1"/>
  <c r="K69" i="209"/>
  <c r="N69" i="209" s="1"/>
  <c r="K63" i="209"/>
  <c r="K41" i="209"/>
  <c r="N41" i="209" s="1"/>
  <c r="K93" i="209"/>
  <c r="N93" i="209" s="1"/>
  <c r="K40" i="209"/>
  <c r="N40" i="209" s="1"/>
  <c r="K52" i="209"/>
  <c r="N52" i="209" s="1"/>
  <c r="D67" i="209"/>
  <c r="F67" i="209" s="1"/>
  <c r="I67" i="209" s="1"/>
  <c r="K58" i="209"/>
  <c r="N58" i="209" s="1"/>
  <c r="K92" i="209"/>
  <c r="N92" i="209" s="1"/>
  <c r="D76" i="209"/>
  <c r="F76" i="209" s="1"/>
  <c r="I76" i="209" s="1"/>
  <c r="D32" i="209"/>
  <c r="D33" i="209"/>
  <c r="F33" i="209" s="1"/>
  <c r="I33" i="209" s="1"/>
  <c r="P16" i="222" l="1"/>
  <c r="D18" i="48" s="1"/>
  <c r="D20" i="48" s="1"/>
  <c r="O25" i="238"/>
  <c r="N60" i="209"/>
  <c r="N63" i="209"/>
  <c r="D47" i="237"/>
  <c r="F89" i="209"/>
  <c r="K60" i="209"/>
  <c r="D86" i="209"/>
  <c r="H47" i="237"/>
  <c r="F86" i="209"/>
  <c r="I63" i="209"/>
  <c r="I86" i="209" s="1"/>
  <c r="F32" i="209"/>
  <c r="K97" i="209"/>
  <c r="N97" i="209" s="1"/>
  <c r="K98" i="209"/>
  <c r="N98" i="209" s="1"/>
  <c r="K101" i="209"/>
  <c r="N101" i="209" s="1"/>
  <c r="K109" i="209"/>
  <c r="N109" i="209" s="1"/>
  <c r="K103" i="209"/>
  <c r="N103" i="209" s="1"/>
  <c r="D99" i="209"/>
  <c r="F99" i="209" s="1"/>
  <c r="I99" i="209" s="1"/>
  <c r="D111" i="237"/>
  <c r="H111" i="237" s="1"/>
  <c r="D111" i="209"/>
  <c r="F111" i="209" s="1"/>
  <c r="I111" i="209" s="1"/>
  <c r="D23" i="237"/>
  <c r="K33" i="209"/>
  <c r="N33" i="209" s="1"/>
  <c r="K32" i="209"/>
  <c r="K89" i="209"/>
  <c r="D34" i="209"/>
  <c r="F34" i="209" s="1"/>
  <c r="I34" i="209" s="1"/>
  <c r="K76" i="209"/>
  <c r="N76" i="209" s="1"/>
  <c r="K90" i="209"/>
  <c r="N90" i="209" s="1"/>
  <c r="K67" i="209"/>
  <c r="N67" i="209" s="1"/>
  <c r="K99" i="209"/>
  <c r="N99" i="209" s="1"/>
  <c r="D172" i="79" l="1"/>
  <c r="L28" i="42" s="1"/>
  <c r="H168" i="51"/>
  <c r="D21" i="48"/>
  <c r="D47" i="209"/>
  <c r="N89" i="209"/>
  <c r="H23" i="237"/>
  <c r="H26" i="237" s="1"/>
  <c r="D26" i="237"/>
  <c r="I32" i="209"/>
  <c r="I47" i="209" s="1"/>
  <c r="F47" i="209"/>
  <c r="I89" i="209"/>
  <c r="K86" i="209"/>
  <c r="N32" i="209"/>
  <c r="N86" i="209"/>
  <c r="K111" i="209"/>
  <c r="N111" i="209" s="1"/>
  <c r="D112" i="237"/>
  <c r="H112" i="237" s="1"/>
  <c r="D112" i="209"/>
  <c r="F112" i="209" s="1"/>
  <c r="I112" i="209" s="1"/>
  <c r="K34" i="209"/>
  <c r="N34" i="209" s="1"/>
  <c r="D23" i="209"/>
  <c r="K27" i="46" l="1"/>
  <c r="O27" i="46" s="1"/>
  <c r="F21" i="47" s="1"/>
  <c r="H170" i="51"/>
  <c r="H172" i="51" s="1"/>
  <c r="P168" i="51"/>
  <c r="P170" i="51" s="1"/>
  <c r="P172" i="51" s="1"/>
  <c r="F23" i="209"/>
  <c r="D26" i="209"/>
  <c r="K47" i="209"/>
  <c r="N47" i="209"/>
  <c r="K23" i="209"/>
  <c r="K112" i="209"/>
  <c r="N112" i="209" s="1"/>
  <c r="F27" i="46" l="1"/>
  <c r="N23" i="209"/>
  <c r="N26" i="209" s="1"/>
  <c r="K26" i="209"/>
  <c r="I23" i="209"/>
  <c r="I26" i="209" s="1"/>
  <c r="F26" i="209"/>
  <c r="D113" i="237"/>
  <c r="D113" i="209"/>
  <c r="H113" i="237" l="1"/>
  <c r="F113" i="209"/>
  <c r="K113" i="209"/>
  <c r="N113" i="209" l="1"/>
  <c r="I113" i="209"/>
  <c r="D114" i="209" l="1"/>
  <c r="K114" i="209"/>
  <c r="N114" i="209" l="1"/>
  <c r="F114" i="209"/>
  <c r="I114" i="209" l="1"/>
  <c r="D115" i="209"/>
  <c r="F115" i="209" s="1"/>
  <c r="I115" i="209" s="1"/>
  <c r="K115" i="209"/>
  <c r="N115" i="209" s="1"/>
  <c r="D116" i="209" l="1"/>
  <c r="D16" i="237"/>
  <c r="D16" i="209"/>
  <c r="D114" i="237" l="1"/>
  <c r="H114" i="237" s="1"/>
  <c r="H116" i="237" s="1"/>
  <c r="F116" i="209"/>
  <c r="D118" i="209"/>
  <c r="H16" i="237"/>
  <c r="H19" i="237" s="1"/>
  <c r="D19" i="237"/>
  <c r="D19" i="209"/>
  <c r="F16" i="209"/>
  <c r="K116" i="209"/>
  <c r="K16" i="209"/>
  <c r="G132" i="10"/>
  <c r="D116" i="237" l="1"/>
  <c r="D118" i="237" s="1"/>
  <c r="D120" i="209"/>
  <c r="H118" i="237"/>
  <c r="F19" i="209"/>
  <c r="I16" i="209"/>
  <c r="I19" i="209" s="1"/>
  <c r="N116" i="209"/>
  <c r="N118" i="209" s="1"/>
  <c r="K118" i="209"/>
  <c r="N16" i="209"/>
  <c r="N19" i="209" s="1"/>
  <c r="K19" i="209"/>
  <c r="I116" i="209"/>
  <c r="I118" i="209" s="1"/>
  <c r="I120" i="209" s="1"/>
  <c r="F118" i="209"/>
  <c r="F120" i="209" l="1"/>
  <c r="K120" i="209"/>
  <c r="N120" i="209"/>
  <c r="D233" i="236" l="1"/>
  <c r="F233" i="236" s="1"/>
  <c r="I233" i="236" s="1"/>
  <c r="D246" i="236"/>
  <c r="F246" i="236" s="1"/>
  <c r="I246" i="236" s="1"/>
  <c r="D258" i="236"/>
  <c r="F258" i="236" s="1"/>
  <c r="I258" i="236" s="1"/>
  <c r="D252" i="236"/>
  <c r="F252" i="236" s="1"/>
  <c r="I252" i="236" s="1"/>
  <c r="D257" i="236"/>
  <c r="F257" i="236" s="1"/>
  <c r="I257" i="236" s="1"/>
  <c r="D235" i="236"/>
  <c r="F235" i="236" s="1"/>
  <c r="I235" i="236" s="1"/>
  <c r="D255" i="236"/>
  <c r="F255" i="236" s="1"/>
  <c r="I255" i="236" s="1"/>
  <c r="D249" i="236"/>
  <c r="F249" i="236" s="1"/>
  <c r="I249" i="236" s="1"/>
  <c r="D253" i="236"/>
  <c r="F253" i="236" s="1"/>
  <c r="I253" i="236" s="1"/>
  <c r="D250" i="236"/>
  <c r="F250" i="236" s="1"/>
  <c r="I250" i="236" s="1"/>
  <c r="D234" i="236"/>
  <c r="F234" i="236" s="1"/>
  <c r="I234" i="236" s="1"/>
  <c r="D232" i="236"/>
  <c r="F232" i="236" s="1"/>
  <c r="I232" i="236" s="1"/>
  <c r="D245" i="236"/>
  <c r="F245" i="236" s="1"/>
  <c r="I245" i="236" s="1"/>
  <c r="D247" i="236"/>
  <c r="F247" i="236" s="1"/>
  <c r="I247" i="236" s="1"/>
  <c r="D238" i="236"/>
  <c r="F238" i="236" s="1"/>
  <c r="I238" i="236" s="1"/>
  <c r="D241" i="236"/>
  <c r="F241" i="236" s="1"/>
  <c r="I241" i="236" s="1"/>
  <c r="D239" i="236"/>
  <c r="F239" i="236" s="1"/>
  <c r="I239" i="236" s="1"/>
  <c r="D240" i="236"/>
  <c r="F240" i="236" s="1"/>
  <c r="I240" i="236" s="1"/>
  <c r="D236" i="236"/>
  <c r="F236" i="236" s="1"/>
  <c r="I236" i="236" s="1"/>
  <c r="D251" i="236"/>
  <c r="F251" i="236" s="1"/>
  <c r="I251" i="236" s="1"/>
  <c r="D256" i="236"/>
  <c r="F256" i="236" s="1"/>
  <c r="I256" i="236" s="1"/>
  <c r="D242" i="236"/>
  <c r="F242" i="236" s="1"/>
  <c r="I242" i="236" s="1"/>
  <c r="D248" i="236"/>
  <c r="F248" i="236" s="1"/>
  <c r="I248" i="236" s="1"/>
  <c r="D244" i="236"/>
  <c r="F244" i="236" s="1"/>
  <c r="I244" i="236" s="1"/>
  <c r="D259" i="236"/>
  <c r="F259" i="236" s="1"/>
  <c r="I259" i="236" s="1"/>
  <c r="D243" i="236"/>
  <c r="F243" i="236" s="1"/>
  <c r="I243" i="236" s="1"/>
  <c r="D237" i="236"/>
  <c r="F237" i="236" s="1"/>
  <c r="I237" i="236" s="1"/>
  <c r="K254" i="236" l="1"/>
  <c r="N254" i="236" s="1"/>
  <c r="D254" i="236"/>
  <c r="F254" i="236" s="1"/>
  <c r="I254" i="236" s="1"/>
  <c r="K248" i="236"/>
  <c r="N248" i="236" s="1"/>
  <c r="K251" i="236"/>
  <c r="N251" i="236" s="1"/>
  <c r="K241" i="236"/>
  <c r="N241" i="236" s="1"/>
  <c r="K232" i="236"/>
  <c r="N232" i="236" s="1"/>
  <c r="K249" i="236"/>
  <c r="N249" i="236" s="1"/>
  <c r="K252" i="236"/>
  <c r="N252" i="236" s="1"/>
  <c r="K242" i="236"/>
  <c r="N242" i="236" s="1"/>
  <c r="K236" i="236"/>
  <c r="N236" i="236" s="1"/>
  <c r="K238" i="236"/>
  <c r="N238" i="236" s="1"/>
  <c r="K234" i="236"/>
  <c r="N234" i="236" s="1"/>
  <c r="K255" i="236"/>
  <c r="N255" i="236" s="1"/>
  <c r="K258" i="236"/>
  <c r="N258" i="236" s="1"/>
  <c r="K237" i="236"/>
  <c r="N237" i="236" s="1"/>
  <c r="K256" i="236"/>
  <c r="N256" i="236" s="1"/>
  <c r="K247" i="236"/>
  <c r="N247" i="236" s="1"/>
  <c r="K250" i="236"/>
  <c r="N250" i="236" s="1"/>
  <c r="K235" i="236"/>
  <c r="N235" i="236" s="1"/>
  <c r="K246" i="236"/>
  <c r="N246" i="236" s="1"/>
  <c r="K243" i="236"/>
  <c r="N243" i="236" s="1"/>
  <c r="K259" i="236"/>
  <c r="N259" i="236" s="1"/>
  <c r="K240" i="236"/>
  <c r="N240" i="236" s="1"/>
  <c r="K244" i="236"/>
  <c r="N244" i="236" s="1"/>
  <c r="K239" i="236"/>
  <c r="N239" i="236" s="1"/>
  <c r="K245" i="236"/>
  <c r="N245" i="236" s="1"/>
  <c r="K253" i="236"/>
  <c r="N253" i="236" s="1"/>
  <c r="K257" i="236"/>
  <c r="N257" i="236" s="1"/>
  <c r="K233" i="236"/>
  <c r="N233" i="236" s="1"/>
  <c r="D231" i="236" l="1"/>
  <c r="D262" i="236" l="1"/>
  <c r="D264" i="236" s="1"/>
  <c r="F231" i="236"/>
  <c r="K231" i="236"/>
  <c r="N231" i="236" l="1"/>
  <c r="N262" i="236" s="1"/>
  <c r="N264" i="236" s="1"/>
  <c r="F17" i="3" s="1"/>
  <c r="F19" i="3" s="1"/>
  <c r="K262" i="236"/>
  <c r="K264" i="236" s="1"/>
  <c r="F262" i="236"/>
  <c r="F264" i="236" s="1"/>
  <c r="I231" i="236"/>
  <c r="I262" i="236" s="1"/>
  <c r="I264" i="236" s="1"/>
  <c r="D17" i="3" s="1"/>
  <c r="D19" i="3" l="1"/>
  <c r="H26" i="10"/>
  <c r="H27" i="10" s="1"/>
  <c r="H33" i="10" s="1"/>
  <c r="D259" i="237" l="1"/>
  <c r="H259" i="237" s="1"/>
  <c r="D240" i="237"/>
  <c r="H240" i="237" s="1"/>
  <c r="D232" i="237"/>
  <c r="H232" i="237" s="1"/>
  <c r="D246" i="237"/>
  <c r="H246" i="237" s="1"/>
  <c r="D248" i="237"/>
  <c r="H248" i="237" s="1"/>
  <c r="D237" i="237"/>
  <c r="H237" i="237" s="1"/>
  <c r="D244" i="237"/>
  <c r="H244" i="237" s="1"/>
  <c r="D242" i="237"/>
  <c r="H242" i="237" s="1"/>
  <c r="D247" i="237"/>
  <c r="H247" i="237" s="1"/>
  <c r="D251" i="237"/>
  <c r="H251" i="237" s="1"/>
  <c r="D241" i="237"/>
  <c r="H241" i="237" s="1"/>
  <c r="D233" i="237"/>
  <c r="H233" i="237" s="1"/>
  <c r="D258" i="237"/>
  <c r="H258" i="237" s="1"/>
  <c r="D257" i="237"/>
  <c r="H257" i="237" s="1"/>
  <c r="D249" i="237"/>
  <c r="H249" i="237" s="1"/>
  <c r="D235" i="237"/>
  <c r="H235" i="237" s="1"/>
  <c r="D239" i="237" l="1"/>
  <c r="H239" i="237" s="1"/>
  <c r="D255" i="237"/>
  <c r="H255" i="237" s="1"/>
  <c r="D245" i="237"/>
  <c r="H245" i="237" s="1"/>
  <c r="D234" i="237"/>
  <c r="H234" i="237" s="1"/>
  <c r="D250" i="237"/>
  <c r="H250" i="237" s="1"/>
  <c r="D256" i="237"/>
  <c r="H256" i="237" s="1"/>
  <c r="D253" i="237"/>
  <c r="H253" i="237" s="1"/>
  <c r="D236" i="237"/>
  <c r="H236" i="237" s="1"/>
  <c r="D253" i="209"/>
  <c r="F253" i="209" s="1"/>
  <c r="I253" i="209" s="1"/>
  <c r="D249" i="209"/>
  <c r="F249" i="209" s="1"/>
  <c r="I249" i="209" s="1"/>
  <c r="D244" i="209"/>
  <c r="F244" i="209" s="1"/>
  <c r="I244" i="209" s="1"/>
  <c r="D250" i="209"/>
  <c r="F250" i="209" s="1"/>
  <c r="I250" i="209" s="1"/>
  <c r="D248" i="209"/>
  <c r="F248" i="209" s="1"/>
  <c r="I248" i="209" s="1"/>
  <c r="D242" i="209"/>
  <c r="F242" i="209" s="1"/>
  <c r="I242" i="209" s="1"/>
  <c r="D238" i="237"/>
  <c r="H238" i="237" s="1"/>
  <c r="D243" i="237"/>
  <c r="H243" i="237" s="1"/>
  <c r="D254" i="237"/>
  <c r="H254" i="237" s="1"/>
  <c r="D260" i="209"/>
  <c r="F260" i="209" s="1"/>
  <c r="I260" i="209" s="1"/>
  <c r="D243" i="209"/>
  <c r="F243" i="209" s="1"/>
  <c r="I243" i="209" s="1"/>
  <c r="D239" i="209"/>
  <c r="F239" i="209" s="1"/>
  <c r="I239" i="209" s="1"/>
  <c r="D261" i="209"/>
  <c r="F261" i="209" s="1"/>
  <c r="I261" i="209" s="1"/>
  <c r="D252" i="237"/>
  <c r="H252" i="237" s="1"/>
  <c r="D235" i="209" l="1"/>
  <c r="F235" i="209" s="1"/>
  <c r="I235" i="209" s="1"/>
  <c r="K234" i="209"/>
  <c r="N234" i="209" s="1"/>
  <c r="D234" i="209"/>
  <c r="F234" i="209" s="1"/>
  <c r="I234" i="209" s="1"/>
  <c r="K246" i="209"/>
  <c r="N246" i="209" s="1"/>
  <c r="D246" i="209"/>
  <c r="F246" i="209" s="1"/>
  <c r="I246" i="209" s="1"/>
  <c r="D251" i="209"/>
  <c r="F251" i="209" s="1"/>
  <c r="I251" i="209" s="1"/>
  <c r="K259" i="209"/>
  <c r="N259" i="209" s="1"/>
  <c r="D259" i="209"/>
  <c r="F259" i="209" s="1"/>
  <c r="I259" i="209" s="1"/>
  <c r="D237" i="209"/>
  <c r="F237" i="209" s="1"/>
  <c r="I237" i="209" s="1"/>
  <c r="K237" i="209"/>
  <c r="N237" i="209" s="1"/>
  <c r="K251" i="209"/>
  <c r="N251" i="209" s="1"/>
  <c r="K235" i="209"/>
  <c r="N235" i="209" s="1"/>
  <c r="D240" i="209"/>
  <c r="F240" i="209" s="1"/>
  <c r="I240" i="209" s="1"/>
  <c r="K239" i="209"/>
  <c r="N239" i="209" s="1"/>
  <c r="D245" i="209"/>
  <c r="F245" i="209" s="1"/>
  <c r="I245" i="209" s="1"/>
  <c r="K242" i="209"/>
  <c r="N242" i="209" s="1"/>
  <c r="K249" i="209"/>
  <c r="N249" i="209" s="1"/>
  <c r="D238" i="209"/>
  <c r="F238" i="209" s="1"/>
  <c r="I238" i="209" s="1"/>
  <c r="D236" i="209"/>
  <c r="F236" i="209" s="1"/>
  <c r="I236" i="209" s="1"/>
  <c r="K243" i="209"/>
  <c r="N243" i="209" s="1"/>
  <c r="K248" i="209"/>
  <c r="N248" i="209" s="1"/>
  <c r="K253" i="209"/>
  <c r="N253" i="209" s="1"/>
  <c r="D254" i="209"/>
  <c r="F254" i="209" s="1"/>
  <c r="I254" i="209" s="1"/>
  <c r="K260" i="209"/>
  <c r="N260" i="209" s="1"/>
  <c r="K250" i="209"/>
  <c r="N250" i="209" s="1"/>
  <c r="D255" i="209"/>
  <c r="F255" i="209" s="1"/>
  <c r="I255" i="209" s="1"/>
  <c r="D252" i="209"/>
  <c r="F252" i="209" s="1"/>
  <c r="I252" i="209" s="1"/>
  <c r="D247" i="209"/>
  <c r="F247" i="209" s="1"/>
  <c r="I247" i="209" s="1"/>
  <c r="D241" i="209"/>
  <c r="F241" i="209" s="1"/>
  <c r="I241" i="209" s="1"/>
  <c r="K261" i="209"/>
  <c r="N261" i="209" s="1"/>
  <c r="K244" i="209"/>
  <c r="N244" i="209" s="1"/>
  <c r="D256" i="209" l="1"/>
  <c r="F256" i="209" s="1"/>
  <c r="I256" i="209" s="1"/>
  <c r="K257" i="209"/>
  <c r="N257" i="209" s="1"/>
  <c r="D257" i="209"/>
  <c r="F257" i="209" s="1"/>
  <c r="I257" i="209" s="1"/>
  <c r="D258" i="209"/>
  <c r="F258" i="209" s="1"/>
  <c r="I258" i="209" s="1"/>
  <c r="K256" i="209"/>
  <c r="N256" i="209" s="1"/>
  <c r="K258" i="209"/>
  <c r="N258" i="209" s="1"/>
  <c r="K240" i="209"/>
  <c r="N240" i="209" s="1"/>
  <c r="K241" i="209"/>
  <c r="N241" i="209" s="1"/>
  <c r="K247" i="209"/>
  <c r="N247" i="209" s="1"/>
  <c r="K245" i="209"/>
  <c r="N245" i="209" s="1"/>
  <c r="K252" i="209"/>
  <c r="N252" i="209" s="1"/>
  <c r="K254" i="209"/>
  <c r="N254" i="209" s="1"/>
  <c r="K255" i="209"/>
  <c r="N255" i="209" s="1"/>
  <c r="K236" i="209"/>
  <c r="N236" i="209" s="1"/>
  <c r="K238" i="209"/>
  <c r="N238" i="209" s="1"/>
  <c r="D231" i="237" l="1"/>
  <c r="D233" i="209"/>
  <c r="F233" i="209" l="1"/>
  <c r="D264" i="209"/>
  <c r="D266" i="209" s="1"/>
  <c r="D262" i="237"/>
  <c r="D264" i="237" s="1"/>
  <c r="H231" i="237"/>
  <c r="H262" i="237" s="1"/>
  <c r="H264" i="237" s="1"/>
  <c r="K233" i="209"/>
  <c r="M14" i="222" l="1"/>
  <c r="N14" i="222"/>
  <c r="F14" i="222"/>
  <c r="O14" i="222"/>
  <c r="K14" i="222"/>
  <c r="I14" i="222"/>
  <c r="J14" i="222"/>
  <c r="H14" i="222"/>
  <c r="E14" i="222"/>
  <c r="L14" i="222"/>
  <c r="G14" i="222"/>
  <c r="D14" i="222"/>
  <c r="K264" i="209"/>
  <c r="K266" i="209" s="1"/>
  <c r="N233" i="209"/>
  <c r="N264" i="209" s="1"/>
  <c r="N266" i="209" s="1"/>
  <c r="F17" i="137" s="1"/>
  <c r="F19" i="137" s="1"/>
  <c r="F264" i="209"/>
  <c r="F266" i="209" s="1"/>
  <c r="I233" i="209"/>
  <c r="I264" i="209" s="1"/>
  <c r="I266" i="209" s="1"/>
  <c r="D17" i="137" s="1"/>
  <c r="G26" i="10" l="1"/>
  <c r="G27" i="10" s="1"/>
  <c r="G33" i="10" s="1"/>
  <c r="D19" i="137"/>
  <c r="P14" i="222"/>
  <c r="D13" i="48" l="1"/>
  <c r="D15" i="48" s="1"/>
  <c r="D171" i="79"/>
  <c r="K26" i="46" l="1"/>
  <c r="O26" i="46"/>
  <c r="D16" i="48"/>
  <c r="F155" i="51"/>
  <c r="F159" i="51" l="1"/>
  <c r="P155" i="51"/>
  <c r="F20" i="47"/>
  <c r="M26" i="46"/>
  <c r="F26" i="46"/>
  <c r="L27" i="42"/>
  <c r="J20" i="47" l="1"/>
  <c r="P159" i="51"/>
  <c r="P161" i="51" s="1"/>
  <c r="P163" i="51" s="1"/>
  <c r="F161" i="51"/>
  <c r="F163" i="51" s="1"/>
  <c r="E14" i="31"/>
  <c r="D21" i="3" s="1"/>
  <c r="E14" i="67"/>
  <c r="D21" i="137" s="1"/>
  <c r="F21" i="137" l="1"/>
  <c r="F27" i="137" s="1"/>
  <c r="D27" i="137"/>
  <c r="F21" i="3"/>
  <c r="F27" i="3" s="1"/>
  <c r="D27" i="3"/>
  <c r="E22" i="67"/>
  <c r="E22" i="31"/>
  <c r="E16" i="1" l="1"/>
  <c r="E24" i="1" s="1"/>
  <c r="D28" i="47"/>
  <c r="E28" i="84"/>
  <c r="E32" i="84" s="1"/>
  <c r="I60" i="232"/>
  <c r="J28" i="47"/>
  <c r="G16" i="1"/>
  <c r="G24" i="1" s="1"/>
  <c r="F28" i="47"/>
  <c r="G28" i="84"/>
  <c r="G32" i="84" s="1"/>
  <c r="I64" i="232" l="1"/>
  <c r="G17" i="84"/>
  <c r="L41" i="42"/>
  <c r="E17" i="84"/>
  <c r="J41" i="42"/>
  <c r="I62" i="232"/>
  <c r="I66" i="232" l="1"/>
  <c r="I68" i="232" s="1"/>
  <c r="I70" i="232" s="1"/>
  <c r="K73" i="232" s="1"/>
  <c r="G59" i="10"/>
  <c r="F17" i="84"/>
  <c r="H59" i="10"/>
  <c r="K76" i="232" l="1"/>
  <c r="F122" i="222"/>
  <c r="K124" i="44" l="1"/>
  <c r="L124" i="44" l="1"/>
  <c r="N124" i="44"/>
  <c r="O124" i="44"/>
  <c r="M124" i="44"/>
  <c r="L62" i="222"/>
  <c r="H62" i="222"/>
  <c r="D62" i="222"/>
  <c r="O62" i="44"/>
  <c r="K62" i="44"/>
  <c r="O62" i="222"/>
  <c r="K62" i="222"/>
  <c r="G62" i="222"/>
  <c r="N62" i="44"/>
  <c r="N62" i="222"/>
  <c r="J62" i="222"/>
  <c r="F62" i="222"/>
  <c r="M62" i="44"/>
  <c r="M62" i="222"/>
  <c r="I62" i="222"/>
  <c r="E62" i="222"/>
  <c r="L62" i="44"/>
  <c r="P62" i="44" l="1"/>
  <c r="D68" i="45" s="1"/>
  <c r="P62" i="222"/>
  <c r="D63" i="79" s="1"/>
  <c r="D68" i="51" l="1"/>
  <c r="F111" i="222" l="1"/>
  <c r="I111" i="222"/>
  <c r="L72" i="222"/>
  <c r="K94" i="44"/>
  <c r="K104" i="44"/>
  <c r="I82" i="222"/>
  <c r="M63" i="44"/>
  <c r="K91" i="44"/>
  <c r="K111" i="44"/>
  <c r="K47" i="44"/>
  <c r="K110" i="44"/>
  <c r="G110" i="222"/>
  <c r="F82" i="222"/>
  <c r="J72" i="222"/>
  <c r="L82" i="222"/>
  <c r="O63" i="44"/>
  <c r="L63" i="44"/>
  <c r="M63" i="222"/>
  <c r="J63" i="222"/>
  <c r="G63" i="222"/>
  <c r="H63" i="222"/>
  <c r="E63" i="222"/>
  <c r="N63" i="44"/>
  <c r="O63" i="222"/>
  <c r="L63" i="222"/>
  <c r="I63" i="222"/>
  <c r="F63" i="222"/>
  <c r="N63" i="222"/>
  <c r="K63" i="222"/>
  <c r="F110" i="222"/>
  <c r="M51" i="44"/>
  <c r="D82" i="222"/>
  <c r="K82" i="44"/>
  <c r="J60" i="222"/>
  <c r="K79" i="44"/>
  <c r="N60" i="44"/>
  <c r="O60" i="222"/>
  <c r="L60" i="222"/>
  <c r="I60" i="222"/>
  <c r="F60" i="222"/>
  <c r="O60" i="44"/>
  <c r="L60" i="44"/>
  <c r="M60" i="222"/>
  <c r="M60" i="44"/>
  <c r="N60" i="222"/>
  <c r="K60" i="222"/>
  <c r="H60" i="222"/>
  <c r="E60" i="222"/>
  <c r="D79" i="222"/>
  <c r="O94" i="44"/>
  <c r="G60" i="222"/>
  <c r="G82" i="222"/>
  <c r="J82" i="222"/>
  <c r="M82" i="222"/>
  <c r="L82" i="44"/>
  <c r="O82" i="44"/>
  <c r="O82" i="222"/>
  <c r="N82" i="44"/>
  <c r="E82" i="222"/>
  <c r="H82" i="222"/>
  <c r="K82" i="222"/>
  <c r="N82" i="222"/>
  <c r="M82" i="44"/>
  <c r="N94" i="44"/>
  <c r="L94" i="44"/>
  <c r="M31" i="222"/>
  <c r="L31" i="222"/>
  <c r="O31" i="222"/>
  <c r="M94" i="44"/>
  <c r="D63" i="222"/>
  <c r="P63" i="222" s="1"/>
  <c r="D64" i="79" s="1"/>
  <c r="K60" i="44"/>
  <c r="P60" i="44" s="1"/>
  <c r="D63" i="45" s="1"/>
  <c r="D64" i="51" s="1"/>
  <c r="K63" i="44"/>
  <c r="P63" i="44" s="1"/>
  <c r="D69" i="45" s="1"/>
  <c r="D60" i="222"/>
  <c r="P60" i="222" s="1"/>
  <c r="D58" i="79" s="1"/>
  <c r="H107" i="222"/>
  <c r="O47" i="44"/>
  <c r="H47" i="222"/>
  <c r="L47" i="222"/>
  <c r="L47" i="44"/>
  <c r="E47" i="222"/>
  <c r="I47" i="222"/>
  <c r="M47" i="222"/>
  <c r="F47" i="222"/>
  <c r="J47" i="222"/>
  <c r="N47" i="222"/>
  <c r="N47" i="44"/>
  <c r="G47" i="222"/>
  <c r="K47" i="222"/>
  <c r="O47" i="222"/>
  <c r="M68" i="44"/>
  <c r="F68" i="222"/>
  <c r="J68" i="222"/>
  <c r="N68" i="222"/>
  <c r="N68" i="44"/>
  <c r="G68" i="222"/>
  <c r="K68" i="222"/>
  <c r="O68" i="222"/>
  <c r="O68" i="44"/>
  <c r="H68" i="222"/>
  <c r="L68" i="222"/>
  <c r="L68" i="44"/>
  <c r="E68" i="222"/>
  <c r="I68" i="222"/>
  <c r="M68" i="222"/>
  <c r="O91" i="44"/>
  <c r="L91" i="44"/>
  <c r="L111" i="222"/>
  <c r="I31" i="222"/>
  <c r="E31" i="222"/>
  <c r="L31" i="44"/>
  <c r="H31" i="222"/>
  <c r="D31" i="222"/>
  <c r="O31" i="44"/>
  <c r="K31" i="44"/>
  <c r="K31" i="222"/>
  <c r="G31" i="222"/>
  <c r="N31" i="44"/>
  <c r="N31" i="222"/>
  <c r="J31" i="222"/>
  <c r="F31" i="222"/>
  <c r="D69" i="51" l="1"/>
  <c r="P94" i="44"/>
  <c r="D139" i="45" s="1"/>
  <c r="D110" i="51" s="1"/>
  <c r="P82" i="44"/>
  <c r="D123" i="45" s="1"/>
  <c r="P82" i="222"/>
  <c r="D118" i="79" s="1"/>
  <c r="P31" i="222"/>
  <c r="M47" i="44"/>
  <c r="P47" i="44" s="1"/>
  <c r="D47" i="222"/>
  <c r="P47" i="222" s="1"/>
  <c r="D40" i="79" s="1"/>
  <c r="N56" i="222"/>
  <c r="M56" i="44"/>
  <c r="K56" i="44"/>
  <c r="G56" i="222"/>
  <c r="E56" i="222"/>
  <c r="K56" i="222"/>
  <c r="L107" i="222"/>
  <c r="K85" i="44"/>
  <c r="N72" i="222"/>
  <c r="O72" i="44"/>
  <c r="G72" i="222"/>
  <c r="L51" i="44"/>
  <c r="J51" i="222"/>
  <c r="I72" i="222"/>
  <c r="N91" i="44"/>
  <c r="O51" i="222"/>
  <c r="K51" i="44"/>
  <c r="O56" i="222"/>
  <c r="L107" i="44"/>
  <c r="O107" i="44"/>
  <c r="I64" i="222"/>
  <c r="L64" i="222"/>
  <c r="O56" i="44"/>
  <c r="G51" i="222"/>
  <c r="K64" i="44"/>
  <c r="F64" i="222"/>
  <c r="L72" i="44"/>
  <c r="M72" i="44"/>
  <c r="I51" i="222"/>
  <c r="M64" i="222"/>
  <c r="L64" i="44"/>
  <c r="O64" i="44"/>
  <c r="G64" i="222"/>
  <c r="K72" i="44"/>
  <c r="F56" i="222"/>
  <c r="I56" i="222"/>
  <c r="N56" i="44"/>
  <c r="E104" i="222"/>
  <c r="E51" i="222"/>
  <c r="M72" i="222"/>
  <c r="E72" i="222"/>
  <c r="D72" i="222"/>
  <c r="K72" i="222"/>
  <c r="F85" i="222"/>
  <c r="J64" i="222"/>
  <c r="K51" i="222"/>
  <c r="O51" i="44"/>
  <c r="J83" i="222"/>
  <c r="F51" i="222"/>
  <c r="M51" i="222"/>
  <c r="E64" i="222"/>
  <c r="H64" i="222"/>
  <c r="O64" i="222"/>
  <c r="N64" i="44"/>
  <c r="N51" i="222"/>
  <c r="H51" i="222"/>
  <c r="N51" i="44"/>
  <c r="K64" i="222"/>
  <c r="N64" i="222"/>
  <c r="M64" i="44"/>
  <c r="L51" i="222"/>
  <c r="O85" i="44"/>
  <c r="D91" i="222"/>
  <c r="J56" i="222"/>
  <c r="M56" i="222"/>
  <c r="L56" i="44"/>
  <c r="F91" i="222"/>
  <c r="L83" i="44"/>
  <c r="E85" i="222"/>
  <c r="L85" i="44"/>
  <c r="N85" i="44"/>
  <c r="D85" i="222"/>
  <c r="L56" i="222"/>
  <c r="H56" i="222"/>
  <c r="G83" i="222"/>
  <c r="G91" i="222"/>
  <c r="M91" i="44"/>
  <c r="P91" i="44" s="1"/>
  <c r="D136" i="45" s="1"/>
  <c r="E91" i="222"/>
  <c r="H91" i="222"/>
  <c r="H72" i="222"/>
  <c r="O72" i="222"/>
  <c r="F72" i="222"/>
  <c r="D104" i="222"/>
  <c r="L104" i="44"/>
  <c r="H86" i="222"/>
  <c r="N104" i="44"/>
  <c r="D83" i="222"/>
  <c r="D64" i="222"/>
  <c r="P64" i="222" s="1"/>
  <c r="D65" i="79" s="1"/>
  <c r="I96" i="222"/>
  <c r="F104" i="222"/>
  <c r="K83" i="44"/>
  <c r="K71" i="44"/>
  <c r="M71" i="44"/>
  <c r="M83" i="222"/>
  <c r="K30" i="44"/>
  <c r="M104" i="44"/>
  <c r="K96" i="222"/>
  <c r="N96" i="222"/>
  <c r="M96" i="44"/>
  <c r="J96" i="222"/>
  <c r="M96" i="222"/>
  <c r="O96" i="44"/>
  <c r="K54" i="44"/>
  <c r="L96" i="44"/>
  <c r="G96" i="222"/>
  <c r="M83" i="44"/>
  <c r="O83" i="222"/>
  <c r="G86" i="222"/>
  <c r="K87" i="44"/>
  <c r="E86" i="222"/>
  <c r="F96" i="222"/>
  <c r="D87" i="222"/>
  <c r="L96" i="222"/>
  <c r="F71" i="222"/>
  <c r="F83" i="222"/>
  <c r="E83" i="222"/>
  <c r="O86" i="44"/>
  <c r="K71" i="222"/>
  <c r="M86" i="44"/>
  <c r="N71" i="222"/>
  <c r="K83" i="222"/>
  <c r="N96" i="44"/>
  <c r="H96" i="222"/>
  <c r="E96" i="222"/>
  <c r="O96" i="222"/>
  <c r="F86" i="222"/>
  <c r="L86" i="44"/>
  <c r="N86" i="44"/>
  <c r="H83" i="222"/>
  <c r="N83" i="44"/>
  <c r="L83" i="222"/>
  <c r="D51" i="222"/>
  <c r="P51" i="222" s="1"/>
  <c r="D45" i="79" s="1"/>
  <c r="N79" i="222"/>
  <c r="N83" i="222"/>
  <c r="N72" i="44"/>
  <c r="O71" i="222"/>
  <c r="G85" i="222"/>
  <c r="E81" i="222"/>
  <c r="L81" i="44"/>
  <c r="O81" i="44"/>
  <c r="I83" i="222"/>
  <c r="O83" i="44"/>
  <c r="H71" i="222"/>
  <c r="D71" i="222"/>
  <c r="L81" i="222"/>
  <c r="K81" i="44"/>
  <c r="O79" i="222"/>
  <c r="J81" i="222"/>
  <c r="J79" i="222"/>
  <c r="I81" i="222"/>
  <c r="L52" i="44"/>
  <c r="D86" i="222"/>
  <c r="O54" i="44"/>
  <c r="O99" i="222"/>
  <c r="J71" i="222"/>
  <c r="G71" i="222"/>
  <c r="M81" i="44"/>
  <c r="N71" i="44"/>
  <c r="H81" i="222"/>
  <c r="K81" i="222"/>
  <c r="J30" i="222"/>
  <c r="N30" i="44"/>
  <c r="L30" i="222"/>
  <c r="M79" i="222"/>
  <c r="O81" i="222"/>
  <c r="O30" i="222"/>
  <c r="K30" i="222"/>
  <c r="G88" i="222"/>
  <c r="G81" i="222"/>
  <c r="K86" i="44"/>
  <c r="P86" i="44" s="1"/>
  <c r="D127" i="45" s="1"/>
  <c r="D101" i="51" s="1"/>
  <c r="M30" i="222"/>
  <c r="E30" i="222"/>
  <c r="L99" i="44"/>
  <c r="G79" i="222"/>
  <c r="M71" i="222"/>
  <c r="N81" i="44"/>
  <c r="K99" i="44"/>
  <c r="I54" i="222"/>
  <c r="F30" i="222"/>
  <c r="G30" i="222"/>
  <c r="O30" i="44"/>
  <c r="N98" i="222"/>
  <c r="L71" i="44"/>
  <c r="L71" i="222"/>
  <c r="K98" i="44"/>
  <c r="K70" i="44"/>
  <c r="N30" i="222"/>
  <c r="H30" i="222"/>
  <c r="F81" i="222"/>
  <c r="M81" i="222"/>
  <c r="L30" i="44"/>
  <c r="D30" i="222"/>
  <c r="M30" i="44"/>
  <c r="O71" i="44"/>
  <c r="I30" i="222"/>
  <c r="D81" i="222"/>
  <c r="E79" i="222"/>
  <c r="E71" i="222"/>
  <c r="J99" i="222"/>
  <c r="M79" i="44"/>
  <c r="N81" i="222"/>
  <c r="N99" i="44"/>
  <c r="D99" i="222"/>
  <c r="L98" i="44"/>
  <c r="O99" i="44"/>
  <c r="E107" i="222"/>
  <c r="D55" i="222"/>
  <c r="G55" i="222"/>
  <c r="F55" i="222"/>
  <c r="M99" i="44"/>
  <c r="L99" i="222"/>
  <c r="I99" i="222"/>
  <c r="F99" i="222"/>
  <c r="N79" i="44"/>
  <c r="I107" i="222"/>
  <c r="M107" i="44"/>
  <c r="J55" i="222"/>
  <c r="M85" i="44"/>
  <c r="K79" i="222"/>
  <c r="I79" i="222"/>
  <c r="O107" i="222"/>
  <c r="N107" i="44"/>
  <c r="M55" i="222"/>
  <c r="L55" i="44"/>
  <c r="O55" i="44"/>
  <c r="K98" i="222"/>
  <c r="I71" i="222"/>
  <c r="L79" i="44"/>
  <c r="H99" i="222"/>
  <c r="H79" i="222"/>
  <c r="G99" i="222"/>
  <c r="H98" i="222"/>
  <c r="F79" i="222"/>
  <c r="M107" i="222"/>
  <c r="F107" i="222"/>
  <c r="G107" i="222"/>
  <c r="E55" i="222"/>
  <c r="H55" i="222"/>
  <c r="K55" i="222"/>
  <c r="N55" i="222"/>
  <c r="M55" i="44"/>
  <c r="J107" i="222"/>
  <c r="N107" i="222"/>
  <c r="K107" i="222"/>
  <c r="I55" i="222"/>
  <c r="L55" i="222"/>
  <c r="O55" i="222"/>
  <c r="N55" i="44"/>
  <c r="N87" i="44"/>
  <c r="L87" i="222"/>
  <c r="K87" i="222"/>
  <c r="L87" i="44"/>
  <c r="M87" i="222"/>
  <c r="N76" i="44"/>
  <c r="N87" i="222"/>
  <c r="I87" i="222"/>
  <c r="J87" i="222"/>
  <c r="E87" i="222"/>
  <c r="O87" i="222"/>
  <c r="G87" i="222"/>
  <c r="M87" i="44"/>
  <c r="O87" i="44"/>
  <c r="F87" i="222"/>
  <c r="H87" i="222"/>
  <c r="M99" i="222"/>
  <c r="O79" i="44"/>
  <c r="L79" i="222"/>
  <c r="N99" i="222"/>
  <c r="O104" i="44"/>
  <c r="E98" i="222"/>
  <c r="K99" i="222"/>
  <c r="J98" i="222"/>
  <c r="N98" i="44"/>
  <c r="M98" i="222"/>
  <c r="E99" i="222"/>
  <c r="F98" i="222"/>
  <c r="O98" i="222"/>
  <c r="D98" i="222"/>
  <c r="I98" i="222"/>
  <c r="G98" i="222"/>
  <c r="D54" i="222"/>
  <c r="L54" i="44"/>
  <c r="H53" i="222"/>
  <c r="O98" i="44"/>
  <c r="M31" i="44"/>
  <c r="P31" i="44" s="1"/>
  <c r="D38" i="45" s="1"/>
  <c r="D48" i="51" s="1"/>
  <c r="L98" i="222"/>
  <c r="M98" i="44"/>
  <c r="G54" i="222"/>
  <c r="L54" i="222"/>
  <c r="O54" i="222"/>
  <c r="E108" i="222"/>
  <c r="H89" i="222"/>
  <c r="H58" i="222"/>
  <c r="G89" i="222"/>
  <c r="H59" i="222"/>
  <c r="E67" i="222"/>
  <c r="G58" i="222"/>
  <c r="G69" i="222"/>
  <c r="G67" i="222"/>
  <c r="M58" i="44"/>
  <c r="L65" i="44"/>
  <c r="M50" i="44"/>
  <c r="H54" i="222"/>
  <c r="K54" i="222"/>
  <c r="N54" i="222"/>
  <c r="M54" i="44"/>
  <c r="E54" i="222"/>
  <c r="O108" i="44"/>
  <c r="L58" i="44"/>
  <c r="M88" i="44"/>
  <c r="H95" i="222"/>
  <c r="N54" i="44"/>
  <c r="L89" i="44"/>
  <c r="O50" i="44"/>
  <c r="M54" i="222"/>
  <c r="F54" i="222"/>
  <c r="J54" i="222"/>
  <c r="O52" i="44"/>
  <c r="O59" i="44"/>
  <c r="H108" i="222"/>
  <c r="E52" i="222"/>
  <c r="H57" i="222"/>
  <c r="H49" i="222"/>
  <c r="H61" i="222"/>
  <c r="G100" i="222"/>
  <c r="E53" i="222"/>
  <c r="G66" i="222"/>
  <c r="E61" i="222"/>
  <c r="G53" i="222"/>
  <c r="N52" i="44"/>
  <c r="O53" i="44"/>
  <c r="M53" i="44"/>
  <c r="H52" i="222"/>
  <c r="H50" i="222"/>
  <c r="F59" i="222"/>
  <c r="M59" i="44"/>
  <c r="E49" i="222"/>
  <c r="E66" i="222"/>
  <c r="L88" i="44"/>
  <c r="K108" i="44"/>
  <c r="K53" i="44"/>
  <c r="D56" i="222"/>
  <c r="P56" i="222" s="1"/>
  <c r="D53" i="79" s="1"/>
  <c r="D96" i="222"/>
  <c r="P96" i="222" s="1"/>
  <c r="D141" i="79" s="1"/>
  <c r="K58" i="44"/>
  <c r="K67" i="44"/>
  <c r="K68" i="44"/>
  <c r="P68" i="44" s="1"/>
  <c r="D80" i="45" s="1"/>
  <c r="D77" i="51" s="1"/>
  <c r="K107" i="44"/>
  <c r="P107" i="44" s="1"/>
  <c r="D164" i="45" s="1"/>
  <c r="D126" i="51" s="1"/>
  <c r="K55" i="44"/>
  <c r="P55" i="44" s="1"/>
  <c r="D54" i="45" s="1"/>
  <c r="D58" i="51" s="1"/>
  <c r="K65" i="44"/>
  <c r="D108" i="222"/>
  <c r="D58" i="222"/>
  <c r="K96" i="44"/>
  <c r="P96" i="44" s="1"/>
  <c r="D146" i="45" s="1"/>
  <c r="D114" i="51" s="1"/>
  <c r="D59" i="222"/>
  <c r="D61" i="222"/>
  <c r="D67" i="222"/>
  <c r="D68" i="222"/>
  <c r="P68" i="222" s="1"/>
  <c r="D75" i="79" s="1"/>
  <c r="D107" i="222"/>
  <c r="P107" i="222" s="1"/>
  <c r="D159" i="79" s="1"/>
  <c r="G59" i="222"/>
  <c r="K95" i="44"/>
  <c r="E95" i="222"/>
  <c r="L50" i="44"/>
  <c r="K50" i="44"/>
  <c r="G50" i="222"/>
  <c r="L61" i="44"/>
  <c r="F61" i="222"/>
  <c r="L49" i="44"/>
  <c r="N49" i="44"/>
  <c r="N58" i="44"/>
  <c r="M95" i="44"/>
  <c r="O76" i="44"/>
  <c r="K49" i="44"/>
  <c r="N108" i="44"/>
  <c r="K59" i="44"/>
  <c r="O61" i="44"/>
  <c r="K66" i="44"/>
  <c r="N66" i="44"/>
  <c r="F49" i="222"/>
  <c r="D49" i="222"/>
  <c r="F88" i="222"/>
  <c r="E58" i="222"/>
  <c r="E89" i="222"/>
  <c r="L66" i="44"/>
  <c r="G61" i="222"/>
  <c r="L75" i="44"/>
  <c r="K75" i="44"/>
  <c r="K76" i="44"/>
  <c r="D52" i="222"/>
  <c r="D89" i="222"/>
  <c r="M89" i="44"/>
  <c r="H66" i="222"/>
  <c r="G57" i="222"/>
  <c r="F53" i="222"/>
  <c r="D53" i="222"/>
  <c r="N59" i="44"/>
  <c r="O66" i="44"/>
  <c r="L76" i="44"/>
  <c r="F52" i="222"/>
  <c r="G52" i="222"/>
  <c r="M65" i="44"/>
  <c r="D65" i="222"/>
  <c r="L80" i="44"/>
  <c r="N53" i="44"/>
  <c r="L53" i="44"/>
  <c r="E59" i="222"/>
  <c r="M61" i="44"/>
  <c r="K61" i="44"/>
  <c r="M66" i="44"/>
  <c r="F66" i="222"/>
  <c r="O49" i="44"/>
  <c r="M49" i="44"/>
  <c r="O88" i="44"/>
  <c r="F58" i="222"/>
  <c r="O89" i="44"/>
  <c r="N89" i="44"/>
  <c r="K52" i="44"/>
  <c r="H88" i="222"/>
  <c r="M76" i="44"/>
  <c r="N50" i="44"/>
  <c r="L59" i="44"/>
  <c r="N61" i="44"/>
  <c r="D66" i="222"/>
  <c r="K88" i="44"/>
  <c r="P88" i="44" s="1"/>
  <c r="D129" i="45" s="1"/>
  <c r="D103" i="51" s="1"/>
  <c r="N88" i="44"/>
  <c r="D88" i="222"/>
  <c r="L95" i="44"/>
  <c r="N95" i="44"/>
  <c r="K89" i="44"/>
  <c r="G49" i="222"/>
  <c r="M52" i="44"/>
  <c r="E50" i="222"/>
  <c r="N65" i="44"/>
  <c r="E88" i="222"/>
  <c r="O58" i="44"/>
  <c r="O95" i="44"/>
  <c r="F95" i="222"/>
  <c r="F89" i="222"/>
  <c r="M108" i="44"/>
  <c r="O80" i="44"/>
  <c r="M80" i="44"/>
  <c r="L108" i="44"/>
  <c r="N80" i="44"/>
  <c r="O93" i="44"/>
  <c r="M93" i="44"/>
  <c r="E93" i="222"/>
  <c r="E48" i="222"/>
  <c r="L48" i="44"/>
  <c r="H48" i="222"/>
  <c r="G108" i="222"/>
  <c r="K93" i="44"/>
  <c r="F93" i="222"/>
  <c r="F48" i="222"/>
  <c r="G48" i="222"/>
  <c r="D48" i="222"/>
  <c r="M75" i="44"/>
  <c r="N75" i="44"/>
  <c r="F108" i="222"/>
  <c r="K80" i="44"/>
  <c r="D93" i="222"/>
  <c r="L93" i="44"/>
  <c r="O48" i="44"/>
  <c r="G93" i="222"/>
  <c r="N93" i="44"/>
  <c r="K48" i="44"/>
  <c r="N48" i="44"/>
  <c r="M48" i="44"/>
  <c r="O75" i="44"/>
  <c r="G95" i="222"/>
  <c r="F50" i="222"/>
  <c r="D95" i="222"/>
  <c r="G97" i="222"/>
  <c r="L97" i="44"/>
  <c r="K97" i="44"/>
  <c r="O97" i="44"/>
  <c r="N97" i="44"/>
  <c r="F97" i="222"/>
  <c r="H97" i="222"/>
  <c r="D97" i="222"/>
  <c r="M97" i="44"/>
  <c r="E97" i="222"/>
  <c r="D50" i="222"/>
  <c r="H90" i="222"/>
  <c r="N90" i="44"/>
  <c r="K90" i="222"/>
  <c r="E90" i="222"/>
  <c r="J90" i="222"/>
  <c r="N57" i="44"/>
  <c r="L57" i="44"/>
  <c r="F57" i="222"/>
  <c r="O90" i="44"/>
  <c r="L90" i="222"/>
  <c r="F90" i="222"/>
  <c r="D57" i="222"/>
  <c r="O57" i="44"/>
  <c r="O90" i="222"/>
  <c r="D90" i="222"/>
  <c r="M90" i="222"/>
  <c r="L90" i="44"/>
  <c r="M57" i="44"/>
  <c r="K57" i="44"/>
  <c r="E57" i="222"/>
  <c r="G90" i="222"/>
  <c r="K90" i="44"/>
  <c r="I90" i="222"/>
  <c r="N90" i="222"/>
  <c r="M90" i="44"/>
  <c r="N70" i="44"/>
  <c r="G104" i="222"/>
  <c r="K105" i="44"/>
  <c r="O105" i="44"/>
  <c r="M105" i="44"/>
  <c r="L105" i="44"/>
  <c r="N105" i="44"/>
  <c r="M106" i="44"/>
  <c r="I91" i="222"/>
  <c r="K69" i="44"/>
  <c r="F69" i="222"/>
  <c r="M78" i="44"/>
  <c r="N78" i="44"/>
  <c r="N73" i="44"/>
  <c r="L73" i="44"/>
  <c r="L67" i="44"/>
  <c r="O77" i="44"/>
  <c r="E69" i="222"/>
  <c r="H69" i="222"/>
  <c r="N69" i="44"/>
  <c r="O78" i="44"/>
  <c r="O73" i="44"/>
  <c r="M67" i="44"/>
  <c r="M77" i="44"/>
  <c r="K77" i="44"/>
  <c r="D69" i="222"/>
  <c r="M69" i="44"/>
  <c r="K78" i="44"/>
  <c r="L78" i="44"/>
  <c r="M73" i="44"/>
  <c r="K73" i="44"/>
  <c r="H67" i="222"/>
  <c r="F67" i="222"/>
  <c r="L69" i="44"/>
  <c r="O69" i="44"/>
  <c r="O67" i="44"/>
  <c r="N67" i="44"/>
  <c r="N77" i="44"/>
  <c r="L77" i="44"/>
  <c r="K92" i="44"/>
  <c r="G92" i="222"/>
  <c r="F92" i="222"/>
  <c r="D75" i="222"/>
  <c r="O84" i="44"/>
  <c r="M84" i="44"/>
  <c r="D80" i="222"/>
  <c r="D92" i="222"/>
  <c r="H92" i="222"/>
  <c r="N92" i="44"/>
  <c r="E92" i="222"/>
  <c r="D77" i="222"/>
  <c r="D84" i="222"/>
  <c r="G84" i="222"/>
  <c r="E80" i="222"/>
  <c r="D76" i="222"/>
  <c r="D73" i="222"/>
  <c r="O92" i="44"/>
  <c r="M92" i="44"/>
  <c r="H84" i="222"/>
  <c r="E84" i="222"/>
  <c r="K84" i="44"/>
  <c r="F84" i="222"/>
  <c r="D78" i="222"/>
  <c r="L92" i="44"/>
  <c r="L84" i="44"/>
  <c r="N84" i="44"/>
  <c r="D70" i="222"/>
  <c r="K100" i="44"/>
  <c r="F100" i="222"/>
  <c r="E100" i="222"/>
  <c r="M100" i="44"/>
  <c r="N100" i="44"/>
  <c r="M70" i="44"/>
  <c r="O100" i="44"/>
  <c r="L100" i="44"/>
  <c r="L106" i="44"/>
  <c r="N106" i="44"/>
  <c r="N110" i="44"/>
  <c r="G101" i="222"/>
  <c r="K106" i="44"/>
  <c r="O106" i="44"/>
  <c r="L111" i="44"/>
  <c r="O111" i="44"/>
  <c r="G109" i="222"/>
  <c r="M109" i="44"/>
  <c r="D111" i="222"/>
  <c r="D106" i="222"/>
  <c r="N111" i="44"/>
  <c r="O111" i="222"/>
  <c r="H111" i="222"/>
  <c r="E111" i="222"/>
  <c r="H93" i="222"/>
  <c r="I86" i="222"/>
  <c r="O70" i="44"/>
  <c r="L70" i="44"/>
  <c r="E78" i="222"/>
  <c r="E101" i="222"/>
  <c r="D101" i="222"/>
  <c r="O103" i="44"/>
  <c r="L103" i="44"/>
  <c r="M103" i="222"/>
  <c r="J103" i="222"/>
  <c r="G103" i="222"/>
  <c r="H110" i="222"/>
  <c r="L74" i="44"/>
  <c r="M74" i="44"/>
  <c r="O65" i="44"/>
  <c r="D105" i="222"/>
  <c r="M101" i="44"/>
  <c r="D103" i="222"/>
  <c r="M103" i="44"/>
  <c r="N103" i="222"/>
  <c r="K103" i="222"/>
  <c r="O74" i="44"/>
  <c r="K74" i="44"/>
  <c r="P74" i="44" s="1"/>
  <c r="D112" i="45" s="1"/>
  <c r="D84" i="51" s="1"/>
  <c r="N74" i="44"/>
  <c r="M111" i="44"/>
  <c r="M110" i="44"/>
  <c r="D74" i="222"/>
  <c r="L110" i="44"/>
  <c r="D110" i="222"/>
  <c r="E109" i="222"/>
  <c r="N109" i="44"/>
  <c r="E76" i="222"/>
  <c r="N101" i="44"/>
  <c r="K101" i="44"/>
  <c r="H103" i="222"/>
  <c r="E103" i="222"/>
  <c r="N103" i="44"/>
  <c r="O103" i="222"/>
  <c r="E74" i="222"/>
  <c r="O109" i="44"/>
  <c r="O110" i="44"/>
  <c r="D100" i="222"/>
  <c r="D109" i="222"/>
  <c r="F109" i="222"/>
  <c r="K109" i="44"/>
  <c r="H100" i="222"/>
  <c r="E77" i="222"/>
  <c r="E70" i="222"/>
  <c r="E73" i="222"/>
  <c r="H85" i="222"/>
  <c r="E75" i="222"/>
  <c r="L101" i="44"/>
  <c r="O101" i="44"/>
  <c r="K103" i="44"/>
  <c r="L103" i="222"/>
  <c r="I103" i="222"/>
  <c r="F103" i="222"/>
  <c r="H109" i="222"/>
  <c r="L109" i="44"/>
  <c r="P110" i="44" l="1"/>
  <c r="D167" i="45" s="1"/>
  <c r="D131" i="51" s="1"/>
  <c r="P106" i="44"/>
  <c r="D163" i="45" s="1"/>
  <c r="D125" i="51" s="1"/>
  <c r="P78" i="44"/>
  <c r="D116" i="45" s="1"/>
  <c r="D88" i="51" s="1"/>
  <c r="P80" i="44"/>
  <c r="D118" i="45" s="1"/>
  <c r="D90" i="51" s="1"/>
  <c r="P79" i="222"/>
  <c r="D112" i="79" s="1"/>
  <c r="P79" i="44"/>
  <c r="D117" i="45" s="1"/>
  <c r="D89" i="51" s="1"/>
  <c r="D121" i="222"/>
  <c r="D125" i="222" s="1"/>
  <c r="P104" i="44"/>
  <c r="D161" i="45" s="1"/>
  <c r="D123" i="51" s="1"/>
  <c r="P103" i="44"/>
  <c r="D160" i="45" s="1"/>
  <c r="D122" i="51" s="1"/>
  <c r="P111" i="44"/>
  <c r="D171" i="45" s="1"/>
  <c r="P57" i="44"/>
  <c r="D60" i="45" s="1"/>
  <c r="D61" i="51" s="1"/>
  <c r="P77" i="44"/>
  <c r="D115" i="45" s="1"/>
  <c r="D87" i="51" s="1"/>
  <c r="D172" i="45"/>
  <c r="D132" i="51"/>
  <c r="P109" i="44"/>
  <c r="D166" i="45" s="1"/>
  <c r="D130" i="51" s="1"/>
  <c r="P61" i="44"/>
  <c r="D64" i="45" s="1"/>
  <c r="D66" i="51" s="1"/>
  <c r="P50" i="44"/>
  <c r="D49" i="45" s="1"/>
  <c r="D53" i="51" s="1"/>
  <c r="P67" i="44"/>
  <c r="D79" i="45" s="1"/>
  <c r="P58" i="44"/>
  <c r="D61" i="45" s="1"/>
  <c r="D62" i="51" s="1"/>
  <c r="L113" i="44"/>
  <c r="L123" i="44"/>
  <c r="L125" i="44" s="1"/>
  <c r="O113" i="44"/>
  <c r="O123" i="44"/>
  <c r="O125" i="44" s="1"/>
  <c r="P83" i="44"/>
  <c r="D124" i="45" s="1"/>
  <c r="D93" i="51" s="1"/>
  <c r="P83" i="222"/>
  <c r="D119" i="79" s="1"/>
  <c r="P59" i="44"/>
  <c r="D62" i="45" s="1"/>
  <c r="D63" i="51" s="1"/>
  <c r="P69" i="44"/>
  <c r="D81" i="45" s="1"/>
  <c r="D78" i="51" s="1"/>
  <c r="P76" i="44"/>
  <c r="D114" i="45" s="1"/>
  <c r="D86" i="51" s="1"/>
  <c r="P54" i="222"/>
  <c r="D48" i="79" s="1"/>
  <c r="P99" i="222"/>
  <c r="P81" i="222"/>
  <c r="D114" i="79" s="1"/>
  <c r="N123" i="44"/>
  <c r="N125" i="44" s="1"/>
  <c r="N113" i="44"/>
  <c r="P64" i="44"/>
  <c r="D70" i="45" s="1"/>
  <c r="P56" i="44"/>
  <c r="D58" i="45" s="1"/>
  <c r="D92" i="51"/>
  <c r="P103" i="222"/>
  <c r="D155" i="79" s="1"/>
  <c r="P101" i="44"/>
  <c r="D158" i="45" s="1"/>
  <c r="D120" i="51" s="1"/>
  <c r="P100" i="44"/>
  <c r="D157" i="45" s="1"/>
  <c r="P48" i="44"/>
  <c r="D47" i="45" s="1"/>
  <c r="D51" i="51" s="1"/>
  <c r="P89" i="44"/>
  <c r="D130" i="45" s="1"/>
  <c r="D104" i="51" s="1"/>
  <c r="P52" i="44"/>
  <c r="D51" i="45" s="1"/>
  <c r="D55" i="51" s="1"/>
  <c r="P95" i="44"/>
  <c r="P98" i="222"/>
  <c r="D107" i="51"/>
  <c r="P51" i="44"/>
  <c r="D50" i="45" s="1"/>
  <c r="D54" i="51" s="1"/>
  <c r="D117" i="222"/>
  <c r="D118" i="222" s="1"/>
  <c r="P105" i="44"/>
  <c r="D162" i="45" s="1"/>
  <c r="D124" i="51" s="1"/>
  <c r="P75" i="44"/>
  <c r="D113" i="45" s="1"/>
  <c r="D85" i="51" s="1"/>
  <c r="P49" i="44"/>
  <c r="D48" i="45" s="1"/>
  <c r="D52" i="51" s="1"/>
  <c r="P108" i="44"/>
  <c r="D165" i="45" s="1"/>
  <c r="D127" i="51" s="1"/>
  <c r="P71" i="222"/>
  <c r="D104" i="79" s="1"/>
  <c r="P87" i="44"/>
  <c r="D128" i="45" s="1"/>
  <c r="D102" i="51" s="1"/>
  <c r="D45" i="45"/>
  <c r="P53" i="44"/>
  <c r="D52" i="45" s="1"/>
  <c r="D56" i="51" s="1"/>
  <c r="P71" i="44"/>
  <c r="D109" i="45" s="1"/>
  <c r="D81" i="51" s="1"/>
  <c r="P72" i="222"/>
  <c r="D105" i="79" s="1"/>
  <c r="P85" i="44"/>
  <c r="D126" i="45" s="1"/>
  <c r="D100" i="51" s="1"/>
  <c r="D33" i="79"/>
  <c r="P84" i="44"/>
  <c r="D125" i="45" s="1"/>
  <c r="D99" i="51" s="1"/>
  <c r="P92" i="44"/>
  <c r="D137" i="45" s="1"/>
  <c r="D108" i="51" s="1"/>
  <c r="P73" i="44"/>
  <c r="D111" i="45" s="1"/>
  <c r="D83" i="51" s="1"/>
  <c r="P93" i="44"/>
  <c r="D138" i="45" s="1"/>
  <c r="D109" i="51" s="1"/>
  <c r="P66" i="44"/>
  <c r="D72" i="45" s="1"/>
  <c r="D72" i="51" s="1"/>
  <c r="P65" i="44"/>
  <c r="D71" i="45" s="1"/>
  <c r="D71" i="51" s="1"/>
  <c r="P55" i="222"/>
  <c r="D49" i="79" s="1"/>
  <c r="M113" i="44"/>
  <c r="M123" i="44"/>
  <c r="M125" i="44" s="1"/>
  <c r="P70" i="44"/>
  <c r="D108" i="45" s="1"/>
  <c r="P81" i="44"/>
  <c r="D119" i="45" s="1"/>
  <c r="D91" i="51" s="1"/>
  <c r="P87" i="222"/>
  <c r="D123" i="79" s="1"/>
  <c r="P54" i="44"/>
  <c r="D53" i="45" s="1"/>
  <c r="D57" i="51" s="1"/>
  <c r="P90" i="44"/>
  <c r="D131" i="45" s="1"/>
  <c r="D105" i="51" s="1"/>
  <c r="P90" i="222"/>
  <c r="D126" i="79" s="1"/>
  <c r="P97" i="44"/>
  <c r="P30" i="222"/>
  <c r="D112" i="222"/>
  <c r="P98" i="44"/>
  <c r="P99" i="44"/>
  <c r="K123" i="44"/>
  <c r="K125" i="44" s="1"/>
  <c r="K113" i="44"/>
  <c r="P30" i="44"/>
  <c r="P72" i="44"/>
  <c r="D110" i="45" s="1"/>
  <c r="D82" i="51" s="1"/>
  <c r="H101" i="222"/>
  <c r="I48" i="222"/>
  <c r="I52" i="222"/>
  <c r="I50" i="222"/>
  <c r="I89" i="222"/>
  <c r="I58" i="222"/>
  <c r="I49" i="222"/>
  <c r="I57" i="222"/>
  <c r="I66" i="222"/>
  <c r="I61" i="222"/>
  <c r="I69" i="222"/>
  <c r="I53" i="222"/>
  <c r="I59" i="222"/>
  <c r="I108" i="222"/>
  <c r="I109" i="222"/>
  <c r="I110" i="222"/>
  <c r="H104" i="222"/>
  <c r="I84" i="222"/>
  <c r="I88" i="222"/>
  <c r="I92" i="222"/>
  <c r="I95" i="222"/>
  <c r="I67" i="222"/>
  <c r="I97" i="222"/>
  <c r="E106" i="222"/>
  <c r="E110" i="222"/>
  <c r="E65" i="222"/>
  <c r="I93" i="222"/>
  <c r="E105" i="222"/>
  <c r="F76" i="222"/>
  <c r="F74" i="222"/>
  <c r="F65" i="222"/>
  <c r="F78" i="222"/>
  <c r="F75" i="222"/>
  <c r="F73" i="222"/>
  <c r="F80" i="222"/>
  <c r="I100" i="222"/>
  <c r="I85" i="222"/>
  <c r="E121" i="222" l="1"/>
  <c r="D150" i="45"/>
  <c r="D48" i="100"/>
  <c r="J25" i="42"/>
  <c r="J29" i="42" s="1"/>
  <c r="D168" i="45"/>
  <c r="D25" i="46" s="1"/>
  <c r="D30" i="24" s="1"/>
  <c r="H30" i="24" s="1"/>
  <c r="D119" i="51"/>
  <c r="D37" i="45"/>
  <c r="D39" i="45" s="1"/>
  <c r="P119" i="44"/>
  <c r="F174" i="45" s="1"/>
  <c r="P122" i="44"/>
  <c r="D120" i="45"/>
  <c r="D80" i="51"/>
  <c r="D55" i="45"/>
  <c r="D19" i="46" s="1"/>
  <c r="D18" i="24" s="1"/>
  <c r="H18" i="24" s="1"/>
  <c r="D49" i="51"/>
  <c r="D76" i="51"/>
  <c r="D83" i="45"/>
  <c r="E112" i="222"/>
  <c r="H49" i="100"/>
  <c r="J49" i="100" s="1"/>
  <c r="D146" i="79"/>
  <c r="D133" i="45"/>
  <c r="D50" i="100"/>
  <c r="F50" i="100" s="1"/>
  <c r="D152" i="45"/>
  <c r="D117" i="51" s="1"/>
  <c r="D145" i="45"/>
  <c r="D20" i="100"/>
  <c r="D49" i="100"/>
  <c r="F49" i="100" s="1"/>
  <c r="D151" i="45"/>
  <c r="D116" i="51" s="1"/>
  <c r="E117" i="222"/>
  <c r="E118" i="222" s="1"/>
  <c r="D147" i="79"/>
  <c r="H50" i="100"/>
  <c r="J50" i="100" s="1"/>
  <c r="D65" i="45"/>
  <c r="D59" i="51"/>
  <c r="D32" i="79"/>
  <c r="D34" i="79" s="1"/>
  <c r="D140" i="45"/>
  <c r="D22" i="46" s="1"/>
  <c r="D24" i="24" s="1"/>
  <c r="H24" i="24" s="1"/>
  <c r="D70" i="51"/>
  <c r="D75" i="45"/>
  <c r="D20" i="46" s="1"/>
  <c r="D20" i="24" s="1"/>
  <c r="H20" i="24" s="1"/>
  <c r="J86" i="222"/>
  <c r="J91" i="222"/>
  <c r="I101" i="222"/>
  <c r="J69" i="222"/>
  <c r="J58" i="222"/>
  <c r="J89" i="222"/>
  <c r="J49" i="222"/>
  <c r="J59" i="222"/>
  <c r="J53" i="222"/>
  <c r="F77" i="222"/>
  <c r="J48" i="222"/>
  <c r="J57" i="222"/>
  <c r="J109" i="222"/>
  <c r="J110" i="222"/>
  <c r="J108" i="222"/>
  <c r="J61" i="222"/>
  <c r="J50" i="222"/>
  <c r="J52" i="222"/>
  <c r="J66" i="222"/>
  <c r="I104" i="222"/>
  <c r="J88" i="222"/>
  <c r="J84" i="222"/>
  <c r="J92" i="222"/>
  <c r="K91" i="222"/>
  <c r="J95" i="222"/>
  <c r="J67" i="222"/>
  <c r="F70" i="222"/>
  <c r="J97" i="222"/>
  <c r="F105" i="222"/>
  <c r="F106" i="222"/>
  <c r="F112" i="222" s="1"/>
  <c r="F101" i="222"/>
  <c r="J100" i="222"/>
  <c r="J93" i="222"/>
  <c r="G77" i="222"/>
  <c r="G78" i="222"/>
  <c r="G75" i="222"/>
  <c r="G73" i="222"/>
  <c r="G80" i="222"/>
  <c r="G76" i="222"/>
  <c r="J85" i="222"/>
  <c r="K86" i="222"/>
  <c r="D21" i="46" l="1"/>
  <c r="D22" i="24" s="1"/>
  <c r="H22" i="24" s="1"/>
  <c r="F117" i="222"/>
  <c r="F118" i="222" s="1"/>
  <c r="F20" i="100"/>
  <c r="F22" i="100" s="1"/>
  <c r="D22" i="100"/>
  <c r="F121" i="222"/>
  <c r="F123" i="222" s="1"/>
  <c r="F48" i="100"/>
  <c r="F52" i="100" s="1"/>
  <c r="D52" i="100"/>
  <c r="D113" i="51"/>
  <c r="D134" i="51" s="1"/>
  <c r="D147" i="45"/>
  <c r="D23" i="46" s="1"/>
  <c r="D26" i="24" s="1"/>
  <c r="H26" i="24" s="1"/>
  <c r="D154" i="45"/>
  <c r="D24" i="46" s="1"/>
  <c r="D28" i="24" s="1"/>
  <c r="H28" i="24" s="1"/>
  <c r="D115" i="51"/>
  <c r="D18" i="46"/>
  <c r="K18" i="46"/>
  <c r="J31" i="42"/>
  <c r="J42" i="42" s="1"/>
  <c r="H50" i="10"/>
  <c r="K48" i="222"/>
  <c r="K58" i="222"/>
  <c r="K52" i="222"/>
  <c r="K61" i="222"/>
  <c r="K50" i="222"/>
  <c r="K49" i="222"/>
  <c r="K88" i="222"/>
  <c r="K89" i="222"/>
  <c r="K57" i="222"/>
  <c r="K53" i="222"/>
  <c r="K66" i="222"/>
  <c r="K59" i="222"/>
  <c r="K84" i="222"/>
  <c r="K108" i="222"/>
  <c r="K109" i="222"/>
  <c r="K110" i="222"/>
  <c r="J104" i="222"/>
  <c r="J101" i="222"/>
  <c r="K92" i="222"/>
  <c r="L91" i="222"/>
  <c r="K95" i="222"/>
  <c r="K67" i="222"/>
  <c r="K97" i="222"/>
  <c r="K69" i="222"/>
  <c r="G70" i="222"/>
  <c r="G105" i="222"/>
  <c r="K93" i="222"/>
  <c r="G106" i="222"/>
  <c r="K85" i="222"/>
  <c r="K101" i="222"/>
  <c r="H77" i="222"/>
  <c r="H75" i="222"/>
  <c r="H73" i="222"/>
  <c r="H76" i="222"/>
  <c r="H65" i="222"/>
  <c r="H78" i="222"/>
  <c r="H74" i="222"/>
  <c r="H80" i="222"/>
  <c r="G65" i="222"/>
  <c r="G111" i="222"/>
  <c r="G74" i="222"/>
  <c r="L86" i="222"/>
  <c r="K100" i="222"/>
  <c r="D174" i="45" l="1"/>
  <c r="J43" i="42"/>
  <c r="H53" i="10" s="1"/>
  <c r="H55" i="10" s="1"/>
  <c r="E15" i="84"/>
  <c r="E19" i="84" s="1"/>
  <c r="E23" i="84" s="1"/>
  <c r="D19" i="47"/>
  <c r="D16" i="24"/>
  <c r="F18" i="46"/>
  <c r="O18" i="46"/>
  <c r="G117" i="222"/>
  <c r="G118" i="222" s="1"/>
  <c r="G121" i="222"/>
  <c r="G112" i="222"/>
  <c r="L58" i="222"/>
  <c r="L48" i="222"/>
  <c r="L59" i="222"/>
  <c r="L52" i="222"/>
  <c r="L89" i="222"/>
  <c r="L49" i="222"/>
  <c r="L50" i="222"/>
  <c r="L61" i="222"/>
  <c r="L66" i="222"/>
  <c r="L57" i="222"/>
  <c r="L53" i="222"/>
  <c r="K104" i="222"/>
  <c r="L108" i="222"/>
  <c r="L109" i="222"/>
  <c r="L110" i="222"/>
  <c r="L88" i="222"/>
  <c r="L92" i="222"/>
  <c r="L84" i="222"/>
  <c r="M91" i="222"/>
  <c r="L95" i="222"/>
  <c r="L67" i="222"/>
  <c r="L97" i="222"/>
  <c r="L69" i="222"/>
  <c r="H70" i="222"/>
  <c r="L100" i="222"/>
  <c r="M86" i="222"/>
  <c r="H106" i="222"/>
  <c r="L93" i="222"/>
  <c r="I77" i="222"/>
  <c r="I78" i="222"/>
  <c r="I74" i="222"/>
  <c r="I65" i="222"/>
  <c r="I80" i="222"/>
  <c r="I75" i="222"/>
  <c r="I73" i="222"/>
  <c r="L85" i="222"/>
  <c r="H105" i="222"/>
  <c r="H121" i="222" s="1"/>
  <c r="H117" i="222" l="1"/>
  <c r="H118" i="222" s="1"/>
  <c r="H114" i="10"/>
  <c r="H113" i="10"/>
  <c r="H58" i="10"/>
  <c r="H76" i="10" s="1"/>
  <c r="H115" i="10"/>
  <c r="H112" i="222"/>
  <c r="D32" i="24"/>
  <c r="H32" i="24" s="1"/>
  <c r="H16" i="24"/>
  <c r="G174" i="45"/>
  <c r="D16" i="69"/>
  <c r="L12" i="44"/>
  <c r="O12" i="44"/>
  <c r="M12" i="44"/>
  <c r="J12" i="44"/>
  <c r="D179" i="45"/>
  <c r="D28" i="46" s="1"/>
  <c r="D31" i="46" s="1"/>
  <c r="D33" i="46" s="1"/>
  <c r="N54" i="202" s="1"/>
  <c r="N50" i="202" s="1"/>
  <c r="L50" i="202" s="1"/>
  <c r="N12" i="44"/>
  <c r="D23" i="47"/>
  <c r="D24" i="47" s="1"/>
  <c r="D26" i="47" s="1"/>
  <c r="K12" i="44"/>
  <c r="J45" i="42"/>
  <c r="L101" i="222"/>
  <c r="M48" i="222"/>
  <c r="M58" i="222"/>
  <c r="M61" i="222"/>
  <c r="M59" i="222"/>
  <c r="M50" i="222"/>
  <c r="M66" i="222"/>
  <c r="M109" i="222"/>
  <c r="M110" i="222"/>
  <c r="M108" i="222"/>
  <c r="M89" i="222"/>
  <c r="M57" i="222"/>
  <c r="M52" i="222"/>
  <c r="M49" i="222"/>
  <c r="M69" i="222"/>
  <c r="M53" i="222"/>
  <c r="L104" i="222"/>
  <c r="M92" i="222"/>
  <c r="M88" i="222"/>
  <c r="N91" i="222"/>
  <c r="M93" i="222"/>
  <c r="M84" i="222"/>
  <c r="M95" i="222"/>
  <c r="M67" i="222"/>
  <c r="I105" i="222"/>
  <c r="I76" i="222"/>
  <c r="I70" i="222"/>
  <c r="I121" i="222" s="1"/>
  <c r="M97" i="222"/>
  <c r="I106" i="222"/>
  <c r="M85" i="222"/>
  <c r="J77" i="222"/>
  <c r="J74" i="222"/>
  <c r="J78" i="222"/>
  <c r="J75" i="222"/>
  <c r="J73" i="222"/>
  <c r="J80" i="222"/>
  <c r="J65" i="222"/>
  <c r="J76" i="222"/>
  <c r="N86" i="222"/>
  <c r="M100" i="222"/>
  <c r="I117" i="222" l="1"/>
  <c r="I118" i="222" s="1"/>
  <c r="H82" i="10"/>
  <c r="D181" i="45"/>
  <c r="D183" i="45" s="1"/>
  <c r="H16" i="69"/>
  <c r="H77" i="10"/>
  <c r="H79" i="10"/>
  <c r="P12" i="44"/>
  <c r="P113" i="44" s="1"/>
  <c r="I112" i="222"/>
  <c r="J32" i="24"/>
  <c r="E18" i="1"/>
  <c r="D30" i="47"/>
  <c r="H60" i="10"/>
  <c r="H62" i="10" s="1"/>
  <c r="H78" i="10"/>
  <c r="H80" i="10"/>
  <c r="N49" i="222"/>
  <c r="N66" i="222"/>
  <c r="N89" i="222"/>
  <c r="M101" i="222"/>
  <c r="N48" i="222"/>
  <c r="N57" i="222"/>
  <c r="N52" i="222"/>
  <c r="N59" i="222"/>
  <c r="N58" i="222"/>
  <c r="N108" i="222"/>
  <c r="N109" i="222"/>
  <c r="N110" i="222"/>
  <c r="N61" i="222"/>
  <c r="N50" i="222"/>
  <c r="N53" i="222"/>
  <c r="M104" i="222"/>
  <c r="N88" i="222"/>
  <c r="N92" i="222"/>
  <c r="N93" i="222"/>
  <c r="N84" i="222"/>
  <c r="N97" i="222"/>
  <c r="N69" i="222"/>
  <c r="N95" i="222"/>
  <c r="N67" i="222"/>
  <c r="J70" i="222"/>
  <c r="J111" i="222"/>
  <c r="J112" i="222" s="1"/>
  <c r="K77" i="222"/>
  <c r="K74" i="222"/>
  <c r="K75" i="222"/>
  <c r="K73" i="222"/>
  <c r="K76" i="222"/>
  <c r="K80" i="222"/>
  <c r="K78" i="222"/>
  <c r="K65" i="222"/>
  <c r="J106" i="222"/>
  <c r="O86" i="222"/>
  <c r="P86" i="222" s="1"/>
  <c r="D122" i="79" s="1"/>
  <c r="N100" i="222"/>
  <c r="N85" i="222"/>
  <c r="J105" i="222"/>
  <c r="J117" i="222" l="1"/>
  <c r="J118" i="222" s="1"/>
  <c r="H66" i="10"/>
  <c r="H64" i="10"/>
  <c r="J121" i="222"/>
  <c r="E20" i="1"/>
  <c r="E26" i="1"/>
  <c r="E30" i="1" s="1"/>
  <c r="O91" i="222"/>
  <c r="P91" i="222" s="1"/>
  <c r="D131" i="79" s="1"/>
  <c r="N104" i="222"/>
  <c r="O52" i="222"/>
  <c r="P52" i="222" s="1"/>
  <c r="D46" i="79" s="1"/>
  <c r="O66" i="222"/>
  <c r="P66" i="222" s="1"/>
  <c r="D67" i="79" s="1"/>
  <c r="O49" i="222"/>
  <c r="P49" i="222" s="1"/>
  <c r="D43" i="79" s="1"/>
  <c r="O61" i="222"/>
  <c r="P61" i="222" s="1"/>
  <c r="D59" i="79" s="1"/>
  <c r="O50" i="222"/>
  <c r="P50" i="222" s="1"/>
  <c r="D44" i="79" s="1"/>
  <c r="O104" i="222"/>
  <c r="O53" i="222"/>
  <c r="P53" i="222" s="1"/>
  <c r="D47" i="79" s="1"/>
  <c r="O48" i="222"/>
  <c r="O89" i="222"/>
  <c r="P89" i="222" s="1"/>
  <c r="D125" i="79" s="1"/>
  <c r="O57" i="222"/>
  <c r="P57" i="222" s="1"/>
  <c r="D55" i="79" s="1"/>
  <c r="O59" i="222"/>
  <c r="P59" i="222" s="1"/>
  <c r="D57" i="79" s="1"/>
  <c r="O58" i="222"/>
  <c r="P58" i="222" s="1"/>
  <c r="D56" i="79" s="1"/>
  <c r="O85" i="222"/>
  <c r="P85" i="222" s="1"/>
  <c r="D121" i="79" s="1"/>
  <c r="O108" i="222"/>
  <c r="P108" i="222" s="1"/>
  <c r="D160" i="79" s="1"/>
  <c r="O109" i="222"/>
  <c r="P109" i="222" s="1"/>
  <c r="D161" i="79" s="1"/>
  <c r="O110" i="222"/>
  <c r="P110" i="222" s="1"/>
  <c r="D162" i="79" s="1"/>
  <c r="N101" i="222"/>
  <c r="O88" i="222"/>
  <c r="P88" i="222" s="1"/>
  <c r="D124" i="79" s="1"/>
  <c r="O92" i="222"/>
  <c r="P92" i="222" s="1"/>
  <c r="D132" i="79" s="1"/>
  <c r="O84" i="222"/>
  <c r="P84" i="222" s="1"/>
  <c r="D120" i="79" s="1"/>
  <c r="O95" i="222"/>
  <c r="P95" i="222" s="1"/>
  <c r="O67" i="222"/>
  <c r="P67" i="222" s="1"/>
  <c r="D74" i="79" s="1"/>
  <c r="O97" i="222"/>
  <c r="P97" i="222" s="1"/>
  <c r="O69" i="222"/>
  <c r="P69" i="222" s="1"/>
  <c r="D76" i="79" s="1"/>
  <c r="K70" i="222"/>
  <c r="O93" i="222"/>
  <c r="P93" i="222" s="1"/>
  <c r="D133" i="79" s="1"/>
  <c r="K111" i="222"/>
  <c r="K105" i="222"/>
  <c r="O101" i="222"/>
  <c r="P101" i="222" s="1"/>
  <c r="D153" i="79" s="1"/>
  <c r="O100" i="222"/>
  <c r="P100" i="222" s="1"/>
  <c r="D152" i="79" s="1"/>
  <c r="L77" i="222"/>
  <c r="L76" i="222"/>
  <c r="L78" i="222"/>
  <c r="L74" i="222"/>
  <c r="L65" i="222"/>
  <c r="L75" i="222"/>
  <c r="L73" i="222"/>
  <c r="L80" i="222"/>
  <c r="K106" i="222"/>
  <c r="K112" i="222" l="1"/>
  <c r="P104" i="222"/>
  <c r="D156" i="79" s="1"/>
  <c r="K117" i="222"/>
  <c r="K118" i="222" s="1"/>
  <c r="H48" i="100"/>
  <c r="D145" i="79"/>
  <c r="D149" i="79" s="1"/>
  <c r="K24" i="46" s="1"/>
  <c r="D78" i="79"/>
  <c r="D60" i="79"/>
  <c r="D135" i="79"/>
  <c r="K22" i="46" s="1"/>
  <c r="D128" i="79"/>
  <c r="H20" i="100"/>
  <c r="D140" i="79"/>
  <c r="D142" i="79" s="1"/>
  <c r="K23" i="46" s="1"/>
  <c r="K121" i="222"/>
  <c r="P48" i="222"/>
  <c r="L70" i="222"/>
  <c r="L106" i="222"/>
  <c r="L105" i="222"/>
  <c r="M77" i="222"/>
  <c r="M74" i="222"/>
  <c r="M78" i="222"/>
  <c r="M75" i="222"/>
  <c r="M73" i="222"/>
  <c r="M65" i="222"/>
  <c r="M80" i="222"/>
  <c r="M76" i="222"/>
  <c r="L112" i="222" l="1"/>
  <c r="L117" i="222"/>
  <c r="L118" i="222" s="1"/>
  <c r="D42" i="79"/>
  <c r="D50" i="79" s="1"/>
  <c r="F22" i="46"/>
  <c r="O22" i="46"/>
  <c r="D24" i="69" s="1"/>
  <c r="H24" i="69" s="1"/>
  <c r="L121" i="222"/>
  <c r="O23" i="46"/>
  <c r="D26" i="69" s="1"/>
  <c r="H26" i="69" s="1"/>
  <c r="F23" i="46"/>
  <c r="H22" i="100"/>
  <c r="J20" i="100"/>
  <c r="J22" i="100" s="1"/>
  <c r="F24" i="46"/>
  <c r="O24" i="46"/>
  <c r="D28" i="69" s="1"/>
  <c r="H28" i="69" s="1"/>
  <c r="J48" i="100"/>
  <c r="J52" i="100" s="1"/>
  <c r="H52" i="100"/>
  <c r="M70" i="222"/>
  <c r="M106" i="222"/>
  <c r="M111" i="222"/>
  <c r="M105" i="222"/>
  <c r="N77" i="222"/>
  <c r="N74" i="222"/>
  <c r="N78" i="222"/>
  <c r="N76" i="222"/>
  <c r="N75" i="222"/>
  <c r="N73" i="222"/>
  <c r="N80" i="222"/>
  <c r="N65" i="222"/>
  <c r="M117" i="222" l="1"/>
  <c r="M118" i="222" s="1"/>
  <c r="M121" i="222"/>
  <c r="M112" i="222"/>
  <c r="K19" i="46"/>
  <c r="O78" i="222"/>
  <c r="P78" i="222" s="1"/>
  <c r="D111" i="79" s="1"/>
  <c r="O73" i="222"/>
  <c r="P73" i="222" s="1"/>
  <c r="D106" i="79" s="1"/>
  <c r="O75" i="222"/>
  <c r="P75" i="222" s="1"/>
  <c r="D108" i="79" s="1"/>
  <c r="O77" i="222"/>
  <c r="P77" i="222" s="1"/>
  <c r="D110" i="79" s="1"/>
  <c r="O80" i="222"/>
  <c r="P80" i="222" s="1"/>
  <c r="D113" i="79" s="1"/>
  <c r="O65" i="222"/>
  <c r="O70" i="222"/>
  <c r="O74" i="222"/>
  <c r="P74" i="222" s="1"/>
  <c r="D107" i="79" s="1"/>
  <c r="O105" i="222"/>
  <c r="O76" i="222"/>
  <c r="P76" i="222" s="1"/>
  <c r="D109" i="79" s="1"/>
  <c r="N70" i="222"/>
  <c r="N105" i="222"/>
  <c r="N106" i="222"/>
  <c r="N111" i="222"/>
  <c r="P111" i="222" s="1"/>
  <c r="D166" i="79" s="1"/>
  <c r="D167" i="79" s="1"/>
  <c r="O106" i="222"/>
  <c r="P106" i="222" l="1"/>
  <c r="D158" i="79" s="1"/>
  <c r="N121" i="222"/>
  <c r="P105" i="222"/>
  <c r="D157" i="79" s="1"/>
  <c r="P65" i="222"/>
  <c r="O121" i="222"/>
  <c r="O117" i="222"/>
  <c r="O118" i="222" s="1"/>
  <c r="O112" i="222"/>
  <c r="O19" i="46"/>
  <c r="F19" i="46"/>
  <c r="N117" i="222"/>
  <c r="N118" i="222" s="1"/>
  <c r="D163" i="79"/>
  <c r="K25" i="46" s="1"/>
  <c r="N112" i="222"/>
  <c r="P70" i="222"/>
  <c r="D103" i="79" s="1"/>
  <c r="D115" i="79" s="1"/>
  <c r="K21" i="46" s="1"/>
  <c r="D18" i="69" l="1"/>
  <c r="F25" i="46"/>
  <c r="O25" i="46"/>
  <c r="D66" i="79"/>
  <c r="D70" i="79" s="1"/>
  <c r="P121" i="222"/>
  <c r="P117" i="222"/>
  <c r="P118" i="222" s="1"/>
  <c r="P125" i="222" s="1"/>
  <c r="Q116" i="222"/>
  <c r="F169" i="79" s="1"/>
  <c r="F21" i="46"/>
  <c r="O21" i="46"/>
  <c r="D22" i="69" s="1"/>
  <c r="H22" i="69" s="1"/>
  <c r="D30" i="69" l="1"/>
  <c r="H30" i="69" s="1"/>
  <c r="H18" i="69"/>
  <c r="K20" i="46"/>
  <c r="D169" i="79"/>
  <c r="F20" i="46" l="1"/>
  <c r="O20" i="46"/>
  <c r="G169" i="79"/>
  <c r="D20" i="69" l="1"/>
  <c r="G15" i="84"/>
  <c r="F19" i="47"/>
  <c r="L25" i="42" l="1"/>
  <c r="L29" i="42" s="1"/>
  <c r="H20" i="69"/>
  <c r="D32" i="69"/>
  <c r="H32" i="69" s="1"/>
  <c r="F15" i="84"/>
  <c r="F19" i="84" s="1"/>
  <c r="G19" i="84"/>
  <c r="G23" i="84" s="1"/>
  <c r="G50" i="10" l="1"/>
  <c r="L31" i="42"/>
  <c r="L42" i="42" s="1"/>
  <c r="L12" i="222"/>
  <c r="K12" i="222"/>
  <c r="O12" i="222"/>
  <c r="F23" i="84"/>
  <c r="O28" i="46"/>
  <c r="E12" i="222"/>
  <c r="M12" i="222"/>
  <c r="F23" i="47"/>
  <c r="F24" i="47" s="1"/>
  <c r="F26" i="47" s="1"/>
  <c r="F12" i="222"/>
  <c r="D12" i="222"/>
  <c r="H12" i="222"/>
  <c r="G12" i="222"/>
  <c r="I12" i="222"/>
  <c r="J12" i="222"/>
  <c r="N12" i="222"/>
  <c r="O31" i="46" l="1"/>
  <c r="O33" i="46" s="1"/>
  <c r="G18" i="1"/>
  <c r="F30" i="47"/>
  <c r="L43" i="42"/>
  <c r="G53" i="10" s="1"/>
  <c r="G55" i="10" s="1"/>
  <c r="P12" i="222"/>
  <c r="G113" i="10" l="1"/>
  <c r="G114" i="10"/>
  <c r="L45" i="42"/>
  <c r="G115" i="10"/>
  <c r="G58" i="10"/>
  <c r="G79" i="10" s="1"/>
  <c r="D173" i="79"/>
  <c r="P112" i="222"/>
  <c r="G20" i="1"/>
  <c r="V54" i="202" s="1"/>
  <c r="V50" i="202" s="1"/>
  <c r="T50" i="202" s="1"/>
  <c r="G26" i="1"/>
  <c r="G30" i="1" s="1"/>
  <c r="G82" i="10" l="1"/>
  <c r="G77" i="10"/>
  <c r="G76" i="10"/>
  <c r="K28" i="46"/>
  <c r="D175" i="79"/>
  <c r="D177" i="79" s="1"/>
  <c r="P119" i="222" s="1"/>
  <c r="Q119" i="222" s="1"/>
  <c r="H15" i="47"/>
  <c r="G34" i="1"/>
  <c r="G78" i="10"/>
  <c r="G80" i="10"/>
  <c r="G60" i="10"/>
  <c r="G62" i="10" s="1"/>
  <c r="G38" i="1" l="1"/>
  <c r="G64" i="10"/>
  <c r="G66" i="10"/>
  <c r="H21" i="47"/>
  <c r="J21" i="47" s="1"/>
  <c r="J15" i="47"/>
  <c r="H19" i="47"/>
  <c r="F28" i="46"/>
  <c r="F31" i="46" s="1"/>
  <c r="F33" i="46" s="1"/>
  <c r="K31" i="46"/>
  <c r="K33" i="46" s="1"/>
  <c r="M28" i="46"/>
  <c r="M31" i="46" s="1"/>
  <c r="M33" i="46" s="1"/>
  <c r="H23" i="47" l="1"/>
  <c r="J23" i="47" s="1"/>
  <c r="J19" i="47"/>
  <c r="J24" i="47" l="1"/>
  <c r="J26" i="47" s="1"/>
  <c r="J30" i="47" s="1"/>
  <c r="H24" i="47"/>
  <c r="H26" i="47" s="1"/>
  <c r="E122" i="222"/>
  <c r="E123" i="222" s="1"/>
  <c r="K122" i="222"/>
  <c r="K123" i="222" s="1"/>
  <c r="I122" i="222"/>
  <c r="I123" i="222" s="1"/>
  <c r="J122" i="222"/>
  <c r="J123" i="222" s="1"/>
  <c r="O122" i="222"/>
  <c r="O123" i="222" s="1"/>
  <c r="M122" i="222"/>
  <c r="M123" i="222" s="1"/>
  <c r="N122" i="222"/>
  <c r="N123" i="222" s="1"/>
  <c r="H122" i="222"/>
  <c r="H123" i="222" s="1"/>
  <c r="G122" i="222"/>
  <c r="G123" i="222" s="1"/>
  <c r="L122" i="222"/>
  <c r="L123" i="222" s="1"/>
  <c r="D122" i="222" l="1"/>
  <c r="D123" i="222" s="1"/>
  <c r="P122" i="222" l="1"/>
  <c r="D32" i="49"/>
  <c r="D34" i="49" s="1"/>
  <c r="L144" i="51" l="1"/>
  <c r="L146" i="51" s="1"/>
  <c r="L148" i="51" s="1"/>
  <c r="D35" i="49"/>
  <c r="L110" i="51"/>
  <c r="D26" i="49"/>
  <c r="D28" i="49" l="1"/>
  <c r="L134" i="51"/>
  <c r="L141" i="51" s="1"/>
  <c r="P141" i="51" s="1"/>
  <c r="P110" i="51"/>
  <c r="P134" i="51" s="1"/>
  <c r="J144" i="51" l="1"/>
  <c r="D29" i="49"/>
  <c r="J146" i="51" l="1"/>
  <c r="J148" i="51" s="1"/>
  <c r="J142" i="51"/>
  <c r="P142" i="51" s="1"/>
  <c r="P144" i="51" s="1"/>
  <c r="P146" i="51" s="1"/>
  <c r="P148" i="51" s="1"/>
  <c r="D37" i="49" l="1"/>
  <c r="D42" i="49" l="1"/>
  <c r="D38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<sst xmlns="http://schemas.openxmlformats.org/spreadsheetml/2006/main" count="5535" uniqueCount="1730">
  <si>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</si>
  <si>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</si>
  <si>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</si>
  <si>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</si>
  <si>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</si>
  <si>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</si>
  <si>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</si>
  <si>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</si>
  <si>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</si>
  <si>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</si>
  <si>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</si>
  <si>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</si>
  <si>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</si>
  <si>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</si>
  <si>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</si>
  <si>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</si>
  <si>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</si>
  <si>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</si>
  <si>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</si>
  <si>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</si>
  <si>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</si>
  <si>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</si>
  <si>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</si>
  <si>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</si>
  <si>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</si>
  <si>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</si>
  <si>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</si>
  <si>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</si>
  <si>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</si>
  <si>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</si>
  <si>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</si>
  <si>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</si>
  <si>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</si>
  <si>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</si>
  <si>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</si>
  <si>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</si>
  <si>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</si>
  <si>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</si>
  <si>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</si>
  <si>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</si>
  <si>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</si>
  <si>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</si>
  <si>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</si>
  <si>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</si>
  <si>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</si>
  <si>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</si>
  <si>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</si>
  <si>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</si>
  <si>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</si>
  <si>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</si>
  <si>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</si>
  <si>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</si>
  <si>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</si>
  <si>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</si>
  <si>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</si>
  <si>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</si>
  <si>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</si>
  <si>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</si>
  <si>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</si>
  <si>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</si>
  <si>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</si>
  <si>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</si>
  <si>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</si>
  <si>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</si>
  <si>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</si>
  <si>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</si>
  <si>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</si>
  <si>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</si>
  <si>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</si>
  <si>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</si>
  <si>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</si>
  <si>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</si>
  <si>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</si>
  <si>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</si>
  <si>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</si>
  <si>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</si>
  <si>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</si>
  <si>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</si>
  <si>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</si>
  <si>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</si>
  <si>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</si>
  <si>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</si>
  <si>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</si>
  <si>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</si>
  <si>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</si>
  <si>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</si>
  <si>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</si>
  <si>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</si>
  <si>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</si>
  <si>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</si>
  <si>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</si>
  <si>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</si>
  <si>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</si>
  <si>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</si>
  <si>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</si>
  <si>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</si>
  <si>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</si>
  <si>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</si>
  <si>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</si>
  <si>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</si>
  <si>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</si>
  <si>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</si>
  <si>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</si>
  <si>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</si>
  <si>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</si>
  <si>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</si>
  <si>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</si>
  <si>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</si>
  <si>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</si>
  <si>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</si>
  <si>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</si>
  <si>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</si>
  <si>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</si>
  <si>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</si>
  <si>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</si>
  <si>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</si>
  <si>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</si>
  <si>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</si>
  <si>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</si>
  <si>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</si>
  <si>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</si>
  <si>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</si>
  <si>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</si>
  <si>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</si>
  <si>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</si>
  <si>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</si>
  <si>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</si>
  <si>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</si>
  <si>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</si>
  <si>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</si>
  <si>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</si>
  <si>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</si>
  <si>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</si>
  <si>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</si>
  <si>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</si>
  <si>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</si>
  <si>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</si>
  <si>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</si>
  <si>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</si>
  <si>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</si>
  <si>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</si>
  <si>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</si>
  <si>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</si>
  <si>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</si>
  <si>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</si>
  <si>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</si>
  <si>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</si>
  <si>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</si>
  <si>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</si>
  <si>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</si>
  <si>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</si>
  <si>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</si>
  <si>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</si>
  <si>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</si>
  <si>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</si>
  <si>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</si>
  <si>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</si>
  <si>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</si>
  <si>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</si>
  <si>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</si>
  <si>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</si>
  <si>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</si>
  <si>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</si>
  <si>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</si>
  <si>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</si>
  <si>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</si>
  <si>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</si>
  <si>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</si>
  <si>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</si>
  <si>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</si>
  <si>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</si>
  <si>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</si>
  <si>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</si>
  <si>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</si>
  <si>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</si>
  <si>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</si>
  <si>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</si>
  <si>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</si>
  <si>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</si>
  <si>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</si>
  <si>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</si>
  <si>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</si>
  <si>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</si>
  <si>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</si>
  <si>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</si>
  <si>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</si>
  <si>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</si>
  <si>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</si>
  <si>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</si>
  <si>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</si>
  <si>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</si>
  <si>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</si>
  <si>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</si>
  <si>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</si>
  <si>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</si>
  <si>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</si>
  <si>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</si>
  <si>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</si>
  <si>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</si>
  <si>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</si>
  <si>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</si>
  <si>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</si>
  <si>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</si>
  <si>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</si>
  <si>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</si>
  <si>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</si>
  <si>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</si>
  <si>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</si>
  <si>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</si>
  <si>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</si>
  <si>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</si>
  <si>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</si>
  <si>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</si>
  <si>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</si>
  <si>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</si>
  <si>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</si>
  <si>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</si>
  <si>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</si>
  <si>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</si>
  <si>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</si>
  <si>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</si>
  <si>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</si>
  <si>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</si>
  <si>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</si>
  <si>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</si>
  <si>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</si>
  <si>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</si>
  <si>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</si>
  <si>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</si>
  <si>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</si>
  <si>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</si>
  <si>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</si>
  <si>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</si>
  <si>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</si>
  <si>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</si>
  <si>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</si>
  <si>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</si>
  <si>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</si>
  <si>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</si>
  <si>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</si>
  <si>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</si>
  <si>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</si>
  <si>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</si>
  <si>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</si>
  <si>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</si>
  <si>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</si>
  <si>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</si>
  <si>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</si>
  <si>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</si>
  <si>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</si>
  <si>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</si>
  <si>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</si>
  <si>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</si>
  <si>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</si>
  <si>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</si>
  <si>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</si>
  <si>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</si>
  <si>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</si>
  <si>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</si>
  <si>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</si>
  <si>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</si>
  <si>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</si>
  <si>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</si>
  <si>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</si>
  <si>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</si>
  <si>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</si>
  <si>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</si>
  <si>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</si>
  <si>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</si>
  <si>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</si>
  <si>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</si>
  <si>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</si>
  <si>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</si>
  <si>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</si>
  <si>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</si>
  <si>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</si>
  <si>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</si>
  <si>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</si>
  <si>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</si>
  <si>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</si>
  <si>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</si>
  <si>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</si>
  <si>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</si>
  <si>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</si>
  <si>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</si>
  <si>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</si>
  <si>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</si>
  <si>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</si>
  <si>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</si>
  <si>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</si>
  <si>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</si>
  <si>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</si>
  <si>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</si>
  <si>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</si>
  <si>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</si>
  <si>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</si>
  <si>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</si>
  <si>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</si>
  <si>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</si>
  <si>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</si>
  <si>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</si>
  <si>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</si>
  <si>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</si>
  <si>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</si>
  <si>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</si>
  <si>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</si>
  <si>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</si>
  <si>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</si>
  <si>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</si>
  <si>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</si>
  <si>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</si>
  <si>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</si>
  <si>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</si>
  <si>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</si>
  <si>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</si>
  <si>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</si>
  <si>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</si>
  <si>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</si>
  <si>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</si>
  <si>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</si>
  <si>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</si>
  <si>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</si>
  <si>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</si>
  <si>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</si>
  <si>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</si>
  <si>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</si>
  <si>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</si>
  <si>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</si>
  <si>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</si>
  <si>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</si>
  <si>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</si>
  <si>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</si>
  <si>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</si>
  <si>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</si>
  <si>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</si>
  <si>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</si>
  <si>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</si>
  <si>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</si>
  <si>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</si>
  <si>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</si>
  <si>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</si>
  <si>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</si>
  <si>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</si>
  <si>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</si>
  <si>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</si>
  <si>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</si>
  <si>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</si>
  <si>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</si>
  <si>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</si>
  <si>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</si>
  <si>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</si>
  <si>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</si>
  <si>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</si>
  <si>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</si>
  <si>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</si>
  <si>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</si>
  <si>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</si>
  <si>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</si>
  <si>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</si>
  <si>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</si>
  <si>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</si>
  <si>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</si>
  <si>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</si>
  <si>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</si>
  <si>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</si>
  <si>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</si>
  <si>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</si>
  <si>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</si>
  <si>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</si>
  <si>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</si>
  <si>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</si>
  <si>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</si>
  <si>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</si>
  <si>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</si>
  <si>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</si>
  <si>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</si>
  <si>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</si>
  <si>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</si>
  <si>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</si>
  <si>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</si>
  <si>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</si>
  <si>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</si>
  <si>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</si>
  <si>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</si>
  <si>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</si>
  <si>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</si>
  <si>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</si>
  <si>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</si>
  <si>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</si>
  <si>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</si>
  <si>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</si>
  <si>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</si>
  <si>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</si>
  <si>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</si>
  <si>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</si>
  <si>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</si>
  <si>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</si>
  <si>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</si>
  <si>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</si>
  <si>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</si>
  <si>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</si>
  <si>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</si>
  <si>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</si>
  <si>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</si>
  <si>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</si>
  <si>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</si>
  <si>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</si>
  <si>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</si>
  <si>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</si>
  <si>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</si>
  <si>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</si>
  <si>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</si>
  <si>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</si>
  <si>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</si>
  <si>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</si>
  <si>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</si>
  <si>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</si>
  <si>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</si>
  <si>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</si>
  <si>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</si>
  <si>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</si>
  <si>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</si>
  <si>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</si>
  <si>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</si>
  <si>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</si>
  <si>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</si>
  <si>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</si>
  <si>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</si>
  <si>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</si>
  <si>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</si>
  <si>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</si>
  <si>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</si>
  <si>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</si>
  <si>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</si>
  <si>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</si>
  <si>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</si>
  <si>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</si>
  <si>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</si>
  <si>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</si>
  <si>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</si>
  <si>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</si>
  <si>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</si>
  <si>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</si>
  <si>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</si>
  <si>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</si>
  <si>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</si>
  <si>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</si>
  <si>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</si>
  <si>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</si>
  <si>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</si>
  <si>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</si>
  <si>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</si>
  <si>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</si>
  <si>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</si>
  <si>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</si>
  <si>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</si>
  <si>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</si>
  <si>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</si>
  <si>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</si>
  <si>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</si>
  <si>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</si>
  <si>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</si>
  <si>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</si>
  <si>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</si>
  <si>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</si>
  <si>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</si>
  <si>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</si>
  <si>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</si>
  <si>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</si>
  <si>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</si>
  <si>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</si>
  <si>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</si>
  <si>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</si>
  <si>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</si>
  <si>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</si>
  <si>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</si>
  <si>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</si>
  <si>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</si>
  <si>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</si>
  <si>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</si>
  <si>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</si>
  <si>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</si>
  <si>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</si>
  <si>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</si>
  <si>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</si>
  <si>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</si>
  <si>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</si>
  <si>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</si>
  <si>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</si>
  <si>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</si>
  <si>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</si>
  <si>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</si>
  <si>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</si>
  <si>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</si>
  <si>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</si>
  <si>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</si>
  <si>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</si>
  <si>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</si>
  <si>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</si>
  <si>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</si>
  <si>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</si>
  <si>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</si>
  <si>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</si>
  <si>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</si>
  <si>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</si>
  <si>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</si>
  <si>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</si>
  <si>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</si>
  <si>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</si>
  <si>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</si>
  <si>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</si>
  <si>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</si>
  <si>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</si>
  <si>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</si>
  <si>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</si>
  <si>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</si>
  <si>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</si>
  <si>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</si>
  <si>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</si>
  <si>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</si>
  <si>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</si>
  <si>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</si>
  <si>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</si>
  <si>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</si>
  <si>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</si>
  <si>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</si>
  <si>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</si>
  <si>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</si>
  <si>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</si>
  <si>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</si>
  <si>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</si>
  <si>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</si>
  <si>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</si>
  <si>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</si>
  <si>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</si>
  <si>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</si>
  <si>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</si>
  <si>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</si>
  <si>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</si>
  <si>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</si>
  <si>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</si>
  <si>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</si>
  <si>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</si>
  <si>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</si>
  <si>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</si>
  <si>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</si>
  <si>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</si>
  <si>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</si>
  <si>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</si>
  <si>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</si>
  <si>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</si>
  <si>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</si>
  <si>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</si>
  <si>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</si>
  <si>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</si>
  <si>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</si>
  <si>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</si>
  <si>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</si>
  <si>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</si>
  <si>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</si>
  <si>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</si>
  <si>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</si>
  <si>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</si>
  <si>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</si>
  <si>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</si>
  <si>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</si>
  <si>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</si>
  <si>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</si>
  <si>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</si>
  <si>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</si>
  <si>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</si>
  <si>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</si>
  <si>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</si>
  <si>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</si>
  <si>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</si>
  <si>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</si>
  <si>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</si>
  <si>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</si>
  <si>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</si>
  <si>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</si>
  <si>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</si>
  <si>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</si>
  <si>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</si>
  <si>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</si>
  <si>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</si>
  <si>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</si>
  <si>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</si>
  <si>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</si>
  <si>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</si>
  <si>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</si>
  <si>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</si>
  <si>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</si>
  <si>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</si>
  <si>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</si>
  <si>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</si>
  <si>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</si>
  <si>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</si>
  <si>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</si>
  <si>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</si>
  <si>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</si>
  <si>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</si>
  <si>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</si>
  <si>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</si>
  <si>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</si>
  <si>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</si>
  <si>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</si>
  <si>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</si>
  <si>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</si>
  <si>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</si>
  <si>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</si>
  <si>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</si>
  <si>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</si>
  <si>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</si>
  <si>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</si>
  <si>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</si>
  <si>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</si>
  <si>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</si>
  <si>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</si>
  <si>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</si>
  <si>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</si>
  <si>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</si>
  <si>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</si>
  <si>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</si>
  <si>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</si>
  <si>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</si>
  <si>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</si>
  <si>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</si>
  <si>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</si>
  <si>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</si>
  <si>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</si>
  <si>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</si>
  <si>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</si>
  <si>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</si>
  <si>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</si>
  <si>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</si>
  <si>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</si>
  <si>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</si>
  <si>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</si>
  <si>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</si>
  <si>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</si>
  <si>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</si>
  <si>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</si>
  <si>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</si>
  <si>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</si>
  <si>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</si>
  <si>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</si>
  <si>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</si>
  <si>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</si>
  <si>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</si>
  <si>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</si>
  <si>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</si>
  <si>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</si>
  <si>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</si>
  <si>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</si>
  <si>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</si>
  <si>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</si>
  <si>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</si>
  <si>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</si>
  <si>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</si>
  <si>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</si>
  <si>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</si>
  <si>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</si>
  <si>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</si>
  <si>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</si>
  <si>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</si>
  <si>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</si>
  <si>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</si>
  <si>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</si>
  <si>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</si>
  <si>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</si>
  <si>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</si>
  <si>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</si>
  <si>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</si>
  <si>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</si>
  <si>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</si>
  <si>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</si>
  <si>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</si>
  <si>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</si>
  <si>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</si>
  <si>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</si>
  <si>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</si>
  <si>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</si>
  <si>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</si>
  <si>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</si>
  <si>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</si>
  <si>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</si>
  <si>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</si>
  <si>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</si>
  <si>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</si>
  <si>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</si>
  <si>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</si>
  <si>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</si>
  <si>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</si>
  <si>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</si>
  <si>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</si>
  <si>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</si>
  <si>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</si>
  <si>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</si>
  <si>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</si>
  <si>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</si>
  <si>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</si>
  <si>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</si>
  <si>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</si>
  <si>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</si>
  <si>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</si>
  <si>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</si>
  <si>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</si>
  <si>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</si>
  <si>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</si>
  <si>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</si>
  <si>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</si>
  <si>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</si>
  <si>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</si>
  <si>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</si>
  <si>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</si>
  <si>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</si>
  <si>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</si>
  <si>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</si>
  <si>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</si>
  <si>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</si>
  <si>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</si>
  <si>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</si>
  <si>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</si>
  <si>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</si>
  <si>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</si>
  <si>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</si>
  <si>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</si>
  <si>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</si>
  <si>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</si>
  <si>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</si>
  <si>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</si>
  <si>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</si>
  <si>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</si>
  <si>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</si>
  <si>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</si>
  <si>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</si>
  <si>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</si>
  <si>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</si>
  <si>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</si>
  <si>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</si>
  <si>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</si>
  <si>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</si>
  <si>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</si>
  <si>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</si>
  <si>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</si>
  <si>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</si>
  <si>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</si>
  <si>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</si>
  <si>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</si>
  <si>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</si>
  <si>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</si>
  <si>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</si>
  <si>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</si>
  <si>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</si>
  <si>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</si>
  <si>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</si>
  <si>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</si>
  <si>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</si>
  <si>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</si>
  <si>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</si>
  <si>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</si>
  <si>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</si>
  <si>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</si>
  <si>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</si>
  <si>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</si>
  <si>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</si>
  <si>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</si>
  <si>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</si>
  <si>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</si>
  <si>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</si>
  <si>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</si>
  <si>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</si>
  <si>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</si>
  <si>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</si>
  <si>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</si>
  <si>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</si>
  <si>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</si>
  <si>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</si>
  <si>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</si>
  <si>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</si>
  <si>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</si>
  <si>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</si>
  <si>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</si>
  <si>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</si>
  <si>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</si>
  <si>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</si>
  <si>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</si>
  <si>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</si>
  <si>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</si>
  <si>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</si>
  <si>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</si>
  <si>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</si>
  <si>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</si>
  <si>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</si>
  <si>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</si>
  <si>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</si>
  <si>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</si>
  <si>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</si>
  <si>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</si>
  <si>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</si>
  <si>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</si>
  <si>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</si>
  <si>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</si>
  <si>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</si>
  <si>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</si>
  <si>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</si>
  <si>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</si>
  <si>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</si>
  <si>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</si>
  <si>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</si>
  <si>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</si>
  <si>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</si>
  <si>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</si>
  <si>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</si>
  <si>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</si>
  <si>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</si>
  <si>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</si>
  <si>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</si>
  <si>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</si>
  <si>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</si>
  <si>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</si>
  <si>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</si>
  <si>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</si>
  <si>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</si>
  <si>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</si>
  <si>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</si>
  <si>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</si>
  <si>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</si>
  <si>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</si>
  <si>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</si>
  <si>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</si>
  <si>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</si>
  <si>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</si>
  <si>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</si>
  <si>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</si>
  <si>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</si>
  <si>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</si>
  <si>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</si>
  <si>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</si>
  <si>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</si>
  <si>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</si>
  <si>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</si>
  <si>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</si>
  <si>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</si>
  <si>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</si>
  <si>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</si>
  <si>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</si>
  <si>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</si>
  <si>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</si>
  <si>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</si>
  <si>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</si>
  <si>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</si>
  <si>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</si>
  <si>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</si>
  <si>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</si>
  <si>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</si>
  <si>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</si>
  <si>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</si>
  <si>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</si>
  <si>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</si>
  <si>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</si>
  <si>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</si>
  <si>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</si>
  <si>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</si>
  <si>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</si>
  <si>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</si>
  <si>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</si>
  <si>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</si>
  <si>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</si>
  <si>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</si>
  <si>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</si>
  <si>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</si>
  <si>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</si>
  <si>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</si>
  <si>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</si>
  <si>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</si>
  <si>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</si>
  <si>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</si>
  <si>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</si>
  <si>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</si>
  <si>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</si>
  <si>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</si>
  <si>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</si>
  <si>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</si>
  <si>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</si>
  <si>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</si>
  <si>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</si>
  <si>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</si>
  <si>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</si>
  <si>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</si>
  <si>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</si>
  <si>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</si>
  <si>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</si>
  <si>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</si>
  <si>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</si>
  <si>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</si>
  <si>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</si>
  <si>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</si>
  <si>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</si>
  <si>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</si>
  <si>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</si>
  <si>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</si>
  <si>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</si>
  <si>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</si>
  <si>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</si>
  <si>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</si>
  <si>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</si>
  <si>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</si>
  <si>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</si>
  <si>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</si>
  <si>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</si>
  <si>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</si>
  <si>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</si>
  <si>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</si>
  <si>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</si>
  <si>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</si>
  <si>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</si>
  <si>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</si>
  <si>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</si>
  <si>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</si>
  <si>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</si>
  <si>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</si>
  <si>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</si>
  <si>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</si>
  <si>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</si>
  <si>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</si>
  <si>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</si>
  <si>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</si>
  <si>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</si>
  <si>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</si>
  <si>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</si>
  <si>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</si>
  <si>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</si>
  <si>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</si>
  <si>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</si>
  <si>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</si>
  <si>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</si>
  <si>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</si>
  <si>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</si>
  <si>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</si>
  <si>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</si>
  <si>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</si>
  <si>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</si>
  <si>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</si>
  <si>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</si>
  <si>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</si>
  <si>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</si>
  <si>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</si>
  <si>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</si>
  <si>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</si>
  <si>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</si>
  <si>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</si>
  <si>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</si>
  <si>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</si>
  <si>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</si>
  <si>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</si>
  <si>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</si>
  <si>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</si>
  <si>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</si>
  <si>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</si>
  <si>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</si>
  <si>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</si>
  <si>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</si>
  <si>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</si>
  <si>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</si>
  <si>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</si>
  <si>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</si>
  <si>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</si>
  <si>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</si>
  <si>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</si>
  <si>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</si>
  <si>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</si>
  <si>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</si>
  <si>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</si>
  <si>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</si>
  <si>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</si>
  <si>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</si>
  <si>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</si>
  <si>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</si>
  <si>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</si>
  <si>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</si>
  <si>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</si>
  <si>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</si>
  <si>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</si>
  <si>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</si>
  <si>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</si>
  <si>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</si>
  <si>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</si>
  <si>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</si>
  <si>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</si>
  <si>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</si>
  <si>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</si>
  <si>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</si>
  <si>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</si>
  <si>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</si>
  <si>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</si>
  <si>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</si>
  <si>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</si>
  <si>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</si>
  <si>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</si>
  <si>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</si>
  <si>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</si>
  <si>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</si>
  <si>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</si>
  <si>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</si>
  <si>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</si>
  <si>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</si>
  <si>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</si>
  <si>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</si>
  <si>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</si>
  <si>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</si>
  <si>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</si>
  <si>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</si>
  <si>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</si>
  <si>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</si>
  <si>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</si>
  <si>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</si>
  <si>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</si>
  <si>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</si>
  <si>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</si>
  <si>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</si>
  <si>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</si>
  <si>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</si>
  <si>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</si>
  <si>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</si>
  <si>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</si>
  <si>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</si>
  <si>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</si>
  <si>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</si>
  <si>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</si>
  <si>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</si>
  <si>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</si>
  <si>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</si>
  <si>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</si>
  <si>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</si>
  <si>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</si>
  <si>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</si>
  <si>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</si>
  <si>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</si>
  <si>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</si>
  <si>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</si>
  <si>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</si>
  <si>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</si>
  <si>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</si>
  <si>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</si>
  <si>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</si>
  <si>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</si>
  <si>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</si>
  <si>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</si>
  <si>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</si>
  <si>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</si>
  <si>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</si>
  <si>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</si>
  <si>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</si>
  <si>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</si>
  <si>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</si>
  <si>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</si>
  <si>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</si>
  <si>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</si>
  <si>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</si>
  <si>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</si>
  <si>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</si>
  <si>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</si>
  <si>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</si>
  <si>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</si>
  <si>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</si>
  <si>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</si>
  <si>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</si>
  <si>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</si>
  <si>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</si>
  <si>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</si>
  <si>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</si>
  <si>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</si>
  <si>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</si>
  <si>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</si>
  <si>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</si>
  <si>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</si>
  <si>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</si>
  <si>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</si>
  <si>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</si>
  <si>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</si>
  <si>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</si>
  <si>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</si>
  <si>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</si>
  <si>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</si>
  <si>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</si>
  <si>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</si>
  <si>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</si>
  <si>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</si>
  <si>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</si>
  <si>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</si>
  <si>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</si>
  <si>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</si>
  <si>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</si>
  <si>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</si>
  <si>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</si>
  <si>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</si>
  <si>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</si>
  <si>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</si>
  <si>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</si>
  <si>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</si>
  <si>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</si>
  <si>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</si>
  <si>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</si>
  <si>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</si>
  <si>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</si>
  <si>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</si>
  <si>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</si>
  <si>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</si>
  <si>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</si>
  <si>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</si>
  <si>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</si>
  <si>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</si>
  <si>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</si>
  <si>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</si>
  <si>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</si>
  <si>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</si>
  <si>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</si>
  <si>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</si>
  <si>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</si>
  <si>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</si>
  <si>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</si>
  <si>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</si>
  <si>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</si>
  <si>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</si>
  <si>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</si>
  <si>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</si>
  <si>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</si>
  <si>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</si>
  <si>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</si>
  <si>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</si>
  <si>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</si>
  <si>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</si>
  <si>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</si>
  <si>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</si>
  <si>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</si>
  <si>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</si>
  <si>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</si>
  <si>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</si>
  <si>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</si>
  <si>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</si>
  <si>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</si>
  <si>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</si>
  <si>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</si>
  <si>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</si>
  <si>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</si>
  <si>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</si>
  <si>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</si>
  <si>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</si>
  <si>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</si>
  <si>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</si>
  <si>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</si>
  <si>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</si>
  <si>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</si>
  <si>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</si>
  <si>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</si>
  <si>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</si>
  <si>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</si>
  <si>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</si>
  <si>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</si>
  <si>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</si>
  <si>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</si>
  <si>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</si>
  <si>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</si>
  <si>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</si>
  <si>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</si>
  <si>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</si>
  <si>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</si>
  <si>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</si>
  <si>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</si>
  <si>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</si>
  <si>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</si>
  <si>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</si>
  <si>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</si>
  <si>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</si>
  <si>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</si>
  <si>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</si>
  <si>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</si>
  <si>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</si>
  <si>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</si>
  <si>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</si>
  <si>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</si>
  <si>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</si>
  <si>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</si>
  <si>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</si>
  <si>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</si>
  <si>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</si>
  <si>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</si>
  <si>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</si>
  <si>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</si>
  <si>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</si>
  <si>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</si>
  <si>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</si>
  <si>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</si>
  <si>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</si>
  <si>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</si>
  <si>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</si>
  <si>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</si>
  <si>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</si>
  <si>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</si>
  <si>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</si>
  <si>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</si>
  <si>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</si>
  <si>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</si>
  <si>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</si>
  <si>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</si>
  <si>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</si>
  <si>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</si>
  <si>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</si>
  <si>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</si>
  <si>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</si>
  <si>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</si>
  <si>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</si>
  <si>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</si>
  <si>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</si>
  <si>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</si>
  <si>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</si>
  <si>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</si>
  <si>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</si>
  <si>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</si>
  <si>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</si>
  <si>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</si>
  <si>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</si>
  <si>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</si>
  <si>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</si>
  <si>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</si>
  <si>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</si>
  <si>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</si>
  <si>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</si>
  <si>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</si>
  <si>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</si>
  <si>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</si>
  <si>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</si>
  <si>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</si>
  <si>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</si>
  <si>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</si>
  <si>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</si>
  <si>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</si>
  <si>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</si>
  <si>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</si>
  <si>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</si>
  <si>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</si>
  <si>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</si>
  <si>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CAVE CITY CHAMBER OF COMMERCE</t>
  </si>
  <si>
    <t>GRAND RIVERS CHAMBER OF COMMERCE</t>
  </si>
  <si>
    <t>GREATER MUHLENBERG CHAMBER OF COMMERCE</t>
  </si>
  <si>
    <t>GREATER OWENSBORO CHAMBER OF COMMERCE</t>
  </si>
  <si>
    <t>HART COUNTY CHAMBER OF COMMERCE</t>
  </si>
  <si>
    <t>HOPKINS COUNTY HOME BUILDERS ASSOCIATION</t>
  </si>
  <si>
    <t>KENTUCKY GAS ASSOCIATION</t>
  </si>
  <si>
    <t>LAKE BARKLEY CHAMBER OF COMMERCE</t>
  </si>
  <si>
    <t>LINCOLN COUNTY CHAMBER OF COMMERCE</t>
  </si>
  <si>
    <t>OHIO COUNTY CHAMBER OF COMMERCE</t>
  </si>
  <si>
    <t>PADUCAH AREA CHAMBER OF COMMERCE</t>
  </si>
  <si>
    <t>SHELBY COUNTY CHAMBER OF COMMERCE</t>
  </si>
  <si>
    <t>SOCIETY FOR MARKETING PROFESSIONAL SERVICES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</si>
  <si>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</si>
  <si>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</si>
  <si>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</si>
  <si>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</si>
  <si>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</si>
  <si>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</si>
  <si>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</si>
  <si>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</si>
  <si>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</si>
  <si>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</si>
  <si>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</si>
  <si>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</si>
  <si>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</si>
  <si>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</si>
  <si>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</si>
  <si>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</si>
  <si>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</si>
  <si>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</si>
  <si>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</si>
  <si>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</si>
  <si>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</si>
  <si>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</si>
  <si>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</si>
  <si>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</si>
  <si>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</si>
  <si>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</si>
  <si>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</si>
  <si>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</si>
  <si>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</si>
  <si>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</si>
  <si>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</si>
  <si>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</si>
  <si>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</si>
  <si>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</si>
  <si>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</si>
  <si>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</si>
  <si>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</si>
  <si>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</si>
  <si>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</si>
  <si>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</si>
  <si>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</si>
  <si>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</si>
  <si>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</si>
  <si>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</si>
  <si>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</si>
  <si>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</si>
  <si>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</si>
  <si>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</si>
  <si>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</si>
  <si>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</si>
  <si>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</si>
  <si>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</si>
  <si>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</si>
  <si>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</si>
  <si>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</si>
  <si>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</si>
  <si>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</si>
  <si>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</si>
  <si>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</si>
  <si>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</si>
  <si>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</si>
  <si>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</si>
  <si>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</si>
  <si>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</si>
  <si>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</si>
  <si>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</si>
  <si>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</si>
  <si>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</si>
  <si>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</si>
  <si>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</si>
  <si>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</si>
  <si>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</si>
  <si>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</si>
  <si>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</si>
  <si>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</si>
  <si>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</si>
  <si>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</si>
  <si>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</si>
  <si>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</si>
  <si>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</si>
  <si>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</si>
  <si>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</si>
  <si>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</si>
  <si>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</si>
  <si>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</si>
  <si>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</si>
  <si>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</si>
  <si>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</si>
  <si>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</si>
  <si>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</si>
  <si>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</si>
  <si>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</t>
  </si>
  <si>
    <t xml:space="preserve">Depreciation  Expense - The purpose of this adjustment is to reflect the change in 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</si>
  <si>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</si>
  <si>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</si>
  <si>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</si>
  <si>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</si>
  <si>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</si>
  <si>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</si>
  <si>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</si>
  <si>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</si>
  <si>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</si>
  <si>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</si>
  <si>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</si>
  <si>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</si>
  <si>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</si>
  <si>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</si>
  <si>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</si>
  <si>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</si>
  <si>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</si>
  <si>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</si>
  <si>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</si>
  <si>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</si>
  <si>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</si>
  <si>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</si>
  <si>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</si>
  <si>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</si>
  <si>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</si>
  <si>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</si>
  <si>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</si>
  <si>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</si>
  <si>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</si>
  <si>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</si>
  <si>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</si>
  <si>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</si>
  <si>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</si>
  <si>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</si>
  <si>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</si>
  <si>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</si>
  <si>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</si>
  <si>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</si>
  <si>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Commercial Revenue</t>
  </si>
  <si>
    <t>Industrial Revenue</t>
  </si>
  <si>
    <t>forecasted</t>
  </si>
  <si>
    <t>4060</t>
  </si>
  <si>
    <t>Field measuring and regulating station expenses</t>
  </si>
  <si>
    <t>39924-Oth Tang Prop - Gen.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</si>
  <si>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</si>
  <si>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</si>
  <si>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</si>
  <si>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</si>
  <si>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</si>
  <si>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</si>
  <si>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CHRISTIAN COUNTY CHAMBER OF COMMERCE</t>
  </si>
  <si>
    <t>GREATER OWENSBORO ECONOMIC DEVELOPMENT CORP</t>
  </si>
  <si>
    <t>KENTUCKY OIL AND GAS ASSOCIATION</t>
  </si>
  <si>
    <t>MARION COUNTY CHAMBER OF COMMERCE</t>
  </si>
  <si>
    <t>Retirement Work in Progress Recon</t>
  </si>
  <si>
    <t>Transmission-Maintenance of me - Non-Inventory Supplies 8650-02005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</si>
  <si>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</si>
  <si>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</si>
  <si>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</si>
  <si>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</si>
  <si>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</si>
  <si>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</si>
  <si>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</si>
  <si>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</si>
  <si>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</si>
  <si>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</si>
  <si>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</si>
  <si>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</si>
  <si>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</si>
  <si>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</si>
  <si>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</si>
  <si>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</si>
  <si>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</si>
  <si>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</si>
  <si>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</si>
  <si>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</si>
  <si>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</si>
  <si>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</si>
  <si>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</si>
  <si>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</si>
  <si>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</si>
  <si>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</si>
  <si>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</si>
  <si>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</si>
  <si>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</si>
  <si>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</si>
  <si>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</si>
  <si>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</si>
  <si>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</si>
  <si>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</si>
  <si>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</si>
  <si>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</si>
  <si>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</si>
  <si>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Change in NOLC</t>
  </si>
  <si>
    <t>Regulated Asset Balance</t>
  </si>
  <si>
    <t>Amortization Expense</t>
  </si>
  <si>
    <t>(13 Month Average)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</si>
  <si>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</si>
  <si>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</si>
  <si>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</si>
  <si>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</si>
  <si>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</si>
  <si>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</si>
  <si>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</si>
  <si>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</si>
  <si>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</si>
  <si>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</si>
  <si>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</si>
  <si>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</si>
  <si>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</si>
  <si>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</si>
  <si>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</si>
  <si>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</si>
  <si>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</si>
  <si>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</si>
  <si>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</si>
  <si>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</si>
  <si>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</si>
  <si>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</si>
  <si>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</si>
  <si>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</si>
  <si>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</si>
  <si>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</si>
  <si>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</si>
  <si>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</si>
  <si>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</si>
  <si>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</si>
  <si>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</si>
  <si>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</si>
  <si>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</si>
  <si>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</si>
  <si>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</si>
  <si>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6.75% Debentures Unsecured due July 2028</t>
  </si>
  <si>
    <t>6.67% MTN A1 due Dec 2025</t>
  </si>
  <si>
    <t>5.95% Sr Note due 10/15/2034</t>
  </si>
  <si>
    <t>Sr Note 5.50% Due 06/15/2041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</si>
  <si>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</si>
  <si>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</si>
  <si>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</si>
  <si>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</si>
  <si>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</si>
  <si>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>due primarily to adjustments to labor capitalization rate versus the base period.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</si>
  <si>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</si>
  <si>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</si>
  <si>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</si>
  <si>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</si>
  <si>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</si>
  <si>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>Gas Purchase Costs - The purpose of this Adjustment is to reflect the purchase quantities</t>
  </si>
  <si>
    <t>as of March 31, 2019</t>
  </si>
  <si>
    <t>as of December 31, 2017</t>
  </si>
  <si>
    <t>Communication Equip.</t>
  </si>
  <si>
    <t>Servers Hardware</t>
  </si>
  <si>
    <t>Servers Software</t>
  </si>
  <si>
    <t>Office Furniture And</t>
  </si>
  <si>
    <t>Struct &amp; Improv AEAM</t>
  </si>
  <si>
    <t>Improv-Leased AEAM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</si>
  <si>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</si>
  <si>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</si>
  <si>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</si>
  <si>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</si>
  <si>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</si>
  <si>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</si>
  <si>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</si>
  <si>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Remittance Processing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</si>
  <si>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</si>
  <si>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</si>
  <si>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</si>
  <si>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</si>
  <si>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</si>
  <si>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</si>
  <si>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</si>
  <si>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</si>
  <si>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</si>
  <si>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</si>
  <si>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</si>
  <si>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</si>
  <si>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NOTE:  There are no OCC expenses for the Base Period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</si>
  <si>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</si>
  <si>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</si>
  <si>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</si>
  <si>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</si>
  <si>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</si>
  <si>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</si>
  <si>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</si>
  <si>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</si>
  <si>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</si>
  <si>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</si>
  <si>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</si>
  <si>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</si>
  <si>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</si>
  <si>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</si>
  <si>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</si>
  <si>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</si>
  <si>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</si>
  <si>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</si>
  <si>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</si>
  <si>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</si>
  <si>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</si>
  <si>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</si>
  <si>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</si>
  <si>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</si>
  <si>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</si>
  <si>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</si>
  <si>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</si>
  <si>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</si>
  <si>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</si>
  <si>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</si>
  <si>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</si>
  <si>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</si>
  <si>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</si>
  <si>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</si>
  <si>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</si>
  <si>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</si>
  <si>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</si>
  <si>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</si>
  <si>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</si>
  <si>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</si>
  <si>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</si>
  <si>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</si>
  <si>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</si>
  <si>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AEAM</t>
  </si>
  <si>
    <t>ALGN</t>
  </si>
  <si>
    <t>3% Sr Note dues 6/15/2027</t>
  </si>
  <si>
    <t>3% Sr Note due 6/15/2027</t>
  </si>
  <si>
    <t>$200MM 3YR Sr Credit Facility (Est. 9/22/16)</t>
  </si>
  <si>
    <t>Less Unamortized Debt Expenses</t>
  </si>
  <si>
    <t>2016</t>
  </si>
  <si>
    <t>2015</t>
  </si>
  <si>
    <t>COMMITMENT FEE &amp; BANK ADMIN</t>
  </si>
  <si>
    <t>Donations</t>
  </si>
  <si>
    <t>CADIZ ROTARY CLUB</t>
  </si>
  <si>
    <t>FRANKLIN-SIMPSON CHAMBER OF COMMERCE</t>
  </si>
  <si>
    <t>GREATER OWENSBORO REALTOR ASSOCIATION</t>
  </si>
  <si>
    <t>HOME BUILDERS ASSOCIATION OF OWENSBORO</t>
  </si>
  <si>
    <t>HOPKINSVILLE CHRISTIAN AND TODD COUNTY ASSN OF REALTORS</t>
  </si>
  <si>
    <t>KENTUCKY CHAMBER OF COMMERCE</t>
  </si>
  <si>
    <t>KENTUCKY COUNTY JUDGE EXECUTIVE ASSOCIATION</t>
  </si>
  <si>
    <t>LOGAN COUNTY HOME BUILDERS</t>
  </si>
  <si>
    <t>NACE INTERNATIONAL</t>
  </si>
  <si>
    <t>PRINCETON / CALDWELL COUNTY CHAMBER OF COMMERCE</t>
  </si>
  <si>
    <t>SOUTH WESTERN KENTUCKY ECONOMIC DEVELOPMENT COUNCIL</t>
  </si>
  <si>
    <t xml:space="preserve">  SERP</t>
  </si>
  <si>
    <t xml:space="preserve">  FICA/FUTA/SUTA</t>
  </si>
  <si>
    <t>2021</t>
  </si>
  <si>
    <t>C2.2 Jurirep Acct 9220.xlsx</t>
  </si>
  <si>
    <t>F.6 Schedule Rate Case Expenses.xls</t>
  </si>
  <si>
    <t>changes in gas costs between the periods.</t>
  </si>
  <si>
    <t>C.2.2 Jurirep 9220.xlsx</t>
  </si>
  <si>
    <t>Thirteen Month Average as of March 31, 2019</t>
  </si>
  <si>
    <t>Includes 7 Officers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</si>
  <si>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</si>
  <si>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</si>
  <si>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</si>
  <si>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</si>
  <si>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</si>
  <si>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</si>
  <si>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Witness:  Christian</t>
  </si>
  <si>
    <t>Witness: Gillham, Martin, and Waller</t>
  </si>
  <si>
    <t>for sales service.  The Base Period includes Unbilled Gas Costs that will zero out by the end</t>
  </si>
  <si>
    <t xml:space="preserve">changes in demand for existing industries and account for migration to/from transportation service </t>
  </si>
  <si>
    <t>increases and reductions, shifts from base period to test year and</t>
  </si>
  <si>
    <t>Deferred Liablity Amortization</t>
  </si>
  <si>
    <t>ADIT Excess Deferred Liabilities</t>
  </si>
  <si>
    <t>Account 2530 - 27909</t>
  </si>
  <si>
    <t>Regulatory Assets / Liabilities</t>
  </si>
  <si>
    <t>WP B.5 F1; F.6</t>
  </si>
  <si>
    <t>Regulatory Assets / Liabilities*</t>
  </si>
  <si>
    <t>Base Period: Twelve Months Ended December 31, 2018</t>
  </si>
  <si>
    <t>Forecasted Test Period: Twelve Months Ended March 31, 2020</t>
  </si>
  <si>
    <t>as of December 31, 2018</t>
  </si>
  <si>
    <t>as of March 31, 2020</t>
  </si>
  <si>
    <t>2017</t>
  </si>
  <si>
    <t xml:space="preserve">   (1)  Interest Rate is the actual average rate for 12 Months Ended June 30, 2018. </t>
  </si>
  <si>
    <t>G.1 Benefits Rates Calc FY18.xlsx</t>
  </si>
  <si>
    <t>div 9 labor analysis-2018.xlsx</t>
  </si>
  <si>
    <t>OM for KY-2018.xlsx</t>
  </si>
  <si>
    <t>Sales-Miscellaneous sales expenses</t>
  </si>
  <si>
    <t>Provision for Rate Refunds</t>
  </si>
  <si>
    <t>MCLEAN COUNTY CHAMBER OF COMMERCE</t>
  </si>
  <si>
    <t>LEADERSHIP KENTUCKY FOUNDATION INC.</t>
  </si>
  <si>
    <t>LAKE NEWS</t>
  </si>
  <si>
    <t>PENNYRILE BOARD OF REALTORS</t>
  </si>
  <si>
    <t>CAMPBELLSVILLE / TAYLOR COUNTY CHAMBER OF COMMERCE</t>
  </si>
  <si>
    <t>GLASGOW/BARREN COUNTY CHAMBER OF COMMERCE</t>
  </si>
  <si>
    <t>TRIGG COUNTY CHAMBER OF COMMERCE</t>
  </si>
  <si>
    <t>BUILDING INDUSTRY ASSOCIATION OF GREATER LOUISVILLE</t>
  </si>
  <si>
    <t>GREATER BRECKINRIDGE COUNTY CHAMBER OF COMMERCE</t>
  </si>
  <si>
    <t>GREENSBURG / GREEN COUNTY CHAMBER OF COMMERCE</t>
  </si>
  <si>
    <t>MAYFIELD /GRAVES COUNTY CHAMBER OF COMMERCE</t>
  </si>
  <si>
    <t>KENTUCKY ASSOCIATION OF MASTER CONTRACTORS INC</t>
  </si>
  <si>
    <t>ECONOMIC DEVELOPMENT COUNCIL</t>
  </si>
  <si>
    <t>MAD HOP CO BOARD OF REALTORS</t>
  </si>
  <si>
    <t>KENTUCKY RESTAURANT ASSOCIATION</t>
  </si>
  <si>
    <t>BOWLING GREEN AREA CHAMBER OF COMMERCE</t>
  </si>
  <si>
    <t>HOPKINS COUNTY REGIONAL CHAMBER OF COMMERCE</t>
  </si>
  <si>
    <t>REALTOR ASSOCIATION OF SOUTHERN KENTUCKY</t>
  </si>
  <si>
    <t>HOME BUILDERS ASSOCIATION</t>
  </si>
  <si>
    <t>DANVILLE BOYLE COUNTY CHAMBER OF COMMERCE</t>
  </si>
  <si>
    <t>KENTUCKY LAKE CHAMBER OF COMMERCE</t>
  </si>
  <si>
    <t>DAWSON SPRINGS CHAMBER OF COMMERCE</t>
  </si>
  <si>
    <t>OWENSBORO ASSN OF PLUMBING HEATING AND COOLING CONTRACTORS INC</t>
  </si>
  <si>
    <t>PADUCAH BOARD OF REALTORS INC</t>
  </si>
  <si>
    <t>AMERICAN SOCIETY OF MECHANICAL ENGINEERS</t>
  </si>
  <si>
    <t>OKLAHOMA ACCOUNTANCY BOARD</t>
  </si>
  <si>
    <t>TENNESSEE PROFESSIONAL ENGINEER (LICENSE RENEWAL)</t>
  </si>
  <si>
    <t>SAM'S CLUB</t>
  </si>
  <si>
    <t>KENTUCKY STATE TREASURER (NOTARY RENEWAL)</t>
  </si>
  <si>
    <t>CITY OF STANFORD, KY (BUSINESS LICENSE)</t>
  </si>
  <si>
    <t>WARREN COUNTY CLERKS OFFICE</t>
  </si>
  <si>
    <t>NATIONAL SOCIETY OF PROFESSIONAL  ENGINEERS</t>
  </si>
  <si>
    <t xml:space="preserve">TNTAP </t>
  </si>
  <si>
    <t>CRITTENDEN COUNTY ECONOMIC DEVELOPMENT</t>
  </si>
  <si>
    <t>GARRARD COUNTY CHAMBER OF COMMERCE</t>
  </si>
  <si>
    <t>Amortization of Excess ADIT</t>
  </si>
  <si>
    <t>WP B.5 F1</t>
  </si>
  <si>
    <t>Regulatory Liability Balance</t>
  </si>
  <si>
    <t>2022</t>
  </si>
  <si>
    <t>Mains - Anodes</t>
  </si>
  <si>
    <t>Mains - Leak Clamps</t>
  </si>
  <si>
    <t>SVP, Human Resources</t>
  </si>
  <si>
    <t>*Wtd Avg is 9 mos of FY18 and 3 months of FY17</t>
  </si>
  <si>
    <t>Div 009 Direct O&amp;M</t>
  </si>
  <si>
    <t>Total O&amp;M</t>
  </si>
  <si>
    <t>SSU Direct O&amp;M</t>
  </si>
  <si>
    <t>O&amp;M Comparison</t>
  </si>
  <si>
    <t>Maintenance Supervision and Engineering</t>
  </si>
  <si>
    <t>Mains Expenses</t>
  </si>
  <si>
    <t>Purchase of Hopkinsville Office</t>
  </si>
  <si>
    <t>Hopkinsville Office</t>
  </si>
  <si>
    <t>misc Finrep retrievals-2018.xlsx</t>
  </si>
  <si>
    <t>Income Statement Activity Jan18-Jun18.xlsx</t>
  </si>
  <si>
    <t>Gas Cost by FERC-2018.xlsx</t>
  </si>
  <si>
    <t>KY Revenue &amp; Billing Unit Forecast 2018 Case.xlsx</t>
  </si>
  <si>
    <t>Kentucky Jurisdiction Case No. 2018-00281</t>
  </si>
  <si>
    <t>Case No. 2017-00349</t>
  </si>
  <si>
    <t>Case No. 2018-00281</t>
  </si>
  <si>
    <t>Rate Case (3 year Amortization)</t>
  </si>
  <si>
    <t>Balance Total</t>
  </si>
  <si>
    <t>Amortization Total</t>
  </si>
  <si>
    <t>002</t>
  </si>
  <si>
    <t>Directors Retirement Expenses - 04113</t>
  </si>
  <si>
    <t>Budget Sub Account</t>
  </si>
  <si>
    <t>F-6,F-8,F-9, F-10, F-11</t>
  </si>
  <si>
    <t>Amortization</t>
  </si>
  <si>
    <t xml:space="preserve">Depreciation </t>
  </si>
  <si>
    <t>2017-00349 O&amp;M Adjustments</t>
  </si>
  <si>
    <t>Removal of Retirement Benefits</t>
  </si>
  <si>
    <t xml:space="preserve">Three (3) Year Amortization of Rate Case Expenses </t>
  </si>
  <si>
    <t xml:space="preserve">   (1)  Interest Rate is the actual average rate for 12 Months Ended June 30, 2018</t>
  </si>
  <si>
    <t>Avg ADIT, Base Period</t>
  </si>
  <si>
    <t>KY Plant Data-2018 case.xlsx</t>
  </si>
  <si>
    <t>misc jurirep BS accts-2018.xlsx</t>
  </si>
  <si>
    <t>ADIT for KY 6-30-18.xlsx</t>
  </si>
  <si>
    <t>ADIT for KY-6-30-18.xlsx</t>
  </si>
  <si>
    <t>OM for KY - 2018.xlsx</t>
  </si>
  <si>
    <t>G.3 -- Executive Compensation 2018.xlsx</t>
  </si>
  <si>
    <t>Lead/Lag Study</t>
  </si>
  <si>
    <t>Witness: Waller, Christian</t>
  </si>
  <si>
    <t>Witness:   Waller, Christian, Story</t>
  </si>
  <si>
    <t>Witness: Waller, Story</t>
  </si>
  <si>
    <t>Witness: Waller, Densman</t>
  </si>
  <si>
    <t>Witness:  Waller, Densman</t>
  </si>
  <si>
    <t>Witness: Gillham, Waller, Densman</t>
  </si>
  <si>
    <t>Witness: Gillham, Densman</t>
  </si>
  <si>
    <t>RSU-LTIP - Time Lapse/Performance Based</t>
  </si>
  <si>
    <t>012</t>
  </si>
  <si>
    <t>009</t>
  </si>
  <si>
    <t>091</t>
  </si>
  <si>
    <t xml:space="preserve">Payroll </t>
  </si>
  <si>
    <t>Payroll</t>
  </si>
  <si>
    <t>Revenue Requirements (line 10 plus line 11)</t>
  </si>
  <si>
    <t>Witness:  Waller, Story</t>
  </si>
  <si>
    <t>due to cold weather in base period, and changes in gas costs between the periods</t>
  </si>
  <si>
    <t>volumes due to cold weather in base period, and changes in gas costs between the periods</t>
  </si>
  <si>
    <t xml:space="preserve">of the base period when replaced by actuals.  Gas costs in the Forecasted Period are lower </t>
  </si>
  <si>
    <t>primarily due to lower estimated GCA price</t>
  </si>
  <si>
    <t>(1) Based on fiscal year-end of parent company, except for Base Period &amp; Test Period which are based on Atmos Energy Corporation, Kentucky.  Return calculations cannot be used for revenue requirement purposes</t>
  </si>
  <si>
    <t>AG DR. No 1-57</t>
  </si>
  <si>
    <t>Payroll Tax Expense Adjustment</t>
  </si>
  <si>
    <t xml:space="preserve"> 2018 * * Composite Tax Rate Calculation: 5.00% + 21%(100% - 6.00%)  =  24.95%</t>
  </si>
  <si>
    <t>8.50% Sr Note due 3/15/2019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</si>
</sst>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  <numFmt numFmtId="191" formatCode="0.000000000000000%"/>
  </numFmts>
  <fonts count="71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i/>
      <sz val="8"/>
      <name val="Helvetica-Narrow"/>
    </font>
    <font>
      <sz val="12"/>
      <name val="Arial MT"/>
    </font>
    <font>
      <sz val="10"/>
      <name val="Helvetica-Narrow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3">
    <xf numFmtId="37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9" fillId="0" borderId="0"/>
    <xf numFmtId="37" fontId="3" fillId="0" borderId="0" applyProtection="0"/>
    <xf numFmtId="0" fontId="25" fillId="0" borderId="0"/>
    <xf numFmtId="0" fontId="25" fillId="0" borderId="0"/>
    <xf numFmtId="40" fontId="30" fillId="2" borderId="0">
      <alignment horizontal="right"/>
    </xf>
    <xf numFmtId="0" fontId="31" fillId="3" borderId="0">
      <alignment horizontal="center"/>
    </xf>
    <xf numFmtId="0" fontId="32" fillId="2" borderId="1"/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9" fontId="2" fillId="0" borderId="0" applyFont="0" applyFill="0" applyBorder="0" applyAlignment="0" applyProtection="0"/>
    <xf numFmtId="0" fontId="60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7" fontId="3" fillId="0" borderId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  <xf numFmtId="0" fontId="70" fillId="0" borderId="0" applyNumberFormat="0" applyBorder="0" applyAlignment="0"/>
  </cellStyleXfs>
  <cellXfs count="1227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/>
    <xf numFmtId="165" fontId="3" fillId="0" borderId="2" xfId="0" applyNumberFormat="1" applyFont="1" applyBorder="1" applyProtection="1"/>
    <xf numFmtId="165" fontId="3" fillId="0" borderId="0" xfId="0" applyNumberFormat="1" applyFont="1" applyProtection="1"/>
    <xf numFmtId="37" fontId="3" fillId="0" borderId="2" xfId="0" applyFont="1" applyBorder="1" applyAlignment="1" applyProtection="1">
      <alignment horizontal="center"/>
    </xf>
    <xf numFmtId="37" fontId="3" fillId="0" borderId="0" xfId="0" applyNumberFormat="1" applyFont="1" applyProtection="1"/>
    <xf numFmtId="10" fontId="3" fillId="0" borderId="0" xfId="0" applyNumberFormat="1" applyFont="1" applyProtection="1"/>
    <xf numFmtId="37" fontId="4" fillId="0" borderId="0" xfId="0" applyFont="1"/>
    <xf numFmtId="37" fontId="3" fillId="0" borderId="3" xfId="0" applyFont="1" applyBorder="1"/>
    <xf numFmtId="168" fontId="3" fillId="0" borderId="0" xfId="0" applyNumberFormat="1" applyFont="1" applyProtection="1"/>
    <xf numFmtId="37" fontId="5" fillId="0" borderId="0" xfId="0" applyFont="1"/>
    <xf numFmtId="37" fontId="5" fillId="0" borderId="0" xfId="0" applyFont="1" applyAlignment="1" applyProtection="1">
      <alignment horizontal="left"/>
    </xf>
    <xf numFmtId="37" fontId="3" fillId="0" borderId="2" xfId="0" applyNumberFormat="1" applyFont="1" applyBorder="1" applyProtection="1"/>
    <xf numFmtId="10" fontId="6" fillId="0" borderId="0" xfId="0" applyNumberFormat="1" applyFont="1" applyProtection="1"/>
    <xf numFmtId="37" fontId="3" fillId="0" borderId="0" xfId="0" applyNumberFormat="1" applyFont="1" applyAlignment="1" applyProtection="1">
      <alignment horizontal="right"/>
    </xf>
    <xf numFmtId="173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10" fontId="3" fillId="0" borderId="2" xfId="0" applyNumberFormat="1" applyFont="1" applyBorder="1" applyProtection="1"/>
    <xf numFmtId="174" fontId="3" fillId="0" borderId="0" xfId="0" applyNumberFormat="1" applyFont="1" applyProtection="1"/>
    <xf numFmtId="174" fontId="3" fillId="0" borderId="2" xfId="0" applyNumberFormat="1" applyFont="1" applyBorder="1" applyProtection="1"/>
    <xf numFmtId="37" fontId="7" fillId="0" borderId="0" xfId="0" applyFont="1" applyProtection="1">
      <protection locked="0"/>
    </xf>
    <xf numFmtId="37" fontId="4" fillId="0" borderId="0" xfId="0" applyFont="1" applyAlignment="1" applyProtection="1">
      <alignment horizontal="left"/>
    </xf>
    <xf numFmtId="5" fontId="3" fillId="0" borderId="0" xfId="0" applyNumberFormat="1" applyFont="1" applyProtection="1"/>
    <xf numFmtId="171" fontId="3" fillId="0" borderId="0" xfId="0" applyNumberFormat="1" applyFont="1" applyProtection="1"/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</xf>
    <xf numFmtId="37" fontId="3" fillId="0" borderId="5" xfId="0" applyFont="1" applyBorder="1" applyAlignment="1" applyProtection="1">
      <alignment horizontal="center"/>
    </xf>
    <xf numFmtId="37" fontId="3" fillId="0" borderId="5" xfId="0" applyFont="1" applyBorder="1"/>
    <xf numFmtId="37" fontId="3" fillId="0" borderId="0" xfId="0" applyFont="1" applyBorder="1" applyAlignment="1" applyProtection="1">
      <alignment horizontal="center"/>
    </xf>
    <xf numFmtId="37" fontId="3" fillId="0" borderId="0" xfId="0" applyFont="1" applyBorder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2" xfId="0" applyFont="1" applyBorder="1" applyAlignment="1"/>
    <xf numFmtId="37" fontId="3" fillId="0" borderId="2" xfId="0" applyFont="1" applyBorder="1" applyAlignment="1" applyProtection="1"/>
    <xf numFmtId="37" fontId="8" fillId="0" borderId="0" xfId="0" applyFont="1"/>
    <xf numFmtId="37" fontId="5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176" fontId="3" fillId="0" borderId="0" xfId="0" applyNumberFormat="1" applyFont="1" applyProtection="1"/>
    <xf numFmtId="10" fontId="3" fillId="0" borderId="0" xfId="13" applyNumberFormat="1" applyFont="1" applyProtection="1"/>
    <xf numFmtId="10" fontId="3" fillId="0" borderId="2" xfId="13" applyNumberFormat="1" applyFont="1" applyBorder="1" applyProtection="1"/>
    <xf numFmtId="10" fontId="3" fillId="0" borderId="0" xfId="13" applyNumberFormat="1" applyFont="1"/>
    <xf numFmtId="10" fontId="6" fillId="0" borderId="0" xfId="13" applyNumberFormat="1" applyFont="1" applyProtection="1"/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5" xfId="0" applyFont="1" applyBorder="1" applyAlignment="1" applyProtection="1">
      <alignment horizontal="left"/>
    </xf>
    <xf numFmtId="37" fontId="0" fillId="0" borderId="5" xfId="0" applyBorder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0" fontId="0" fillId="0" borderId="0" xfId="13" applyNumberFormat="1" applyFont="1"/>
    <xf numFmtId="37" fontId="3" fillId="0" borderId="5" xfId="0" applyFont="1" applyBorder="1" applyAlignment="1">
      <alignment horizontal="center"/>
    </xf>
    <xf numFmtId="37" fontId="0" fillId="0" borderId="0" xfId="0" applyBorder="1"/>
    <xf numFmtId="37" fontId="0" fillId="0" borderId="5" xfId="0" applyBorder="1" applyAlignment="1">
      <alignment horizontal="center"/>
    </xf>
    <xf numFmtId="37" fontId="3" fillId="0" borderId="7" xfId="0" applyFont="1" applyBorder="1"/>
    <xf numFmtId="37" fontId="8" fillId="0" borderId="5" xfId="0" applyFont="1" applyBorder="1"/>
    <xf numFmtId="37" fontId="11" fillId="0" borderId="0" xfId="0" applyNumberFormat="1" applyFont="1" applyProtection="1"/>
    <xf numFmtId="37" fontId="12" fillId="0" borderId="0" xfId="0" applyFont="1"/>
    <xf numFmtId="37" fontId="12" fillId="0" borderId="0" xfId="0" applyNumberFormat="1" applyFont="1" applyProtection="1"/>
    <xf numFmtId="37" fontId="0" fillId="0" borderId="0" xfId="0" applyBorder="1" applyAlignment="1">
      <alignment horizontal="center"/>
    </xf>
    <xf numFmtId="37" fontId="12" fillId="0" borderId="0" xfId="0" applyFont="1" applyAlignment="1" applyProtection="1">
      <alignment horizontal="centerContinuous"/>
      <protection locked="0"/>
    </xf>
    <xf numFmtId="37" fontId="12" fillId="0" borderId="0" xfId="0" applyFont="1" applyAlignment="1" applyProtection="1">
      <alignment horizontal="left"/>
    </xf>
    <xf numFmtId="10" fontId="11" fillId="0" borderId="0" xfId="0" applyNumberFormat="1" applyFont="1" applyProtection="1"/>
    <xf numFmtId="9" fontId="11" fillId="0" borderId="0" xfId="13" applyFont="1"/>
    <xf numFmtId="174" fontId="12" fillId="0" borderId="2" xfId="0" applyNumberFormat="1" applyFont="1" applyBorder="1" applyProtection="1"/>
    <xf numFmtId="10" fontId="12" fillId="0" borderId="0" xfId="13" applyNumberFormat="1" applyFont="1" applyAlignment="1" applyProtection="1">
      <alignment horizontal="center"/>
    </xf>
    <xf numFmtId="37" fontId="11" fillId="0" borderId="0" xfId="0" applyNumberFormat="1" applyFont="1" applyFill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Fill="1" applyProtection="1"/>
    <xf numFmtId="37" fontId="3" fillId="0" borderId="0" xfId="0" applyFont="1" applyFill="1" applyBorder="1"/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Protection="1"/>
    <xf numFmtId="37" fontId="8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3" fillId="0" borderId="0" xfId="0" applyFont="1" applyFill="1"/>
    <xf numFmtId="37" fontId="3" fillId="0" borderId="5" xfId="0" applyFont="1" applyFill="1" applyBorder="1"/>
    <xf numFmtId="37" fontId="3" fillId="0" borderId="5" xfId="0" applyNumberFormat="1" applyFont="1" applyFill="1" applyBorder="1" applyProtection="1"/>
    <xf numFmtId="37" fontId="12" fillId="0" borderId="0" xfId="0" applyNumberFormat="1" applyFont="1" applyBorder="1" applyProtection="1"/>
    <xf numFmtId="37" fontId="3" fillId="0" borderId="2" xfId="0" applyNumberFormat="1" applyFont="1" applyFill="1" applyBorder="1" applyProtection="1"/>
    <xf numFmtId="37" fontId="12" fillId="0" borderId="0" xfId="0" applyNumberFormat="1" applyFont="1" applyFill="1" applyProtection="1"/>
    <xf numFmtId="37" fontId="12" fillId="0" borderId="0" xfId="0" applyNumberFormat="1" applyFont="1" applyFill="1" applyBorder="1" applyProtection="1"/>
    <xf numFmtId="37" fontId="3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2" fillId="0" borderId="0" xfId="0" applyFont="1" applyBorder="1"/>
    <xf numFmtId="37" fontId="0" fillId="0" borderId="5" xfId="0" applyFont="1" applyBorder="1"/>
    <xf numFmtId="37" fontId="12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4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0" xfId="0" applyNumberFormat="1" applyFont="1" applyProtection="1"/>
    <xf numFmtId="37" fontId="12" fillId="0" borderId="0" xfId="0" applyFont="1" applyFill="1" applyBorder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164" fontId="3" fillId="0" borderId="0" xfId="0" applyNumberFormat="1" applyFont="1" applyFill="1" applyProtection="1"/>
    <xf numFmtId="10" fontId="12" fillId="0" borderId="0" xfId="13" applyNumberFormat="1" applyFont="1" applyProtection="1"/>
    <xf numFmtId="10" fontId="3" fillId="0" borderId="0" xfId="0" applyNumberFormat="1" applyFont="1" applyFill="1" applyProtection="1"/>
    <xf numFmtId="37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16" fillId="0" borderId="0" xfId="0" applyFont="1"/>
    <xf numFmtId="37" fontId="11" fillId="0" borderId="0" xfId="0" applyFont="1" applyFill="1" applyAlignment="1" applyProtection="1">
      <alignment horizontal="left"/>
    </xf>
    <xf numFmtId="37" fontId="3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Fill="1" applyProtection="1">
      <protection locked="0"/>
    </xf>
    <xf numFmtId="37" fontId="12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6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/>
    <xf numFmtId="37" fontId="6" fillId="0" borderId="0" xfId="0" applyFont="1" applyFill="1" applyProtection="1"/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18" fillId="0" borderId="0" xfId="0" applyNumberFormat="1" applyFont="1"/>
    <xf numFmtId="3" fontId="0" fillId="0" borderId="0" xfId="1" applyNumberFormat="1" applyFont="1"/>
    <xf numFmtId="181" fontId="17" fillId="0" borderId="0" xfId="0" applyNumberFormat="1" applyFont="1"/>
    <xf numFmtId="37" fontId="19" fillId="0" borderId="0" xfId="0" applyNumberFormat="1" applyFont="1"/>
    <xf numFmtId="37" fontId="19" fillId="0" borderId="0" xfId="1" applyNumberFormat="1" applyFont="1"/>
    <xf numFmtId="37" fontId="19" fillId="0" borderId="0" xfId="0" applyFont="1"/>
    <xf numFmtId="182" fontId="19" fillId="0" borderId="0" xfId="2" applyNumberFormat="1" applyFont="1"/>
    <xf numFmtId="37" fontId="19" fillId="0" borderId="5" xfId="0" applyNumberFormat="1" applyFont="1" applyBorder="1"/>
    <xf numFmtId="182" fontId="19" fillId="0" borderId="6" xfId="2" applyNumberFormat="1" applyFont="1" applyBorder="1"/>
    <xf numFmtId="37" fontId="20" fillId="0" borderId="0" xfId="0" applyFont="1"/>
    <xf numFmtId="37" fontId="21" fillId="0" borderId="0" xfId="0" applyFont="1"/>
    <xf numFmtId="37" fontId="19" fillId="0" borderId="0" xfId="0" quotePrefix="1" applyFont="1" applyAlignment="1">
      <alignment horizontal="left" indent="3"/>
    </xf>
    <xf numFmtId="37" fontId="3" fillId="0" borderId="0" xfId="0" applyFont="1" applyFill="1" applyAlignment="1">
      <alignment horizontal="centerContinuous"/>
    </xf>
    <xf numFmtId="37" fontId="3" fillId="0" borderId="2" xfId="0" applyFont="1" applyFill="1" applyBorder="1"/>
    <xf numFmtId="10" fontId="3" fillId="0" borderId="0" xfId="0" applyNumberFormat="1" applyFont="1"/>
    <xf numFmtId="37" fontId="12" fillId="0" borderId="0" xfId="0" applyNumberFormat="1" applyFont="1" applyFill="1" applyBorder="1" applyProtection="1">
      <protection locked="0"/>
    </xf>
    <xf numFmtId="37" fontId="3" fillId="0" borderId="5" xfId="0" applyFont="1" applyBorder="1" applyAlignment="1"/>
    <xf numFmtId="37" fontId="3" fillId="0" borderId="0" xfId="0" applyNumberFormat="1" applyFont="1" applyAlignment="1">
      <alignment horizontal="right"/>
    </xf>
    <xf numFmtId="37" fontId="3" fillId="0" borderId="0" xfId="0" applyFont="1" applyAlignment="1">
      <alignment horizontal="left" indent="2"/>
    </xf>
    <xf numFmtId="37" fontId="3" fillId="0" borderId="0" xfId="0" applyFont="1" applyAlignment="1">
      <alignment horizontal="left" indent="3"/>
    </xf>
    <xf numFmtId="10" fontId="3" fillId="0" borderId="5" xfId="13" applyNumberFormat="1" applyFont="1" applyBorder="1"/>
    <xf numFmtId="37" fontId="3" fillId="0" borderId="5" xfId="0" applyNumberFormat="1" applyFont="1" applyBorder="1" applyAlignment="1" applyProtection="1">
      <alignment horizontal="right"/>
    </xf>
    <xf numFmtId="169" fontId="3" fillId="0" borderId="5" xfId="13" applyNumberFormat="1" applyFont="1" applyBorder="1" applyAlignment="1" applyProtection="1">
      <alignment horizontal="right"/>
    </xf>
    <xf numFmtId="37" fontId="14" fillId="0" borderId="0" xfId="0" applyFont="1" applyAlignment="1">
      <alignment horizontal="left" indent="1"/>
    </xf>
    <xf numFmtId="37" fontId="14" fillId="0" borderId="0" xfId="0" applyNumberFormat="1" applyFont="1" applyBorder="1" applyAlignment="1" applyProtection="1">
      <alignment horizontal="right"/>
    </xf>
    <xf numFmtId="37" fontId="13" fillId="0" borderId="0" xfId="0" applyFont="1" applyAlignment="1"/>
    <xf numFmtId="10" fontId="3" fillId="0" borderId="0" xfId="13" applyNumberFormat="1" applyFont="1" applyAlignment="1"/>
    <xf numFmtId="37" fontId="3" fillId="0" borderId="0" xfId="0" applyFont="1" applyAlignment="1" applyProtection="1">
      <alignment horizontal="left" indent="2"/>
    </xf>
    <xf numFmtId="173" fontId="3" fillId="0" borderId="0" xfId="0" applyNumberFormat="1" applyFont="1" applyFill="1" applyProtection="1"/>
    <xf numFmtId="37" fontId="3" fillId="0" borderId="0" xfId="0" applyFont="1" applyFill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2" fillId="0" borderId="0" xfId="0" applyFont="1" applyFill="1" applyAlignment="1" applyProtection="1">
      <alignment horizontal="centerContinuous"/>
      <protection locked="0"/>
    </xf>
    <xf numFmtId="37" fontId="24" fillId="0" borderId="0" xfId="0" applyFont="1" applyAlignment="1" applyProtection="1">
      <alignment horizontal="centerContinuous"/>
    </xf>
    <xf numFmtId="37" fontId="10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43" fontId="27" fillId="0" borderId="0" xfId="1" applyFont="1"/>
    <xf numFmtId="43" fontId="27" fillId="0" borderId="0" xfId="1" applyFont="1" applyFill="1"/>
    <xf numFmtId="9" fontId="0" fillId="0" borderId="0" xfId="13" applyFont="1"/>
    <xf numFmtId="37" fontId="8" fillId="0" borderId="0" xfId="0" applyFont="1" applyAlignment="1" applyProtection="1">
      <alignment horizontal="left"/>
    </xf>
    <xf numFmtId="10" fontId="12" fillId="0" borderId="0" xfId="0" applyNumberFormat="1" applyFont="1" applyAlignment="1" applyProtection="1">
      <alignment horizontal="center"/>
    </xf>
    <xf numFmtId="185" fontId="3" fillId="0" borderId="0" xfId="1" applyNumberFormat="1" applyFont="1" applyProtection="1"/>
    <xf numFmtId="0" fontId="25" fillId="0" borderId="0" xfId="7"/>
    <xf numFmtId="9" fontId="3" fillId="0" borderId="0" xfId="13" applyFont="1" applyProtection="1"/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Alignment="1" applyProtection="1">
      <alignment horizontal="centerContinuous"/>
      <protection locked="0"/>
    </xf>
    <xf numFmtId="37" fontId="8" fillId="0" borderId="0" xfId="0" applyNumberFormat="1" applyFont="1" applyProtection="1"/>
    <xf numFmtId="37" fontId="8" fillId="0" borderId="0" xfId="0" applyFont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2" xfId="0" applyFont="1" applyBorder="1"/>
    <xf numFmtId="37" fontId="8" fillId="0" borderId="0" xfId="0" applyFont="1" applyBorder="1"/>
    <xf numFmtId="37" fontId="8" fillId="0" borderId="2" xfId="0" applyNumberFormat="1" applyFont="1" applyBorder="1" applyProtection="1"/>
    <xf numFmtId="37" fontId="8" fillId="0" borderId="5" xfId="0" applyFont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37" fontId="8" fillId="0" borderId="0" xfId="0" applyFont="1" applyFill="1"/>
    <xf numFmtId="37" fontId="36" fillId="0" borderId="0" xfId="0" applyFont="1" applyAlignment="1" applyProtection="1">
      <alignment horizontal="left"/>
    </xf>
    <xf numFmtId="173" fontId="3" fillId="0" borderId="5" xfId="0" applyNumberFormat="1" applyFont="1" applyFill="1" applyBorder="1" applyProtection="1"/>
    <xf numFmtId="173" fontId="3" fillId="0" borderId="0" xfId="0" applyNumberFormat="1" applyFont="1" applyFill="1"/>
    <xf numFmtId="173" fontId="6" fillId="0" borderId="0" xfId="0" applyNumberFormat="1" applyFont="1" applyProtection="1"/>
    <xf numFmtId="37" fontId="12" fillId="0" borderId="0" xfId="0" applyFont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2" xfId="0" applyFont="1" applyBorder="1" applyAlignment="1" applyProtection="1">
      <alignment horizontal="left"/>
    </xf>
    <xf numFmtId="37" fontId="8" fillId="0" borderId="2" xfId="0" applyFont="1" applyFill="1" applyBorder="1" applyAlignment="1" applyProtection="1">
      <alignment horizontal="left"/>
      <protection locked="0"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Alignment="1" applyProtection="1">
      <alignment horizontal="center"/>
      <protection locked="0"/>
    </xf>
    <xf numFmtId="37" fontId="8" fillId="0" borderId="2" xfId="0" applyFont="1" applyBorder="1" applyAlignment="1" applyProtection="1">
      <alignment horizontal="left"/>
      <protection locked="0"/>
    </xf>
    <xf numFmtId="17" fontId="8" fillId="0" borderId="22" xfId="0" applyNumberFormat="1" applyFont="1" applyFill="1" applyBorder="1" applyAlignment="1">
      <alignment horizontal="center"/>
    </xf>
    <xf numFmtId="37" fontId="8" fillId="0" borderId="0" xfId="0" applyFont="1" applyBorder="1" applyAlignment="1">
      <alignment horizontal="center"/>
    </xf>
    <xf numFmtId="37" fontId="8" fillId="0" borderId="0" xfId="0" applyFont="1" applyFill="1" applyAlignment="1" applyProtection="1">
      <alignment horizontal="center"/>
    </xf>
    <xf numFmtId="37" fontId="21" fillId="0" borderId="0" xfId="0" applyFont="1" applyFill="1"/>
    <xf numFmtId="183" fontId="21" fillId="0" borderId="0" xfId="0" applyNumberFormat="1" applyFont="1" applyAlignment="1" applyProtection="1">
      <alignment horizontal="left"/>
      <protection locked="0"/>
    </xf>
    <xf numFmtId="37" fontId="37" fillId="0" borderId="0" xfId="0" applyFont="1"/>
    <xf numFmtId="37" fontId="37" fillId="2" borderId="0" xfId="0" applyFont="1" applyFill="1"/>
    <xf numFmtId="5" fontId="37" fillId="0" borderId="10" xfId="0" applyNumberFormat="1" applyFont="1" applyBorder="1"/>
    <xf numFmtId="5" fontId="37" fillId="0" borderId="0" xfId="0" applyNumberFormat="1" applyFont="1" applyBorder="1"/>
    <xf numFmtId="37" fontId="37" fillId="0" borderId="0" xfId="0" applyFont="1" applyFill="1"/>
    <xf numFmtId="10" fontId="37" fillId="0" borderId="0" xfId="13" applyNumberFormat="1" applyFont="1"/>
    <xf numFmtId="37" fontId="37" fillId="0" borderId="0" xfId="0" applyFont="1" applyBorder="1"/>
    <xf numFmtId="37" fontId="37" fillId="0" borderId="0" xfId="0" applyFont="1" applyFill="1" applyBorder="1"/>
    <xf numFmtId="37" fontId="8" fillId="0" borderId="0" xfId="0" applyFont="1" applyProtection="1">
      <protection locked="0"/>
    </xf>
    <xf numFmtId="37" fontId="3" fillId="0" borderId="0" xfId="0" applyFont="1" applyBorder="1" applyAlignment="1">
      <alignment horizontal="center"/>
    </xf>
    <xf numFmtId="37" fontId="8" fillId="0" borderId="5" xfId="0" applyFont="1" applyBorder="1" applyAlignment="1">
      <alignment horizontal="center"/>
    </xf>
    <xf numFmtId="37" fontId="8" fillId="0" borderId="0" xfId="0" applyNumberFormat="1" applyFont="1" applyFill="1" applyProtection="1"/>
    <xf numFmtId="37" fontId="8" fillId="0" borderId="0" xfId="0" quotePrefix="1" applyFont="1" applyBorder="1" applyAlignment="1">
      <alignment horizontal="left"/>
    </xf>
    <xf numFmtId="10" fontId="8" fillId="0" borderId="0" xfId="13" applyNumberFormat="1" applyFont="1" applyBorder="1" applyAlignment="1">
      <alignment horizontal="left"/>
    </xf>
    <xf numFmtId="37" fontId="8" fillId="0" borderId="0" xfId="0" applyFont="1" applyAlignment="1">
      <alignment horizontal="left" indent="1"/>
    </xf>
    <xf numFmtId="10" fontId="8" fillId="0" borderId="0" xfId="0" applyNumberFormat="1" applyFont="1" applyProtection="1"/>
    <xf numFmtId="37" fontId="8" fillId="0" borderId="2" xfId="0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8" fillId="0" borderId="0" xfId="0" applyFont="1" applyFill="1" applyBorder="1"/>
    <xf numFmtId="37" fontId="8" fillId="0" borderId="5" xfId="0" applyNumberFormat="1" applyFont="1" applyFill="1" applyBorder="1" applyProtection="1"/>
    <xf numFmtId="37" fontId="8" fillId="0" borderId="0" xfId="0" applyFont="1" applyAlignment="1"/>
    <xf numFmtId="37" fontId="8" fillId="0" borderId="0" xfId="0" applyFont="1" applyFill="1" applyAlignment="1" applyProtection="1">
      <alignment horizontal="left"/>
    </xf>
    <xf numFmtId="180" fontId="8" fillId="0" borderId="0" xfId="0" applyNumberFormat="1" applyFont="1" applyAlignment="1">
      <alignment horizontal="center"/>
    </xf>
    <xf numFmtId="37" fontId="39" fillId="0" borderId="0" xfId="0" applyFont="1"/>
    <xf numFmtId="37" fontId="8" fillId="0" borderId="2" xfId="0" applyFont="1" applyFill="1" applyBorder="1"/>
    <xf numFmtId="37" fontId="8" fillId="0" borderId="5" xfId="0" applyFont="1" applyFill="1" applyBorder="1"/>
    <xf numFmtId="37" fontId="8" fillId="0" borderId="0" xfId="0" applyNumberFormat="1" applyFont="1" applyFill="1" applyAlignment="1" applyProtection="1">
      <alignment horizontal="center"/>
    </xf>
    <xf numFmtId="37" fontId="12" fillId="0" borderId="2" xfId="0" applyFont="1" applyBorder="1" applyAlignment="1" applyProtection="1">
      <alignment horizontal="left"/>
    </xf>
    <xf numFmtId="37" fontId="12" fillId="0" borderId="2" xfId="0" applyFont="1" applyBorder="1"/>
    <xf numFmtId="37" fontId="12" fillId="0" borderId="0" xfId="0" applyFont="1" applyAlignment="1" applyProtection="1">
      <alignment horizontal="center"/>
    </xf>
    <xf numFmtId="37" fontId="12" fillId="0" borderId="0" xfId="0" applyFont="1" applyBorder="1" applyAlignment="1" applyProtection="1">
      <alignment horizontal="center"/>
    </xf>
    <xf numFmtId="10" fontId="12" fillId="0" borderId="0" xfId="0" applyNumberFormat="1" applyFont="1" applyBorder="1" applyProtection="1"/>
    <xf numFmtId="10" fontId="12" fillId="0" borderId="0" xfId="0" applyNumberFormat="1" applyFont="1" applyProtection="1"/>
    <xf numFmtId="37" fontId="8" fillId="0" borderId="0" xfId="0" applyFont="1" applyAlignment="1" applyProtection="1">
      <alignment horizontal="left" indent="2"/>
    </xf>
    <xf numFmtId="37" fontId="8" fillId="0" borderId="0" xfId="0" applyFont="1" applyAlignment="1">
      <alignment horizontal="left" indent="2"/>
    </xf>
    <xf numFmtId="37" fontId="21" fillId="0" borderId="0" xfId="0" applyFont="1" applyAlignment="1">
      <alignment horizontal="center"/>
    </xf>
    <xf numFmtId="37" fontId="3" fillId="0" borderId="23" xfId="0" applyFont="1" applyBorder="1"/>
    <xf numFmtId="37" fontId="8" fillId="0" borderId="0" xfId="0" applyFont="1" applyAlignment="1" applyProtection="1">
      <alignment horizontal="left" indent="1"/>
    </xf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2" xfId="0" applyFont="1" applyBorder="1" applyAlignment="1" applyProtection="1">
      <alignment horizontal="left"/>
      <protection locked="0"/>
    </xf>
    <xf numFmtId="37" fontId="5" fillId="0" borderId="0" xfId="0" applyFont="1" applyProtection="1">
      <protection locked="0"/>
    </xf>
    <xf numFmtId="37" fontId="8" fillId="0" borderId="2" xfId="0" applyFont="1" applyBorder="1" applyAlignment="1" applyProtection="1">
      <alignment horizontal="center"/>
      <protection locked="0"/>
    </xf>
    <xf numFmtId="37" fontId="8" fillId="0" borderId="2" xfId="0" applyFont="1" applyBorder="1" applyAlignment="1">
      <alignment horizontal="center"/>
    </xf>
    <xf numFmtId="180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Fill="1" applyProtection="1">
      <protection locked="0"/>
    </xf>
    <xf numFmtId="37" fontId="8" fillId="0" borderId="0" xfId="0" applyNumberFormat="1" applyFont="1"/>
    <xf numFmtId="37" fontId="8" fillId="0" borderId="0" xfId="0" applyFont="1" applyAlignment="1" applyProtection="1">
      <alignment horizontal="left" indent="1"/>
      <protection locked="0"/>
    </xf>
    <xf numFmtId="169" fontId="8" fillId="0" borderId="0" xfId="0" applyNumberFormat="1" applyFont="1" applyProtection="1"/>
    <xf numFmtId="37" fontId="8" fillId="0" borderId="0" xfId="0" applyFont="1" applyFill="1" applyAlignment="1" applyProtection="1">
      <alignment horizontal="left" indent="1"/>
      <protection locked="0"/>
    </xf>
    <xf numFmtId="37" fontId="8" fillId="0" borderId="0" xfId="0" applyNumberFormat="1" applyFont="1" applyFill="1" applyAlignment="1" applyProtection="1">
      <alignment horizontal="center"/>
      <protection locked="0"/>
    </xf>
    <xf numFmtId="37" fontId="8" fillId="0" borderId="2" xfId="0" applyNumberFormat="1" applyFont="1" applyBorder="1" applyProtection="1">
      <protection locked="0"/>
    </xf>
    <xf numFmtId="37" fontId="8" fillId="0" borderId="5" xfId="0" applyNumberFormat="1" applyFont="1" applyBorder="1" applyProtection="1">
      <protection locked="0"/>
    </xf>
    <xf numFmtId="37" fontId="8" fillId="0" borderId="0" xfId="0" quotePrefix="1" applyNumberFormat="1" applyFont="1" applyProtection="1"/>
    <xf numFmtId="37" fontId="40" fillId="0" borderId="0" xfId="0" quotePrefix="1" applyFont="1"/>
    <xf numFmtId="37" fontId="41" fillId="0" borderId="0" xfId="0" applyFont="1"/>
    <xf numFmtId="37" fontId="41" fillId="0" borderId="0" xfId="0" applyNumberFormat="1" applyFont="1" applyProtection="1"/>
    <xf numFmtId="180" fontId="41" fillId="0" borderId="0" xfId="0" applyNumberFormat="1" applyFont="1" applyAlignment="1" applyProtection="1">
      <alignment horizontal="center"/>
      <protection locked="0"/>
    </xf>
    <xf numFmtId="37" fontId="38" fillId="0" borderId="0" xfId="0" quotePrefix="1" applyFont="1"/>
    <xf numFmtId="10" fontId="41" fillId="0" borderId="0" xfId="0" applyNumberFormat="1" applyFont="1" applyProtection="1"/>
    <xf numFmtId="169" fontId="41" fillId="0" borderId="0" xfId="0" applyNumberFormat="1" applyFont="1" applyProtection="1"/>
    <xf numFmtId="37" fontId="12" fillId="0" borderId="0" xfId="0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center"/>
      <protection locked="0"/>
    </xf>
    <xf numFmtId="37" fontId="12" fillId="0" borderId="0" xfId="0" applyFont="1" applyProtection="1">
      <protection locked="0"/>
    </xf>
    <xf numFmtId="37" fontId="1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indent="2"/>
      <protection locked="0"/>
    </xf>
    <xf numFmtId="37" fontId="12" fillId="0" borderId="0" xfId="0" applyFont="1" applyAlignment="1" applyProtection="1">
      <protection locked="0"/>
    </xf>
    <xf numFmtId="37" fontId="12" fillId="0" borderId="0" xfId="0" applyFont="1" applyAlignment="1"/>
    <xf numFmtId="37" fontId="12" fillId="0" borderId="0" xfId="0" applyFont="1" applyBorder="1" applyAlignment="1" applyProtection="1">
      <alignment horizontal="left" indent="2"/>
      <protection locked="0"/>
    </xf>
    <xf numFmtId="37" fontId="15" fillId="0" borderId="0" xfId="0" applyNumberFormat="1" applyFont="1" applyFill="1" applyProtection="1"/>
    <xf numFmtId="37" fontId="13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2"/>
    </xf>
    <xf numFmtId="37" fontId="13" fillId="0" borderId="0" xfId="0" applyFont="1" applyBorder="1" applyAlignment="1" applyProtection="1">
      <alignment horizontal="left" indent="1"/>
      <protection locked="0"/>
    </xf>
    <xf numFmtId="37" fontId="12" fillId="0" borderId="0" xfId="0" applyFont="1" applyAlignment="1" applyProtection="1"/>
    <xf numFmtId="37" fontId="8" fillId="0" borderId="0" xfId="0" applyFont="1" applyAlignment="1" applyProtection="1">
      <alignment horizontal="left" indent="2"/>
      <protection locked="0"/>
    </xf>
    <xf numFmtId="37" fontId="8" fillId="0" borderId="0" xfId="0" applyFont="1" applyAlignment="1" applyProtection="1">
      <protection locked="0"/>
    </xf>
    <xf numFmtId="37" fontId="8" fillId="0" borderId="0" xfId="0" applyFont="1" applyBorder="1" applyAlignment="1" applyProtection="1">
      <alignment horizontal="left" indent="2"/>
      <protection locked="0"/>
    </xf>
    <xf numFmtId="37" fontId="5" fillId="0" borderId="0" xfId="0" applyFont="1" applyAlignment="1" applyProtection="1">
      <alignment horizontal="left" indent="1"/>
      <protection locked="0"/>
    </xf>
    <xf numFmtId="37" fontId="8" fillId="0" borderId="0" xfId="0" applyFont="1" applyFill="1" applyAlignment="1" applyProtection="1">
      <alignment horizontal="center"/>
      <protection locked="0"/>
    </xf>
    <xf numFmtId="37" fontId="8" fillId="0" borderId="0" xfId="0" applyFont="1" applyAlignment="1" applyProtection="1"/>
    <xf numFmtId="37" fontId="4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37" fontId="14" fillId="0" borderId="0" xfId="0" applyFont="1" applyAlignment="1">
      <alignment horizontal="center"/>
    </xf>
    <xf numFmtId="177" fontId="8" fillId="0" borderId="0" xfId="1" applyNumberFormat="1" applyFont="1"/>
    <xf numFmtId="49" fontId="3" fillId="0" borderId="0" xfId="0" applyNumberFormat="1" applyFont="1" applyAlignment="1">
      <alignment horizontal="center"/>
    </xf>
    <xf numFmtId="37" fontId="14" fillId="0" borderId="5" xfId="0" applyFont="1" applyBorder="1" applyAlignment="1">
      <alignment horizontal="center"/>
    </xf>
    <xf numFmtId="10" fontId="3" fillId="0" borderId="0" xfId="0" applyNumberFormat="1" applyFont="1" applyBorder="1" applyProtection="1"/>
    <xf numFmtId="37" fontId="42" fillId="0" borderId="0" xfId="3" applyNumberFormat="1" applyFont="1" applyAlignment="1" applyProtection="1"/>
    <xf numFmtId="182" fontId="3" fillId="0" borderId="0" xfId="2" applyNumberFormat="1" applyFont="1"/>
    <xf numFmtId="182" fontId="3" fillId="0" borderId="0" xfId="2" applyNumberFormat="1" applyFont="1" applyFill="1" applyProtection="1"/>
    <xf numFmtId="182" fontId="8" fillId="0" borderId="0" xfId="2" applyNumberFormat="1" applyFont="1" applyFill="1" applyProtection="1"/>
    <xf numFmtId="182" fontId="3" fillId="0" borderId="6" xfId="2" applyNumberFormat="1" applyFont="1" applyBorder="1" applyProtection="1"/>
    <xf numFmtId="185" fontId="8" fillId="0" borderId="0" xfId="1" applyNumberFormat="1" applyFont="1" applyFill="1" applyProtection="1"/>
    <xf numFmtId="185" fontId="8" fillId="0" borderId="5" xfId="1" applyNumberFormat="1" applyFont="1" applyFill="1" applyBorder="1" applyProtection="1"/>
    <xf numFmtId="185" fontId="3" fillId="0" borderId="0" xfId="1" applyNumberFormat="1" applyFont="1"/>
    <xf numFmtId="0" fontId="8" fillId="0" borderId="0" xfId="0" applyNumberFormat="1" applyFont="1" applyAlignment="1">
      <alignment horizontal="center"/>
    </xf>
    <xf numFmtId="37" fontId="8" fillId="0" borderId="5" xfId="0" applyFont="1" applyFill="1" applyBorder="1" applyAlignment="1" applyProtection="1">
      <alignment horizontal="left"/>
    </xf>
    <xf numFmtId="37" fontId="8" fillId="0" borderId="23" xfId="0" applyFont="1" applyFill="1" applyBorder="1"/>
    <xf numFmtId="37" fontId="8" fillId="0" borderId="21" xfId="0" applyFont="1" applyFill="1" applyBorder="1"/>
    <xf numFmtId="37" fontId="0" fillId="0" borderId="0" xfId="0" applyAlignment="1">
      <alignment horizontal="left" indent="1"/>
    </xf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0" fontId="8" fillId="0" borderId="0" xfId="13" applyNumberFormat="1" applyFont="1" applyFill="1" applyBorder="1"/>
    <xf numFmtId="37" fontId="12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0" xfId="2" applyNumberFormat="1" applyFont="1" applyFill="1" applyBorder="1"/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3" fillId="0" borderId="0" xfId="2" applyNumberFormat="1" applyFont="1" applyBorder="1"/>
    <xf numFmtId="182" fontId="3" fillId="0" borderId="10" xfId="2" applyNumberFormat="1" applyFont="1" applyBorder="1"/>
    <xf numFmtId="182" fontId="3" fillId="0" borderId="0" xfId="2" applyNumberFormat="1" applyFont="1" applyFill="1" applyBorder="1"/>
    <xf numFmtId="182" fontId="3" fillId="0" borderId="10" xfId="2" applyNumberFormat="1" applyFont="1" applyFill="1" applyBorder="1"/>
    <xf numFmtId="182" fontId="3" fillId="0" borderId="6" xfId="2" applyNumberFormat="1" applyFont="1" applyBorder="1"/>
    <xf numFmtId="37" fontId="3" fillId="0" borderId="1" xfId="0" applyFont="1" applyBorder="1" applyAlignment="1" applyProtection="1">
      <alignment horizontal="center"/>
    </xf>
    <xf numFmtId="37" fontId="3" fillId="0" borderId="21" xfId="0" applyFont="1" applyBorder="1" applyAlignment="1" applyProtection="1">
      <alignment horizontal="center"/>
    </xf>
    <xf numFmtId="37" fontId="3" fillId="0" borderId="25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7" xfId="0" applyFont="1" applyBorder="1" applyAlignment="1" applyProtection="1">
      <alignment horizontal="center"/>
    </xf>
    <xf numFmtId="182" fontId="12" fillId="0" borderId="0" xfId="2" applyNumberFormat="1" applyFont="1" applyFill="1" applyProtection="1"/>
    <xf numFmtId="37" fontId="12" fillId="0" borderId="23" xfId="0" applyFont="1" applyBorder="1"/>
    <xf numFmtId="37" fontId="12" fillId="0" borderId="9" xfId="0" applyFont="1" applyBorder="1"/>
    <xf numFmtId="37" fontId="12" fillId="0" borderId="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center"/>
    </xf>
    <xf numFmtId="9" fontId="12" fillId="0" borderId="0" xfId="13" applyFont="1" applyAlignment="1" applyProtection="1">
      <alignment horizontal="center"/>
    </xf>
    <xf numFmtId="182" fontId="3" fillId="0" borderId="0" xfId="2" applyNumberFormat="1" applyFont="1" applyFill="1"/>
    <xf numFmtId="182" fontId="12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2" fillId="0" borderId="0" xfId="1" applyFont="1" applyFill="1" applyProtection="1"/>
    <xf numFmtId="43" fontId="12" fillId="0" borderId="5" xfId="1" applyFont="1" applyFill="1" applyBorder="1" applyProtection="1"/>
    <xf numFmtId="182" fontId="12" fillId="0" borderId="0" xfId="2" applyNumberFormat="1" applyFont="1" applyProtection="1"/>
    <xf numFmtId="185" fontId="12" fillId="0" borderId="0" xfId="1" applyNumberFormat="1" applyFont="1" applyProtection="1"/>
    <xf numFmtId="185" fontId="12" fillId="0" borderId="0" xfId="1" applyNumberFormat="1" applyFont="1" applyFill="1" applyProtection="1"/>
    <xf numFmtId="185" fontId="12" fillId="0" borderId="5" xfId="1" applyNumberFormat="1" applyFont="1" applyFill="1" applyBorder="1" applyProtection="1"/>
    <xf numFmtId="185" fontId="12" fillId="0" borderId="5" xfId="1" applyNumberFormat="1" applyFont="1" applyBorder="1" applyProtection="1"/>
    <xf numFmtId="185" fontId="3" fillId="0" borderId="0" xfId="1" applyNumberFormat="1" applyFont="1" applyFill="1" applyProtection="1"/>
    <xf numFmtId="185" fontId="12" fillId="0" borderId="0" xfId="1" applyNumberFormat="1" applyFont="1" applyBorder="1" applyProtection="1"/>
    <xf numFmtId="9" fontId="12" fillId="0" borderId="0" xfId="13" applyFont="1" applyFill="1" applyAlignment="1" applyProtection="1">
      <alignment horizontal="center"/>
    </xf>
    <xf numFmtId="10" fontId="12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3" fillId="0" borderId="2" xfId="0" applyFont="1" applyFill="1" applyBorder="1" applyAlignment="1" applyProtection="1">
      <alignment horizontal="left"/>
      <protection locked="0"/>
    </xf>
    <xf numFmtId="183" fontId="3" fillId="0" borderId="0" xfId="0" applyNumberFormat="1" applyFont="1" applyFill="1" applyAlignment="1">
      <alignment horizontal="left"/>
    </xf>
    <xf numFmtId="17" fontId="3" fillId="0" borderId="22" xfId="0" applyNumberFormat="1" applyFont="1" applyFill="1" applyBorder="1" applyAlignment="1">
      <alignment horizontal="center"/>
    </xf>
    <xf numFmtId="185" fontId="8" fillId="0" borderId="0" xfId="1" applyNumberFormat="1" applyFont="1" applyFill="1" applyBorder="1" applyProtection="1"/>
    <xf numFmtId="0" fontId="21" fillId="0" borderId="0" xfId="0" applyNumberFormat="1" applyFont="1" applyFill="1" applyAlignment="1">
      <alignment horizontal="center"/>
    </xf>
    <xf numFmtId="185" fontId="21" fillId="0" borderId="0" xfId="1" applyNumberFormat="1" applyFont="1" applyFill="1" applyAlignment="1">
      <alignment horizontal="center"/>
    </xf>
    <xf numFmtId="37" fontId="37" fillId="0" borderId="0" xfId="0" applyFont="1" applyFill="1" applyAlignment="1">
      <alignment horizontal="left" indent="1"/>
    </xf>
    <xf numFmtId="0" fontId="21" fillId="0" borderId="0" xfId="0" applyNumberFormat="1" applyFont="1" applyFill="1" applyAlignment="1">
      <alignment horizontal="left"/>
    </xf>
    <xf numFmtId="185" fontId="21" fillId="0" borderId="0" xfId="1" applyNumberFormat="1" applyFont="1" applyFill="1" applyAlignment="1">
      <alignment horizontal="left"/>
    </xf>
    <xf numFmtId="37" fontId="3" fillId="0" borderId="2" xfId="0" applyFont="1" applyBorder="1" applyAlignment="1">
      <alignment horizontal="center"/>
    </xf>
    <xf numFmtId="37" fontId="3" fillId="0" borderId="0" xfId="0" applyFont="1" applyFill="1" applyBorder="1" applyAlignment="1">
      <alignment horizontal="centerContinuous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quotePrefix="1" applyNumberFormat="1" applyFont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Font="1" applyAlignment="1">
      <alignment horizontal="right"/>
    </xf>
    <xf numFmtId="185" fontId="3" fillId="0" borderId="0" xfId="1" applyNumberFormat="1" applyFont="1" applyFill="1" applyBorder="1" applyProtection="1"/>
    <xf numFmtId="43" fontId="3" fillId="0" borderId="0" xfId="1" applyFont="1" applyFill="1" applyBorder="1" applyProtection="1"/>
    <xf numFmtId="185" fontId="3" fillId="0" borderId="0" xfId="1" applyNumberFormat="1" applyFont="1" applyBorder="1" applyProtection="1"/>
    <xf numFmtId="185" fontId="3" fillId="0" borderId="0" xfId="1" applyNumberFormat="1" applyFont="1" applyBorder="1"/>
    <xf numFmtId="185" fontId="3" fillId="0" borderId="0" xfId="1" applyNumberFormat="1" applyFont="1" applyFill="1" applyBorder="1"/>
    <xf numFmtId="185" fontId="3" fillId="0" borderId="0" xfId="1" applyNumberFormat="1" applyFont="1" applyFill="1" applyBorder="1" applyAlignment="1" applyProtection="1">
      <alignment horizontal="center"/>
    </xf>
    <xf numFmtId="185" fontId="3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4" fillId="0" borderId="5" xfId="0" applyFont="1" applyBorder="1"/>
    <xf numFmtId="10" fontId="37" fillId="0" borderId="5" xfId="13" applyNumberFormat="1" applyFont="1" applyFill="1" applyBorder="1"/>
    <xf numFmtId="37" fontId="37" fillId="0" borderId="0" xfId="0" applyFont="1" applyFill="1" applyAlignment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9" xfId="0" applyFont="1" applyBorder="1"/>
    <xf numFmtId="0" fontId="3" fillId="0" borderId="0" xfId="0" applyNumberFormat="1" applyFont="1" applyFill="1"/>
    <xf numFmtId="37" fontId="3" fillId="0" borderId="5" xfId="0" applyFont="1" applyFill="1" applyBorder="1" applyAlignment="1" applyProtection="1">
      <alignment horizontal="left"/>
    </xf>
    <xf numFmtId="37" fontId="3" fillId="0" borderId="23" xfId="0" applyFont="1" applyFill="1" applyBorder="1"/>
    <xf numFmtId="37" fontId="3" fillId="0" borderId="21" xfId="0" applyFont="1" applyFill="1" applyBorder="1"/>
    <xf numFmtId="186" fontId="3" fillId="0" borderId="22" xfId="0" applyNumberFormat="1" applyFont="1" applyFill="1" applyBorder="1" applyAlignment="1" applyProtection="1">
      <alignment horizontal="center"/>
      <protection locked="0"/>
    </xf>
    <xf numFmtId="182" fontId="4" fillId="0" borderId="0" xfId="2" applyNumberFormat="1" applyFont="1" applyFill="1" applyProtection="1"/>
    <xf numFmtId="37" fontId="14" fillId="0" borderId="0" xfId="0" applyFont="1" applyBorder="1"/>
    <xf numFmtId="185" fontId="8" fillId="0" borderId="0" xfId="1" applyNumberFormat="1" applyFont="1" applyFill="1" applyProtection="1">
      <protection locked="0"/>
    </xf>
    <xf numFmtId="185" fontId="12" fillId="0" borderId="0" xfId="1" applyNumberFormat="1" applyFont="1" applyFill="1"/>
    <xf numFmtId="10" fontId="3" fillId="0" borderId="0" xfId="13" applyNumberFormat="1" applyFont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12" fillId="0" borderId="0" xfId="0" applyFont="1" applyAlignment="1">
      <alignment horizontal="left" indent="1"/>
    </xf>
    <xf numFmtId="10" fontId="3" fillId="0" borderId="0" xfId="13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85" fontId="8" fillId="0" borderId="0" xfId="1" applyNumberFormat="1" applyFont="1"/>
    <xf numFmtId="185" fontId="3" fillId="0" borderId="5" xfId="1" applyNumberFormat="1" applyFont="1" applyBorder="1" applyProtection="1"/>
    <xf numFmtId="5" fontId="12" fillId="0" borderId="0" xfId="0" applyNumberFormat="1" applyFont="1" applyFill="1" applyProtection="1"/>
    <xf numFmtId="10" fontId="12" fillId="0" borderId="0" xfId="13" applyNumberFormat="1" applyFont="1"/>
    <xf numFmtId="37" fontId="3" fillId="0" borderId="5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85" fontId="3" fillId="0" borderId="0" xfId="1" applyNumberFormat="1" applyFont="1" applyBorder="1" applyAlignment="1">
      <alignment horizontal="center"/>
    </xf>
    <xf numFmtId="9" fontId="3" fillId="0" borderId="0" xfId="13" applyFont="1" applyBorder="1" applyAlignment="1">
      <alignment horizontal="center"/>
    </xf>
    <xf numFmtId="10" fontId="3" fillId="0" borderId="0" xfId="13" applyNumberFormat="1" applyFont="1" applyBorder="1" applyAlignment="1">
      <alignment horizontal="center"/>
    </xf>
    <xf numFmtId="10" fontId="3" fillId="0" borderId="0" xfId="13" applyNumberFormat="1" applyFont="1" applyAlignment="1">
      <alignment horizontal="center"/>
    </xf>
    <xf numFmtId="37" fontId="14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3" fillId="0" borderId="5" xfId="1" applyNumberFormat="1" applyFont="1" applyFill="1" applyBorder="1" applyProtection="1"/>
    <xf numFmtId="37" fontId="14" fillId="0" borderId="0" xfId="0" applyFont="1" applyFill="1" applyAlignment="1">
      <alignment horizontal="left" indent="1"/>
    </xf>
    <xf numFmtId="9" fontId="3" fillId="0" borderId="0" xfId="13" applyFont="1" applyFill="1" applyBorder="1" applyAlignment="1">
      <alignment horizontal="center"/>
    </xf>
    <xf numFmtId="10" fontId="3" fillId="0" borderId="0" xfId="13" applyNumberFormat="1" applyFont="1" applyFill="1" applyBorder="1" applyAlignment="1">
      <alignment horizontal="center"/>
    </xf>
    <xf numFmtId="10" fontId="0" fillId="0" borderId="0" xfId="13" applyNumberFormat="1" applyFont="1" applyFill="1"/>
    <xf numFmtId="173" fontId="12" fillId="0" borderId="0" xfId="13" applyNumberFormat="1" applyFont="1" applyFill="1"/>
    <xf numFmtId="188" fontId="12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85" fontId="3" fillId="0" borderId="0" xfId="1" applyNumberFormat="1" applyFont="1" applyFill="1"/>
    <xf numFmtId="185" fontId="3" fillId="0" borderId="2" xfId="1" applyNumberFormat="1" applyFont="1" applyFill="1" applyBorder="1" applyProtection="1"/>
    <xf numFmtId="182" fontId="3" fillId="0" borderId="0" xfId="2" applyNumberFormat="1" applyFont="1" applyBorder="1" applyProtection="1"/>
    <xf numFmtId="37" fontId="3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5" applyFont="1"/>
    <xf numFmtId="37" fontId="4" fillId="0" borderId="0" xfId="5" applyFont="1"/>
    <xf numFmtId="37" fontId="3" fillId="0" borderId="0" xfId="5" applyFont="1" applyAlignment="1" applyProtection="1">
      <alignment horizontal="left"/>
    </xf>
    <xf numFmtId="37" fontId="3" fillId="0" borderId="0" xfId="5" applyAlignment="1" applyProtection="1">
      <alignment horizontal="left"/>
    </xf>
    <xf numFmtId="37" fontId="3" fillId="0" borderId="0" xfId="5" applyFont="1" applyBorder="1"/>
    <xf numFmtId="37" fontId="3" fillId="0" borderId="3" xfId="5" applyFont="1" applyBorder="1" applyAlignment="1" applyProtection="1">
      <alignment horizontal="center"/>
    </xf>
    <xf numFmtId="37" fontId="3" fillId="0" borderId="3" xfId="5" applyFont="1" applyBorder="1"/>
    <xf numFmtId="37" fontId="3" fillId="0" borderId="2" xfId="5" applyFont="1" applyBorder="1" applyAlignment="1" applyProtection="1">
      <alignment horizontal="center"/>
    </xf>
    <xf numFmtId="37" fontId="3" fillId="0" borderId="0" xfId="5" applyFont="1" applyProtection="1"/>
    <xf numFmtId="37" fontId="3" fillId="0" borderId="0" xfId="5" applyFont="1" applyAlignment="1" applyProtection="1">
      <alignment horizontal="center"/>
    </xf>
    <xf numFmtId="37" fontId="6" fillId="0" borderId="0" xfId="5" applyFont="1" applyAlignment="1" applyProtection="1">
      <alignment horizontal="center"/>
    </xf>
    <xf numFmtId="37" fontId="3" fillId="0" borderId="3" xfId="5" applyFont="1" applyBorder="1" applyProtection="1"/>
    <xf numFmtId="37" fontId="3" fillId="0" borderId="0" xfId="5"/>
    <xf numFmtId="37" fontId="3" fillId="0" borderId="0" xfId="5" applyAlignment="1" applyProtection="1">
      <alignment horizontal="center"/>
    </xf>
    <xf numFmtId="179" fontId="3" fillId="0" borderId="0" xfId="5" applyNumberFormat="1" applyFont="1"/>
    <xf numFmtId="37" fontId="4" fillId="0" borderId="0" xfId="5" applyFont="1" applyAlignment="1" applyProtection="1">
      <alignment horizontal="right"/>
    </xf>
    <xf numFmtId="37" fontId="3" fillId="0" borderId="0" xfId="5" applyFont="1" applyBorder="1" applyAlignment="1" applyProtection="1">
      <alignment horizontal="center"/>
    </xf>
    <xf numFmtId="37" fontId="14" fillId="0" borderId="0" xfId="5" applyFont="1" applyBorder="1" applyAlignment="1" applyProtection="1">
      <alignment horizontal="left"/>
    </xf>
    <xf numFmtId="37" fontId="14" fillId="0" borderId="5" xfId="5" applyFont="1" applyBorder="1" applyAlignment="1" applyProtection="1">
      <alignment horizontal="left"/>
    </xf>
    <xf numFmtId="10" fontId="3" fillId="0" borderId="0" xfId="5" applyNumberFormat="1" applyFont="1"/>
    <xf numFmtId="185" fontId="12" fillId="0" borderId="0" xfId="1" applyNumberFormat="1" applyFont="1" applyFill="1" applyProtection="1">
      <protection locked="0"/>
    </xf>
    <xf numFmtId="185" fontId="12" fillId="0" borderId="0" xfId="1" applyNumberFormat="1" applyFont="1" applyFill="1" applyBorder="1" applyProtection="1"/>
    <xf numFmtId="44" fontId="0" fillId="0" borderId="0" xfId="2" applyFont="1" applyFill="1"/>
    <xf numFmtId="37" fontId="14" fillId="0" borderId="5" xfId="0" applyFont="1" applyFill="1" applyBorder="1" applyAlignment="1">
      <alignment horizontal="center"/>
    </xf>
    <xf numFmtId="37" fontId="8" fillId="0" borderId="0" xfId="0" applyFont="1" applyFill="1" applyAlignment="1">
      <alignment horizontal="center"/>
    </xf>
    <xf numFmtId="37" fontId="12" fillId="0" borderId="5" xfId="0" applyNumberFormat="1" applyFont="1" applyFill="1" applyBorder="1" applyProtection="1"/>
    <xf numFmtId="37" fontId="37" fillId="0" borderId="0" xfId="0" applyFont="1" applyAlignment="1">
      <alignment horizontal="right"/>
    </xf>
    <xf numFmtId="37" fontId="3" fillId="0" borderId="0" xfId="5" applyFont="1" applyBorder="1" applyProtection="1"/>
    <xf numFmtId="37" fontId="8" fillId="0" borderId="0" xfId="0" applyNumberFormat="1" applyFont="1" applyFill="1"/>
    <xf numFmtId="9" fontId="3" fillId="0" borderId="0" xfId="13" applyFont="1" applyFill="1" applyAlignment="1">
      <alignment horizontal="center"/>
    </xf>
    <xf numFmtId="10" fontId="3" fillId="0" borderId="0" xfId="13" applyNumberFormat="1" applyFont="1" applyFill="1" applyAlignment="1">
      <alignment horizontal="center"/>
    </xf>
    <xf numFmtId="182" fontId="3" fillId="0" borderId="6" xfId="2" applyNumberFormat="1" applyFont="1" applyFill="1" applyBorder="1"/>
    <xf numFmtId="182" fontId="3" fillId="0" borderId="0" xfId="2" applyNumberFormat="1" applyFont="1" applyProtection="1"/>
    <xf numFmtId="37" fontId="12" fillId="0" borderId="0" xfId="0" applyFont="1" applyBorder="1" applyAlignment="1" applyProtection="1">
      <alignment horizontal="left"/>
    </xf>
    <xf numFmtId="37" fontId="12" fillId="0" borderId="8" xfId="0" applyFont="1" applyBorder="1"/>
    <xf numFmtId="37" fontId="12" fillId="0" borderId="1" xfId="0" applyFont="1" applyBorder="1"/>
    <xf numFmtId="37" fontId="12" fillId="0" borderId="8" xfId="0" applyFont="1" applyBorder="1" applyAlignment="1" applyProtection="1">
      <alignment horizontal="center"/>
    </xf>
    <xf numFmtId="37" fontId="12" fillId="0" borderId="2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left"/>
    </xf>
    <xf numFmtId="182" fontId="8" fillId="0" borderId="0" xfId="2" applyNumberFormat="1" applyFont="1" applyProtection="1"/>
    <xf numFmtId="182" fontId="8" fillId="0" borderId="6" xfId="2" applyNumberFormat="1" applyFont="1" applyBorder="1" applyProtection="1"/>
    <xf numFmtId="9" fontId="3" fillId="0" borderId="0" xfId="0" applyNumberFormat="1" applyFont="1" applyAlignment="1" applyProtection="1">
      <alignment horizontal="center"/>
    </xf>
    <xf numFmtId="9" fontId="3" fillId="0" borderId="0" xfId="13" applyFont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23" xfId="0" applyFont="1" applyBorder="1" applyAlignment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21" xfId="0" applyFont="1" applyBorder="1" applyAlignment="1">
      <alignment horizontal="center"/>
    </xf>
    <xf numFmtId="37" fontId="3" fillId="0" borderId="23" xfId="0" applyFont="1" applyBorder="1" applyAlignment="1" applyProtection="1">
      <alignment horizontal="center"/>
    </xf>
    <xf numFmtId="37" fontId="3" fillId="0" borderId="1" xfId="0" applyFont="1" applyFill="1" applyBorder="1" applyAlignment="1" applyProtection="1">
      <alignment horizontal="center"/>
    </xf>
    <xf numFmtId="37" fontId="3" fillId="0" borderId="25" xfId="0" applyFont="1" applyBorder="1" applyAlignment="1">
      <alignment horizontal="center"/>
    </xf>
    <xf numFmtId="178" fontId="3" fillId="0" borderId="0" xfId="1" applyNumberFormat="1" applyFont="1" applyFill="1" applyProtection="1"/>
    <xf numFmtId="37" fontId="3" fillId="0" borderId="0" xfId="0" applyFont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right"/>
      <protection locked="0"/>
    </xf>
    <xf numFmtId="182" fontId="12" fillId="0" borderId="5" xfId="2" applyNumberFormat="1" applyFont="1" applyFill="1" applyBorder="1" applyProtection="1"/>
    <xf numFmtId="182" fontId="12" fillId="0" borderId="0" xfId="2" applyNumberFormat="1" applyFont="1" applyFill="1" applyBorder="1" applyProtection="1"/>
    <xf numFmtId="182" fontId="12" fillId="0" borderId="0" xfId="2" applyNumberFormat="1" applyFont="1" applyFill="1" applyProtection="1">
      <protection locked="0"/>
    </xf>
    <xf numFmtId="182" fontId="15" fillId="0" borderId="0" xfId="2" applyNumberFormat="1" applyFont="1" applyFill="1" applyProtection="1"/>
    <xf numFmtId="37" fontId="12" fillId="0" borderId="0" xfId="0" applyFont="1" applyAlignment="1">
      <alignment horizontal="right"/>
    </xf>
    <xf numFmtId="37" fontId="12" fillId="0" borderId="0" xfId="0" applyFont="1" applyBorder="1" applyAlignment="1" applyProtection="1">
      <alignment horizontal="right"/>
      <protection locked="0"/>
    </xf>
    <xf numFmtId="37" fontId="12" fillId="0" borderId="5" xfId="0" applyFont="1" applyBorder="1" applyAlignment="1">
      <alignment horizontal="right"/>
    </xf>
    <xf numFmtId="37" fontId="8" fillId="0" borderId="5" xfId="0" applyFont="1" applyBorder="1" applyAlignment="1">
      <alignment horizontal="right"/>
    </xf>
    <xf numFmtId="182" fontId="3" fillId="0" borderId="0" xfId="2" applyNumberFormat="1" applyFont="1" applyFill="1" applyBorder="1" applyProtection="1"/>
    <xf numFmtId="182" fontId="3" fillId="0" borderId="5" xfId="2" applyNumberFormat="1" applyFont="1" applyFill="1" applyBorder="1" applyProtection="1"/>
    <xf numFmtId="182" fontId="3" fillId="0" borderId="0" xfId="2" applyNumberFormat="1" applyFont="1" applyFill="1" applyProtection="1">
      <protection locked="0"/>
    </xf>
    <xf numFmtId="37" fontId="8" fillId="0" borderId="0" xfId="0" applyFont="1" applyBorder="1" applyAlignment="1"/>
    <xf numFmtId="37" fontId="8" fillId="0" borderId="0" xfId="0" applyFont="1" applyBorder="1" applyAlignment="1" applyProtection="1"/>
    <xf numFmtId="37" fontId="8" fillId="0" borderId="0" xfId="0" applyFont="1" applyFill="1" applyAlignment="1">
      <alignment horizontal="right"/>
    </xf>
    <xf numFmtId="37" fontId="8" fillId="0" borderId="0" xfId="0" applyFont="1" applyFill="1" applyAlignment="1" applyProtection="1">
      <alignment horizontal="right"/>
      <protection locked="0"/>
    </xf>
    <xf numFmtId="37" fontId="8" fillId="0" borderId="2" xfId="0" applyFont="1" applyFill="1" applyBorder="1" applyAlignment="1" applyProtection="1">
      <alignment horizontal="right"/>
      <protection locked="0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  <protection locked="0"/>
    </xf>
    <xf numFmtId="37" fontId="8" fillId="0" borderId="0" xfId="0" applyFont="1" applyAlignment="1">
      <alignment horizontal="right"/>
    </xf>
    <xf numFmtId="182" fontId="0" fillId="0" borderId="6" xfId="2" applyNumberFormat="1" applyFont="1" applyFill="1" applyBorder="1"/>
    <xf numFmtId="185" fontId="8" fillId="0" borderId="0" xfId="1" applyNumberFormat="1" applyFont="1" applyFill="1"/>
    <xf numFmtId="0" fontId="3" fillId="0" borderId="0" xfId="0" applyNumberFormat="1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left"/>
    </xf>
    <xf numFmtId="9" fontId="3" fillId="0" borderId="0" xfId="0" applyNumberFormat="1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9" fontId="3" fillId="0" borderId="0" xfId="13" applyFont="1" applyBorder="1" applyAlignment="1" applyProtection="1">
      <alignment horizontal="center"/>
    </xf>
    <xf numFmtId="37" fontId="3" fillId="0" borderId="27" xfId="0" applyFont="1" applyBorder="1" applyAlignment="1">
      <alignment horizontal="center"/>
    </xf>
    <xf numFmtId="37" fontId="3" fillId="0" borderId="27" xfId="0" applyFont="1" applyBorder="1" applyAlignment="1" applyProtection="1">
      <alignment horizontal="center"/>
    </xf>
    <xf numFmtId="37" fontId="3" fillId="0" borderId="5" xfId="0" applyFont="1" applyFill="1" applyBorder="1" applyAlignment="1">
      <alignment horizontal="center"/>
    </xf>
    <xf numFmtId="182" fontId="8" fillId="0" borderId="10" xfId="2" applyNumberFormat="1" applyFont="1" applyBorder="1" applyProtection="1"/>
    <xf numFmtId="182" fontId="8" fillId="0" borderId="10" xfId="2" applyNumberFormat="1" applyFont="1" applyFill="1" applyBorder="1" applyProtection="1"/>
    <xf numFmtId="185" fontId="8" fillId="0" borderId="0" xfId="1" applyNumberFormat="1" applyFont="1" applyProtection="1"/>
    <xf numFmtId="185" fontId="8" fillId="0" borderId="2" xfId="1" applyNumberFormat="1" applyFont="1" applyFill="1" applyBorder="1" applyProtection="1"/>
    <xf numFmtId="185" fontId="8" fillId="0" borderId="5" xfId="1" applyNumberFormat="1" applyFont="1" applyBorder="1" applyProtection="1"/>
    <xf numFmtId="182" fontId="8" fillId="0" borderId="0" xfId="2" applyNumberFormat="1" applyFont="1" applyFill="1" applyProtection="1">
      <protection locked="0"/>
    </xf>
    <xf numFmtId="185" fontId="8" fillId="0" borderId="0" xfId="1" quotePrefix="1" applyNumberFormat="1" applyFont="1" applyFill="1" applyProtection="1"/>
    <xf numFmtId="185" fontId="8" fillId="0" borderId="0" xfId="1" quotePrefix="1" applyNumberFormat="1" applyFont="1" applyFill="1" applyProtection="1">
      <protection locked="0"/>
    </xf>
    <xf numFmtId="183" fontId="12" fillId="0" borderId="0" xfId="0" applyNumberFormat="1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183" fontId="12" fillId="0" borderId="0" xfId="0" applyNumberFormat="1" applyFont="1" applyBorder="1" applyAlignment="1" applyProtection="1">
      <alignment horizontal="center"/>
      <protection locked="0"/>
    </xf>
    <xf numFmtId="183" fontId="12" fillId="0" borderId="0" xfId="0" applyNumberFormat="1" applyFont="1" applyAlignment="1" applyProtection="1">
      <alignment horizontal="center"/>
    </xf>
    <xf numFmtId="183" fontId="12" fillId="0" borderId="0" xfId="0" applyNumberFormat="1" applyFont="1" applyAlignment="1">
      <alignment horizontal="center"/>
    </xf>
    <xf numFmtId="37" fontId="12" fillId="0" borderId="0" xfId="0" quotePrefix="1" applyFont="1" applyAlignment="1">
      <alignment horizontal="center"/>
    </xf>
    <xf numFmtId="184" fontId="12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Border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</xf>
    <xf numFmtId="183" fontId="8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183" fontId="8" fillId="0" borderId="0" xfId="0" quotePrefix="1" applyNumberFormat="1" applyFont="1" applyAlignment="1" applyProtection="1">
      <alignment horizontal="center"/>
      <protection locked="0"/>
    </xf>
    <xf numFmtId="184" fontId="8" fillId="0" borderId="0" xfId="0" applyNumberFormat="1" applyFont="1" applyAlignment="1" applyProtection="1">
      <alignment horizontal="center"/>
      <protection locked="0"/>
    </xf>
    <xf numFmtId="182" fontId="3" fillId="0" borderId="6" xfId="2" applyNumberFormat="1" applyFont="1" applyFill="1" applyBorder="1" applyProtection="1"/>
    <xf numFmtId="182" fontId="8" fillId="0" borderId="19" xfId="2" applyNumberFormat="1" applyFont="1" applyFill="1" applyBorder="1"/>
    <xf numFmtId="182" fontId="3" fillId="0" borderId="19" xfId="2" applyNumberFormat="1" applyFont="1" applyFill="1" applyBorder="1"/>
    <xf numFmtId="182" fontId="3" fillId="0" borderId="19" xfId="2" applyNumberFormat="1" applyFont="1" applyBorder="1"/>
    <xf numFmtId="37" fontId="3" fillId="0" borderId="0" xfId="0" applyFont="1" applyBorder="1" applyAlignment="1">
      <alignment horizontal="right"/>
    </xf>
    <xf numFmtId="37" fontId="12" fillId="0" borderId="5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182" fontId="3" fillId="0" borderId="0" xfId="2" applyNumberFormat="1" applyFont="1" applyAlignment="1" applyProtection="1">
      <alignment horizontal="right"/>
    </xf>
    <xf numFmtId="182" fontId="3" fillId="0" borderId="6" xfId="2" applyNumberFormat="1" applyFont="1" applyBorder="1" applyAlignment="1" applyProtection="1">
      <alignment horizontal="right"/>
    </xf>
    <xf numFmtId="182" fontId="14" fillId="0" borderId="6" xfId="2" applyNumberFormat="1" applyFont="1" applyBorder="1" applyAlignment="1" applyProtection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Alignment="1">
      <alignment horizontal="right"/>
    </xf>
    <xf numFmtId="37" fontId="12" fillId="0" borderId="0" xfId="5" applyFont="1" applyAlignment="1" applyProtection="1">
      <alignment horizontal="left"/>
    </xf>
    <xf numFmtId="37" fontId="3" fillId="0" borderId="0" xfId="5" applyFont="1" applyAlignment="1">
      <alignment horizontal="right"/>
    </xf>
    <xf numFmtId="37" fontId="3" fillId="0" borderId="0" xfId="5" applyFont="1" applyAlignment="1" applyProtection="1">
      <alignment horizontal="right"/>
    </xf>
    <xf numFmtId="37" fontId="3" fillId="0" borderId="0" xfId="5" applyAlignment="1" applyProtection="1">
      <alignment horizontal="right"/>
    </xf>
    <xf numFmtId="182" fontId="3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182" fontId="0" fillId="0" borderId="0" xfId="2" applyNumberFormat="1" applyFont="1" applyProtection="1"/>
    <xf numFmtId="182" fontId="3" fillId="0" borderId="28" xfId="2" applyNumberFormat="1" applyFont="1" applyBorder="1" applyProtection="1"/>
    <xf numFmtId="37" fontId="0" fillId="0" borderId="29" xfId="0" applyFont="1" applyBorder="1"/>
    <xf numFmtId="37" fontId="4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19" fillId="0" borderId="0" xfId="0" applyFont="1" applyAlignment="1">
      <alignment horizontal="right"/>
    </xf>
    <xf numFmtId="37" fontId="12" fillId="0" borderId="5" xfId="0" applyFont="1" applyBorder="1" applyAlignment="1" applyProtection="1">
      <alignment horizontal="left"/>
    </xf>
    <xf numFmtId="182" fontId="12" fillId="0" borderId="19" xfId="2" applyNumberFormat="1" applyFont="1" applyFill="1" applyBorder="1" applyProtection="1"/>
    <xf numFmtId="182" fontId="12" fillId="0" borderId="6" xfId="2" applyNumberFormat="1" applyFont="1" applyFill="1" applyBorder="1"/>
    <xf numFmtId="182" fontId="0" fillId="0" borderId="0" xfId="2" applyNumberFormat="1" applyFont="1" applyFill="1" applyProtection="1"/>
    <xf numFmtId="182" fontId="3" fillId="0" borderId="2" xfId="2" applyNumberFormat="1" applyFont="1" applyBorder="1" applyProtection="1"/>
    <xf numFmtId="182" fontId="12" fillId="0" borderId="2" xfId="2" applyNumberFormat="1" applyFont="1" applyBorder="1" applyProtection="1"/>
    <xf numFmtId="182" fontId="3" fillId="0" borderId="19" xfId="2" applyNumberFormat="1" applyFont="1" applyFill="1" applyBorder="1" applyProtection="1"/>
    <xf numFmtId="174" fontId="11" fillId="0" borderId="0" xfId="0" applyNumberFormat="1" applyFont="1" applyFill="1" applyProtection="1"/>
    <xf numFmtId="10" fontId="0" fillId="0" borderId="0" xfId="0" applyNumberFormat="1" applyFont="1" applyFill="1" applyProtection="1"/>
    <xf numFmtId="169" fontId="12" fillId="0" borderId="0" xfId="13" applyNumberFormat="1" applyFont="1"/>
    <xf numFmtId="10" fontId="8" fillId="0" borderId="0" xfId="13" applyNumberFormat="1" applyFont="1" applyBorder="1"/>
    <xf numFmtId="10" fontId="8" fillId="0" borderId="0" xfId="13" applyNumberFormat="1" applyFont="1" applyFill="1"/>
    <xf numFmtId="5" fontId="3" fillId="0" borderId="0" xfId="0" applyNumberFormat="1" applyFont="1" applyFill="1" applyProtection="1"/>
    <xf numFmtId="173" fontId="3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3" fillId="0" borderId="0" xfId="0" applyNumberFormat="1" applyFont="1" applyFill="1" applyProtection="1"/>
    <xf numFmtId="185" fontId="3" fillId="0" borderId="5" xfId="0" applyNumberFormat="1" applyFont="1" applyFill="1" applyBorder="1" applyProtection="1"/>
    <xf numFmtId="5" fontId="3" fillId="0" borderId="7" xfId="0" applyNumberFormat="1" applyFont="1" applyFill="1" applyBorder="1" applyProtection="1"/>
    <xf numFmtId="37" fontId="3" fillId="0" borderId="27" xfId="0" applyFont="1" applyBorder="1"/>
    <xf numFmtId="37" fontId="3" fillId="0" borderId="30" xfId="0" applyFont="1" applyBorder="1" applyAlignment="1" applyProtection="1">
      <alignment horizontal="center"/>
    </xf>
    <xf numFmtId="37" fontId="3" fillId="0" borderId="31" xfId="0" applyFont="1" applyBorder="1" applyAlignment="1" applyProtection="1">
      <alignment horizontal="center"/>
    </xf>
    <xf numFmtId="37" fontId="3" fillId="0" borderId="31" xfId="0" applyFont="1" applyBorder="1" applyAlignment="1">
      <alignment horizontal="center"/>
    </xf>
    <xf numFmtId="37" fontId="43" fillId="0" borderId="0" xfId="0" applyFont="1"/>
    <xf numFmtId="37" fontId="44" fillId="0" borderId="0" xfId="0" applyFont="1"/>
    <xf numFmtId="14" fontId="14" fillId="0" borderId="8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right"/>
    </xf>
    <xf numFmtId="37" fontId="45" fillId="0" borderId="0" xfId="0" applyFont="1"/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 applyProtection="1">
      <alignment horizontal="center"/>
      <protection locked="0"/>
    </xf>
    <xf numFmtId="37" fontId="36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4" fillId="0" borderId="0" xfId="0" applyFont="1" applyFill="1" applyAlignment="1">
      <alignment horizontal="center"/>
    </xf>
    <xf numFmtId="37" fontId="0" fillId="0" borderId="5" xfId="0" applyFont="1" applyBorder="1" applyAlignment="1">
      <alignment horizontal="center"/>
    </xf>
    <xf numFmtId="37" fontId="14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6" fillId="0" borderId="0" xfId="0" applyFont="1"/>
    <xf numFmtId="37" fontId="3" fillId="0" borderId="0" xfId="0" applyNumberFormat="1" applyFont="1" applyFill="1" applyBorder="1" applyAlignment="1" applyProtection="1">
      <alignment horizontal="right"/>
    </xf>
    <xf numFmtId="185" fontId="3" fillId="0" borderId="0" xfId="1" applyNumberFormat="1" applyFont="1" applyFill="1" applyBorder="1" applyAlignment="1" applyProtection="1">
      <alignment horizontal="right"/>
    </xf>
    <xf numFmtId="185" fontId="3" fillId="0" borderId="0" xfId="1" applyNumberFormat="1" applyFont="1" applyFill="1" applyAlignment="1">
      <alignment horizontal="right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8" fillId="0" borderId="0" xfId="0" applyFont="1" applyFill="1" applyAlignment="1" applyProtection="1">
      <alignment horizontal="left" wrapText="1"/>
    </xf>
    <xf numFmtId="37" fontId="3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37" fontId="0" fillId="0" borderId="7" xfId="0" applyFill="1" applyBorder="1"/>
    <xf numFmtId="37" fontId="5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3" fillId="0" borderId="0" xfId="1" applyNumberFormat="1" applyFont="1" applyFill="1"/>
    <xf numFmtId="43" fontId="3" fillId="0" borderId="0" xfId="1" applyFont="1" applyFill="1"/>
    <xf numFmtId="9" fontId="3" fillId="0" borderId="0" xfId="1" applyNumberFormat="1" applyFont="1" applyFill="1" applyAlignment="1">
      <alignment horizontal="center"/>
    </xf>
    <xf numFmtId="183" fontId="44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Alignment="1">
      <alignment horizontal="center"/>
    </xf>
    <xf numFmtId="185" fontId="43" fillId="0" borderId="0" xfId="1" applyNumberFormat="1" applyFont="1" applyFill="1"/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185" fontId="8" fillId="0" borderId="0" xfId="1" applyNumberFormat="1" applyFont="1" applyFill="1" applyAlignment="1">
      <alignment horizontal="right"/>
    </xf>
    <xf numFmtId="37" fontId="37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/>
    <xf numFmtId="37" fontId="0" fillId="0" borderId="0" xfId="0" quotePrefix="1"/>
    <xf numFmtId="10" fontId="43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1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28" fillId="0" borderId="0" xfId="13" applyNumberFormat="1" applyFont="1" applyFill="1"/>
    <xf numFmtId="5" fontId="37" fillId="0" borderId="10" xfId="0" applyNumberFormat="1" applyFont="1" applyFill="1" applyBorder="1"/>
    <xf numFmtId="5" fontId="37" fillId="0" borderId="0" xfId="0" applyNumberFormat="1" applyFont="1" applyFill="1" applyBorder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13" applyNumberFormat="1" applyFont="1" applyFill="1" applyAlignment="1"/>
    <xf numFmtId="37" fontId="13" fillId="0" borderId="0" xfId="0" applyFont="1" applyFill="1"/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3" fillId="0" borderId="0" xfId="0" applyNumberFormat="1" applyFont="1" applyProtection="1"/>
    <xf numFmtId="10" fontId="43" fillId="0" borderId="0" xfId="13" applyNumberFormat="1" applyFont="1" applyFill="1" applyAlignment="1">
      <alignment horizontal="center"/>
    </xf>
    <xf numFmtId="37" fontId="4" fillId="0" borderId="5" xfId="0" applyFont="1" applyBorder="1"/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37" fontId="13" fillId="0" borderId="0" xfId="0" applyFont="1" applyAlignment="1" applyProtection="1">
      <alignment horizontal="left"/>
    </xf>
    <xf numFmtId="37" fontId="52" fillId="0" borderId="0" xfId="0" applyFont="1"/>
    <xf numFmtId="37" fontId="52" fillId="0" borderId="0" xfId="0" applyNumberFormat="1" applyFont="1" applyProtection="1"/>
    <xf numFmtId="37" fontId="52" fillId="0" borderId="0" xfId="0" applyNumberFormat="1" applyFont="1" applyFill="1" applyProtection="1"/>
    <xf numFmtId="185" fontId="52" fillId="0" borderId="0" xfId="1" applyNumberFormat="1" applyFont="1" applyFill="1" applyProtection="1"/>
    <xf numFmtId="37" fontId="0" fillId="0" borderId="0" xfId="0" applyAlignment="1">
      <alignment horizontal="center"/>
    </xf>
    <xf numFmtId="37" fontId="43" fillId="0" borderId="0" xfId="0" applyFont="1" applyFill="1"/>
    <xf numFmtId="37" fontId="54" fillId="0" borderId="0" xfId="0" applyFont="1" applyAlignment="1">
      <alignment horizontal="right"/>
    </xf>
    <xf numFmtId="37" fontId="54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3" fillId="0" borderId="7" xfId="2" applyNumberFormat="1" applyFont="1" applyFill="1" applyBorder="1" applyProtection="1"/>
    <xf numFmtId="182" fontId="12" fillId="0" borderId="6" xfId="2" applyNumberFormat="1" applyFont="1" applyFill="1" applyBorder="1" applyProtection="1"/>
    <xf numFmtId="37" fontId="0" fillId="0" borderId="0" xfId="0" applyFill="1" applyAlignment="1">
      <alignment horizontal="center"/>
    </xf>
    <xf numFmtId="37" fontId="8" fillId="0" borderId="0" xfId="0" applyFont="1" applyAlignment="1" applyProtection="1">
      <alignment horizontal="right"/>
    </xf>
    <xf numFmtId="37" fontId="8" fillId="0" borderId="2" xfId="0" applyFont="1" applyBorder="1" applyAlignment="1" applyProtection="1">
      <alignment horizontal="right"/>
    </xf>
    <xf numFmtId="37" fontId="12" fillId="0" borderId="0" xfId="0" applyFont="1" applyAlignment="1" applyProtection="1">
      <alignment horizontal="centerContinuous"/>
    </xf>
    <xf numFmtId="169" fontId="43" fillId="0" borderId="0" xfId="0" applyNumberFormat="1" applyFont="1" applyProtection="1"/>
    <xf numFmtId="37" fontId="43" fillId="0" borderId="0" xfId="0" applyNumberFormat="1" applyFont="1" applyProtection="1">
      <protection locked="0"/>
    </xf>
    <xf numFmtId="10" fontId="43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46" fillId="0" borderId="0" xfId="0" applyFont="1" applyFill="1"/>
    <xf numFmtId="37" fontId="43" fillId="0" borderId="0" xfId="0" applyFont="1" applyAlignment="1"/>
    <xf numFmtId="39" fontId="43" fillId="0" borderId="0" xfId="0" applyNumberFormat="1" applyFont="1"/>
    <xf numFmtId="175" fontId="3" fillId="0" borderId="0" xfId="0" applyNumberFormat="1" applyFont="1" applyAlignment="1"/>
    <xf numFmtId="37" fontId="12" fillId="0" borderId="0" xfId="0" applyFont="1" applyFill="1" applyAlignment="1" applyProtection="1">
      <alignment horizontal="left"/>
    </xf>
    <xf numFmtId="37" fontId="12" fillId="0" borderId="0" xfId="0" applyFont="1" applyAlignment="1" applyProtection="1">
      <alignment horizontal="right"/>
    </xf>
    <xf numFmtId="37" fontId="12" fillId="0" borderId="0" xfId="0" applyFont="1" applyBorder="1" applyAlignment="1" applyProtection="1">
      <alignment horizontal="right"/>
    </xf>
    <xf numFmtId="37" fontId="12" fillId="0" borderId="5" xfId="0" applyFont="1" applyBorder="1"/>
    <xf numFmtId="37" fontId="4" fillId="0" borderId="0" xfId="0" applyFont="1" applyFill="1" applyAlignment="1"/>
    <xf numFmtId="37" fontId="3" fillId="0" borderId="0" xfId="0" applyFont="1" applyFill="1" applyAlignment="1" applyProtection="1"/>
    <xf numFmtId="180" fontId="8" fillId="0" borderId="0" xfId="0" applyNumberFormat="1" applyFont="1"/>
    <xf numFmtId="182" fontId="0" fillId="0" borderId="7" xfId="2" applyNumberFormat="1" applyFont="1" applyFill="1" applyBorder="1" applyProtection="1"/>
    <xf numFmtId="37" fontId="3" fillId="0" borderId="0" xfId="0" quotePrefix="1" applyFont="1" applyFill="1"/>
    <xf numFmtId="182" fontId="0" fillId="0" borderId="6" xfId="2" applyNumberFormat="1" applyFont="1" applyFill="1" applyBorder="1" applyProtection="1"/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 applyProtection="1">
      <alignment horizontal="center"/>
      <protection locked="0"/>
    </xf>
    <xf numFmtId="37" fontId="12" fillId="0" borderId="0" xfId="0" applyFont="1" applyFill="1" applyAlignment="1" applyProtection="1">
      <alignment horizontal="left" indent="2"/>
      <protection locked="0"/>
    </xf>
    <xf numFmtId="37" fontId="0" fillId="0" borderId="0" xfId="0" applyAlignment="1">
      <alignment horizontal="center"/>
    </xf>
    <xf numFmtId="182" fontId="3" fillId="0" borderId="0" xfId="2" applyNumberFormat="1" applyFont="1" applyFill="1" applyAlignment="1">
      <alignment horizontal="center"/>
    </xf>
    <xf numFmtId="185" fontId="3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3" fillId="0" borderId="0" xfId="0" applyFont="1" applyFill="1" applyBorder="1" applyAlignment="1">
      <alignment horizontal="center"/>
    </xf>
    <xf numFmtId="10" fontId="43" fillId="5" borderId="0" xfId="0" applyNumberFormat="1" applyFont="1" applyFill="1" applyAlignment="1" applyProtection="1">
      <alignment horizontal="center"/>
    </xf>
    <xf numFmtId="37" fontId="37" fillId="4" borderId="0" xfId="0" applyFont="1" applyFill="1"/>
    <xf numFmtId="37" fontId="0" fillId="4" borderId="0" xfId="0" applyFill="1"/>
    <xf numFmtId="37" fontId="43" fillId="0" borderId="0" xfId="0" applyFont="1" applyBorder="1"/>
    <xf numFmtId="37" fontId="3" fillId="0" borderId="0" xfId="0" applyFont="1" applyAlignment="1" applyProtection="1">
      <alignment horizontal="center"/>
    </xf>
    <xf numFmtId="10" fontId="43" fillId="4" borderId="0" xfId="13" applyNumberFormat="1" applyFont="1" applyFill="1" applyAlignment="1">
      <alignment horizontal="center"/>
    </xf>
    <xf numFmtId="182" fontId="0" fillId="0" borderId="7" xfId="2" applyNumberFormat="1" applyFont="1" applyFill="1" applyBorder="1"/>
    <xf numFmtId="182" fontId="3" fillId="0" borderId="7" xfId="2" applyNumberFormat="1" applyFont="1" applyFill="1" applyBorder="1"/>
    <xf numFmtId="37" fontId="56" fillId="0" borderId="0" xfId="0" applyFont="1"/>
    <xf numFmtId="37" fontId="52" fillId="0" borderId="0" xfId="0" applyFont="1" applyAlignment="1" applyProtection="1">
      <alignment horizontal="center"/>
    </xf>
    <xf numFmtId="37" fontId="52" fillId="0" borderId="0" xfId="0" applyFont="1" applyFill="1"/>
    <xf numFmtId="182" fontId="52" fillId="0" borderId="0" xfId="2" applyNumberFormat="1" applyFont="1" applyBorder="1" applyProtection="1"/>
    <xf numFmtId="182" fontId="12" fillId="0" borderId="7" xfId="2" applyNumberFormat="1" applyFont="1" applyFill="1" applyBorder="1" applyProtection="1"/>
    <xf numFmtId="183" fontId="21" fillId="0" borderId="0" xfId="0" applyNumberFormat="1" applyFont="1" applyFill="1" applyAlignment="1">
      <alignment horizontal="left"/>
    </xf>
    <xf numFmtId="37" fontId="45" fillId="0" borderId="0" xfId="0" applyFont="1" applyFill="1"/>
    <xf numFmtId="37" fontId="43" fillId="0" borderId="0" xfId="0" quotePrefix="1" applyFont="1" applyFill="1"/>
    <xf numFmtId="37" fontId="12" fillId="0" borderId="7" xfId="0" applyNumberFormat="1" applyFont="1" applyFill="1" applyBorder="1" applyProtection="1"/>
    <xf numFmtId="37" fontId="52" fillId="0" borderId="0" xfId="0" applyFont="1" applyAlignment="1" applyProtection="1">
      <alignment horizontal="left"/>
    </xf>
    <xf numFmtId="37" fontId="57" fillId="0" borderId="0" xfId="0" applyFont="1"/>
    <xf numFmtId="37" fontId="57" fillId="0" borderId="0" xfId="0" quotePrefix="1" applyFont="1" applyAlignment="1">
      <alignment horizontal="center"/>
    </xf>
    <xf numFmtId="37" fontId="57" fillId="0" borderId="0" xfId="0" applyFont="1" applyAlignment="1" applyProtection="1">
      <alignment horizontal="center"/>
    </xf>
    <xf numFmtId="165" fontId="57" fillId="0" borderId="0" xfId="0" applyNumberFormat="1" applyFont="1" applyProtection="1"/>
    <xf numFmtId="10" fontId="57" fillId="0" borderId="0" xfId="0" applyNumberFormat="1" applyFont="1" applyFill="1" applyProtection="1"/>
    <xf numFmtId="37" fontId="58" fillId="0" borderId="0" xfId="0" applyNumberFormat="1" applyFont="1" applyBorder="1" applyProtection="1"/>
    <xf numFmtId="170" fontId="53" fillId="0" borderId="0" xfId="0" applyNumberFormat="1" applyFont="1" applyFill="1" applyProtection="1"/>
    <xf numFmtId="170" fontId="8" fillId="0" borderId="0" xfId="0" applyNumberFormat="1" applyFont="1" applyProtection="1"/>
    <xf numFmtId="37" fontId="5" fillId="0" borderId="0" xfId="0" applyFont="1" applyAlignment="1">
      <alignment horizontal="center"/>
    </xf>
    <xf numFmtId="37" fontId="52" fillId="0" borderId="0" xfId="0" applyFont="1" applyAlignment="1">
      <alignment horizontal="center"/>
    </xf>
    <xf numFmtId="37" fontId="57" fillId="0" borderId="0" xfId="0" applyFont="1" applyAlignment="1">
      <alignment horizontal="center"/>
    </xf>
    <xf numFmtId="37" fontId="57" fillId="0" borderId="0" xfId="0" applyFont="1" applyAlignment="1">
      <alignment horizontal="left"/>
    </xf>
    <xf numFmtId="185" fontId="57" fillId="0" borderId="0" xfId="1" applyNumberFormat="1" applyFont="1" applyFill="1" applyProtection="1"/>
    <xf numFmtId="37" fontId="57" fillId="0" borderId="0" xfId="0" applyFont="1" applyFill="1"/>
    <xf numFmtId="37" fontId="57" fillId="0" borderId="0" xfId="0" applyNumberFormat="1" applyFont="1" applyFill="1" applyProtection="1"/>
    <xf numFmtId="185" fontId="57" fillId="0" borderId="0" xfId="1" applyNumberFormat="1" applyFont="1" applyFill="1"/>
    <xf numFmtId="185" fontId="57" fillId="0" borderId="0" xfId="1" applyNumberFormat="1" applyFont="1"/>
    <xf numFmtId="185" fontId="57" fillId="0" borderId="0" xfId="1" applyNumberFormat="1" applyFont="1" applyProtection="1"/>
    <xf numFmtId="37" fontId="57" fillId="0" borderId="0" xfId="0" applyNumberFormat="1" applyFont="1" applyProtection="1"/>
    <xf numFmtId="10" fontId="57" fillId="0" borderId="0" xfId="0" applyNumberFormat="1" applyFont="1" applyBorder="1" applyProtection="1"/>
    <xf numFmtId="37" fontId="4" fillId="0" borderId="0" xfId="0" applyFont="1" applyFill="1" applyAlignment="1">
      <alignment horizontal="center"/>
    </xf>
    <xf numFmtId="3" fontId="43" fillId="0" borderId="0" xfId="0" applyNumberFormat="1" applyFont="1"/>
    <xf numFmtId="37" fontId="59" fillId="0" borderId="0" xfId="0" applyFont="1" applyFill="1"/>
    <xf numFmtId="37" fontId="0" fillId="5" borderId="0" xfId="0" applyFill="1" applyAlignment="1">
      <alignment horizontal="left" indent="1"/>
    </xf>
    <xf numFmtId="173" fontId="57" fillId="0" borderId="0" xfId="13" applyNumberFormat="1" applyFont="1" applyProtection="1"/>
    <xf numFmtId="37" fontId="43" fillId="0" borderId="0" xfId="0" applyFont="1" applyFill="1" applyBorder="1"/>
    <xf numFmtId="10" fontId="0" fillId="4" borderId="0" xfId="13" applyNumberFormat="1" applyFont="1" applyFill="1" applyAlignment="1">
      <alignment horizontal="center"/>
    </xf>
    <xf numFmtId="37" fontId="3" fillId="0" borderId="0" xfId="0" applyFont="1" applyAlignment="1">
      <alignment horizontal="center"/>
    </xf>
    <xf numFmtId="37" fontId="8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52" fillId="0" borderId="0" xfId="0" applyFont="1" applyAlignment="1">
      <alignment horizontal="right"/>
    </xf>
    <xf numFmtId="37" fontId="52" fillId="0" borderId="0" xfId="0" quotePrefix="1" applyNumberFormat="1" applyFont="1" applyProtection="1"/>
    <xf numFmtId="37" fontId="3" fillId="6" borderId="0" xfId="0" applyFont="1" applyFill="1"/>
    <xf numFmtId="37" fontId="3" fillId="6" borderId="0" xfId="0" applyFont="1" applyFill="1" applyBorder="1"/>
    <xf numFmtId="37" fontId="3" fillId="6" borderId="0" xfId="0" applyNumberFormat="1" applyFont="1" applyFill="1" applyProtection="1"/>
    <xf numFmtId="37" fontId="3" fillId="6" borderId="0" xfId="0" applyNumberFormat="1" applyFont="1" applyFill="1" applyBorder="1" applyProtection="1"/>
    <xf numFmtId="10" fontId="3" fillId="6" borderId="0" xfId="0" applyNumberFormat="1" applyFont="1" applyFill="1" applyBorder="1" applyProtection="1"/>
    <xf numFmtId="10" fontId="3" fillId="6" borderId="0" xfId="13" applyNumberFormat="1" applyFont="1" applyFill="1" applyBorder="1"/>
    <xf numFmtId="166" fontId="3" fillId="6" borderId="0" xfId="0" applyNumberFormat="1" applyFont="1" applyFill="1" applyBorder="1" applyProtection="1"/>
    <xf numFmtId="182" fontId="4" fillId="6" borderId="0" xfId="2" applyNumberFormat="1" applyFont="1" applyFill="1" applyProtection="1"/>
    <xf numFmtId="37" fontId="8" fillId="6" borderId="0" xfId="0" applyFont="1" applyFill="1" applyBorder="1"/>
    <xf numFmtId="37" fontId="3" fillId="5" borderId="0" xfId="5" applyFont="1" applyFill="1" applyAlignment="1" applyProtection="1">
      <alignment horizontal="left"/>
    </xf>
    <xf numFmtId="182" fontId="3" fillId="5" borderId="0" xfId="2" applyNumberFormat="1" applyFont="1" applyFill="1" applyProtection="1"/>
    <xf numFmtId="37" fontId="3" fillId="5" borderId="0" xfId="5" applyFont="1" applyFill="1" applyProtection="1"/>
    <xf numFmtId="37" fontId="3" fillId="5" borderId="0" xfId="5" applyFill="1" applyAlignment="1" applyProtection="1">
      <alignment horizontal="left"/>
    </xf>
    <xf numFmtId="37" fontId="0" fillId="5" borderId="0" xfId="0" applyFont="1" applyFill="1" applyAlignment="1" applyProtection="1">
      <alignment horizontal="left"/>
    </xf>
    <xf numFmtId="182" fontId="0" fillId="5" borderId="0" xfId="2" applyNumberFormat="1" applyFont="1" applyFill="1" applyProtection="1"/>
    <xf numFmtId="37" fontId="0" fillId="5" borderId="0" xfId="0" applyFont="1" applyFill="1" applyProtection="1"/>
    <xf numFmtId="37" fontId="0" fillId="0" borderId="0" xfId="0" applyFont="1" applyFill="1" applyAlignment="1" applyProtection="1">
      <alignment horizontal="left"/>
      <protection locked="0"/>
    </xf>
    <xf numFmtId="37" fontId="3" fillId="0" borderId="0" xfId="0" applyFont="1" applyAlignment="1" applyProtection="1">
      <alignment horizontal="center"/>
    </xf>
    <xf numFmtId="185" fontId="37" fillId="0" borderId="10" xfId="0" applyNumberFormat="1" applyFont="1" applyBorder="1"/>
    <xf numFmtId="37" fontId="0" fillId="0" borderId="0" xfId="0" applyAlignment="1">
      <alignment horizontal="center"/>
    </xf>
    <xf numFmtId="0" fontId="25" fillId="0" borderId="0" xfId="0" applyNumberFormat="1" applyFont="1" applyFill="1" applyBorder="1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46" fillId="0" borderId="0" xfId="0" applyFont="1"/>
    <xf numFmtId="37" fontId="0" fillId="0" borderId="0" xfId="0" applyAlignment="1">
      <alignment horizontal="center"/>
    </xf>
    <xf numFmtId="37" fontId="46" fillId="0" borderId="0" xfId="0" applyFont="1" applyFill="1" applyBorder="1" applyAlignment="1">
      <alignment horizontal="centerContinuous"/>
    </xf>
    <xf numFmtId="37" fontId="61" fillId="0" borderId="0" xfId="0" applyFont="1"/>
    <xf numFmtId="37" fontId="46" fillId="0" borderId="0" xfId="0" applyFont="1" applyBorder="1"/>
    <xf numFmtId="37" fontId="0" fillId="5" borderId="0" xfId="5" applyFont="1" applyFill="1" applyProtection="1"/>
    <xf numFmtId="37" fontId="46" fillId="0" borderId="0" xfId="0" applyNumberFormat="1" applyFont="1" applyProtection="1"/>
    <xf numFmtId="190" fontId="3" fillId="0" borderId="0" xfId="0" applyNumberFormat="1" applyFont="1"/>
    <xf numFmtId="37" fontId="0" fillId="0" borderId="0" xfId="0" applyFont="1" applyFill="1" applyBorder="1"/>
    <xf numFmtId="37" fontId="3" fillId="0" borderId="0" xfId="0" applyFont="1" applyAlignment="1" applyProtection="1">
      <alignment horizontal="center"/>
    </xf>
    <xf numFmtId="37" fontId="0" fillId="0" borderId="32" xfId="0" applyBorder="1"/>
    <xf numFmtId="37" fontId="3" fillId="0" borderId="32" xfId="0" applyFont="1" applyBorder="1" applyAlignment="1">
      <alignment horizontal="center"/>
    </xf>
    <xf numFmtId="37" fontId="3" fillId="0" borderId="32" xfId="0" applyFont="1" applyBorder="1"/>
    <xf numFmtId="37" fontId="0" fillId="0" borderId="0" xfId="0" applyFill="1" applyBorder="1"/>
    <xf numFmtId="37" fontId="12" fillId="0" borderId="0" xfId="0" applyFont="1" applyFill="1" applyAlignment="1" applyProtection="1">
      <alignment horizontal="left" indent="1"/>
    </xf>
    <xf numFmtId="37" fontId="61" fillId="0" borderId="0" xfId="0" applyNumberFormat="1" applyFont="1" applyFill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3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3" fillId="0" borderId="32" xfId="0" applyFont="1" applyBorder="1" applyAlignment="1" applyProtection="1">
      <alignment horizontal="center"/>
    </xf>
    <xf numFmtId="37" fontId="3" fillId="0" borderId="32" xfId="0" applyFont="1" applyFill="1" applyBorder="1"/>
    <xf numFmtId="10" fontId="63" fillId="0" borderId="0" xfId="13" applyNumberFormat="1" applyFont="1" applyAlignment="1" applyProtection="1">
      <alignment horizontal="center"/>
    </xf>
    <xf numFmtId="37" fontId="63" fillId="0" borderId="0" xfId="0" applyFont="1"/>
    <xf numFmtId="37" fontId="3" fillId="0" borderId="19" xfId="0" applyFont="1" applyBorder="1"/>
    <xf numFmtId="10" fontId="63" fillId="0" borderId="0" xfId="13" applyNumberFormat="1" applyFont="1" applyFill="1" applyAlignment="1" applyProtection="1">
      <alignment horizontal="center"/>
    </xf>
    <xf numFmtId="37" fontId="63" fillId="0" borderId="0" xfId="0" applyFont="1" applyFill="1"/>
    <xf numFmtId="37" fontId="14" fillId="0" borderId="32" xfId="0" applyFont="1" applyBorder="1"/>
    <xf numFmtId="37" fontId="14" fillId="0" borderId="6" xfId="0" applyFont="1" applyBorder="1"/>
    <xf numFmtId="37" fontId="14" fillId="0" borderId="0" xfId="0" applyFont="1" applyFill="1" applyBorder="1"/>
    <xf numFmtId="37" fontId="14" fillId="0" borderId="10" xfId="0" applyFont="1" applyBorder="1"/>
    <xf numFmtId="37" fontId="65" fillId="0" borderId="0" xfId="0" applyFont="1"/>
    <xf numFmtId="10" fontId="3" fillId="0" borderId="0" xfId="13" applyNumberFormat="1" applyFont="1" applyFill="1"/>
    <xf numFmtId="37" fontId="14" fillId="0" borderId="7" xfId="0" applyFont="1" applyBorder="1"/>
    <xf numFmtId="37" fontId="3" fillId="0" borderId="7" xfId="0" applyFont="1" applyFill="1" applyBorder="1"/>
    <xf numFmtId="37" fontId="14" fillId="0" borderId="0" xfId="0" applyFont="1" applyBorder="1" applyAlignment="1">
      <alignment horizontal="left"/>
    </xf>
    <xf numFmtId="37" fontId="63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7" fontId="43" fillId="0" borderId="0" xfId="0" applyFont="1" applyFill="1" applyAlignment="1">
      <alignment horizontal="center"/>
    </xf>
    <xf numFmtId="37" fontId="25" fillId="0" borderId="0" xfId="0" applyFont="1" applyFill="1" applyBorder="1" applyAlignment="1">
      <alignment horizontal="left"/>
    </xf>
    <xf numFmtId="37" fontId="56" fillId="0" borderId="0" xfId="0" applyFont="1" applyFill="1"/>
    <xf numFmtId="37" fontId="8" fillId="0" borderId="0" xfId="0" applyFont="1" applyFill="1" applyAlignment="1" applyProtection="1">
      <alignment horizontal="left"/>
      <protection locked="0"/>
    </xf>
    <xf numFmtId="37" fontId="8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0" applyFill="1" applyAlignment="1">
      <alignment horizontal="center"/>
    </xf>
    <xf numFmtId="37" fontId="52" fillId="0" borderId="0" xfId="0" applyNumberFormat="1" applyFont="1" applyBorder="1" applyProtection="1"/>
    <xf numFmtId="37" fontId="67" fillId="0" borderId="0" xfId="0" applyFont="1" applyAlignment="1" applyProtection="1">
      <alignment horizontal="left" wrapText="1"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Fill="1" applyBorder="1" applyAlignment="1"/>
    <xf numFmtId="182" fontId="12" fillId="0" borderId="7" xfId="0" applyNumberFormat="1" applyFont="1" applyFill="1" applyBorder="1" applyProtection="1"/>
    <xf numFmtId="186" fontId="0" fillId="0" borderId="0" xfId="0" quotePrefix="1" applyNumberFormat="1"/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0" xfId="0" applyFont="1" applyFill="1" applyAlignment="1">
      <alignment horizontal="center"/>
    </xf>
    <xf numFmtId="37" fontId="44" fillId="0" borderId="0" xfId="0" applyFont="1" applyFill="1" applyAlignment="1">
      <alignment horizontal="left"/>
    </xf>
    <xf numFmtId="37" fontId="8" fillId="0" borderId="23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7" xfId="0" applyFont="1" applyFill="1" applyBorder="1" applyAlignment="1" applyProtection="1">
      <alignment horizontal="center"/>
      <protection locked="0"/>
    </xf>
    <xf numFmtId="37" fontId="8" fillId="0" borderId="21" xfId="0" applyFont="1" applyFill="1" applyBorder="1" applyAlignment="1">
      <alignment horizontal="center"/>
    </xf>
    <xf numFmtId="37" fontId="8" fillId="0" borderId="5" xfId="0" applyFont="1" applyFill="1" applyBorder="1" applyAlignment="1">
      <alignment horizontal="center"/>
    </xf>
    <xf numFmtId="37" fontId="8" fillId="0" borderId="5" xfId="0" applyFont="1" applyFill="1" applyBorder="1" applyAlignment="1" applyProtection="1">
      <alignment horizontal="center"/>
      <protection locked="0"/>
    </xf>
    <xf numFmtId="37" fontId="8" fillId="0" borderId="22" xfId="0" applyFont="1" applyFill="1" applyBorder="1" applyAlignment="1">
      <alignment horizontal="center"/>
    </xf>
    <xf numFmtId="37" fontId="21" fillId="0" borderId="0" xfId="0" applyFont="1" applyFill="1" applyAlignment="1">
      <alignment horizontal="center"/>
    </xf>
    <xf numFmtId="37" fontId="21" fillId="0" borderId="0" xfId="0" quotePrefix="1" applyFont="1" applyFill="1"/>
    <xf numFmtId="37" fontId="5" fillId="0" borderId="0" xfId="0" applyFont="1" applyFill="1" applyAlignment="1">
      <alignment horizontal="centerContinuous"/>
    </xf>
    <xf numFmtId="37" fontId="55" fillId="0" borderId="0" xfId="0" applyFont="1" applyFill="1"/>
    <xf numFmtId="37" fontId="43" fillId="0" borderId="0" xfId="0" applyFont="1" applyFill="1" applyAlignment="1">
      <alignment horizontal="left"/>
    </xf>
    <xf numFmtId="37" fontId="8" fillId="0" borderId="2" xfId="0" applyFont="1" applyFill="1" applyBorder="1" applyAlignment="1" applyProtection="1">
      <alignment horizontal="left"/>
    </xf>
    <xf numFmtId="37" fontId="8" fillId="0" borderId="24" xfId="0" applyFont="1" applyFill="1" applyBorder="1" applyAlignment="1" applyProtection="1">
      <alignment horizontal="center"/>
      <protection locked="0"/>
    </xf>
    <xf numFmtId="0" fontId="27" fillId="0" borderId="0" xfId="6" applyFont="1" applyFill="1"/>
    <xf numFmtId="43" fontId="37" fillId="0" borderId="0" xfId="1" applyFont="1" applyFill="1"/>
    <xf numFmtId="37" fontId="37" fillId="0" borderId="0" xfId="0" applyFont="1" applyFill="1" applyAlignment="1">
      <alignment horizontal="center"/>
    </xf>
    <xf numFmtId="185" fontId="37" fillId="0" borderId="0" xfId="1" applyNumberFormat="1" applyFont="1" applyFill="1"/>
    <xf numFmtId="10" fontId="37" fillId="0" borderId="0" xfId="13" applyNumberFormat="1" applyFont="1" applyFill="1"/>
    <xf numFmtId="37" fontId="8" fillId="0" borderId="0" xfId="0" applyFont="1" applyFill="1" applyBorder="1" applyAlignment="1">
      <alignment horizontal="center"/>
    </xf>
    <xf numFmtId="5" fontId="28" fillId="0" borderId="0" xfId="1" applyNumberFormat="1" applyFont="1" applyFill="1" applyBorder="1"/>
    <xf numFmtId="183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quotePrefix="1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3" fillId="0" borderId="0" xfId="0" applyNumberFormat="1" applyFont="1" applyFill="1"/>
    <xf numFmtId="39" fontId="43" fillId="0" borderId="0" xfId="0" applyNumberFormat="1" applyFont="1" applyFill="1"/>
    <xf numFmtId="37" fontId="3" fillId="0" borderId="23" xfId="0" applyFont="1" applyFill="1" applyBorder="1" applyAlignment="1">
      <alignment horizontal="center"/>
    </xf>
    <xf numFmtId="37" fontId="3" fillId="0" borderId="7" xfId="0" applyFont="1" applyFill="1" applyBorder="1" applyAlignment="1">
      <alignment horizontal="center"/>
    </xf>
    <xf numFmtId="37" fontId="3" fillId="0" borderId="7" xfId="0" applyFont="1" applyFill="1" applyBorder="1" applyAlignment="1" applyProtection="1">
      <alignment horizontal="center"/>
      <protection locked="0"/>
    </xf>
    <xf numFmtId="37" fontId="0" fillId="0" borderId="7" xfId="0" applyFill="1" applyBorder="1" applyAlignment="1">
      <alignment horizontal="center"/>
    </xf>
    <xf numFmtId="37" fontId="3" fillId="0" borderId="26" xfId="0" applyFont="1" applyFill="1" applyBorder="1" applyAlignment="1">
      <alignment horizontal="center"/>
    </xf>
    <xf numFmtId="37" fontId="3" fillId="0" borderId="21" xfId="0" applyFont="1" applyFill="1" applyBorder="1" applyAlignment="1">
      <alignment horizontal="center"/>
    </xf>
    <xf numFmtId="37" fontId="3" fillId="0" borderId="5" xfId="0" applyFont="1" applyFill="1" applyBorder="1" applyAlignment="1" applyProtection="1">
      <alignment horizontal="center"/>
      <protection locked="0"/>
    </xf>
    <xf numFmtId="37" fontId="3" fillId="0" borderId="22" xfId="0" applyFont="1" applyFill="1" applyBorder="1" applyAlignment="1">
      <alignment horizontal="center"/>
    </xf>
    <xf numFmtId="37" fontId="47" fillId="0" borderId="0" xfId="0" applyFont="1" applyFill="1"/>
    <xf numFmtId="180" fontId="0" fillId="0" borderId="0" xfId="0" applyNumberFormat="1" applyFill="1"/>
    <xf numFmtId="183" fontId="3" fillId="0" borderId="0" xfId="0" applyNumberFormat="1" applyFont="1" applyFill="1" applyAlignment="1" applyProtection="1">
      <alignment horizontal="left"/>
      <protection locked="0"/>
    </xf>
    <xf numFmtId="5" fontId="3" fillId="0" borderId="10" xfId="0" applyNumberFormat="1" applyFont="1" applyFill="1" applyBorder="1"/>
    <xf numFmtId="5" fontId="3" fillId="0" borderId="0" xfId="0" applyNumberFormat="1" applyFont="1" applyFill="1" applyBorder="1"/>
    <xf numFmtId="37" fontId="0" fillId="0" borderId="0" xfId="0" applyFill="1" applyAlignment="1">
      <alignment horizontal="right"/>
    </xf>
    <xf numFmtId="37" fontId="44" fillId="0" borderId="0" xfId="0" applyFont="1" applyFill="1"/>
    <xf numFmtId="37" fontId="3" fillId="0" borderId="7" xfId="0" applyFont="1" applyFill="1" applyBorder="1" applyAlignment="1" applyProtection="1">
      <alignment horizontal="left"/>
      <protection locked="0"/>
    </xf>
    <xf numFmtId="37" fontId="3" fillId="0" borderId="24" xfId="0" applyFont="1" applyFill="1" applyBorder="1" applyAlignment="1" applyProtection="1">
      <alignment horizontal="center"/>
      <protection locked="0"/>
    </xf>
    <xf numFmtId="37" fontId="3" fillId="0" borderId="5" xfId="0" applyFont="1" applyFill="1" applyBorder="1" applyAlignment="1" applyProtection="1">
      <alignment horizontal="left"/>
      <protection locked="0"/>
    </xf>
    <xf numFmtId="10" fontId="3" fillId="0" borderId="5" xfId="13" applyNumberFormat="1" applyFont="1" applyFill="1" applyBorder="1"/>
    <xf numFmtId="170" fontId="3" fillId="0" borderId="0" xfId="13" applyNumberFormat="1" applyFont="1" applyFill="1"/>
    <xf numFmtId="174" fontId="3" fillId="0" borderId="0" xfId="13" applyNumberFormat="1" applyFont="1" applyFill="1"/>
    <xf numFmtId="0" fontId="3" fillId="0" borderId="0" xfId="0" quotePrefix="1" applyNumberFormat="1" applyFont="1" applyFill="1" applyAlignment="1">
      <alignment horizontal="center"/>
    </xf>
    <xf numFmtId="10" fontId="3" fillId="0" borderId="0" xfId="13" applyNumberFormat="1" applyFont="1" applyFill="1" applyBorder="1"/>
    <xf numFmtId="182" fontId="8" fillId="0" borderId="0" xfId="2" applyNumberFormat="1" applyFont="1" applyFill="1"/>
    <xf numFmtId="9" fontId="8" fillId="0" borderId="0" xfId="13" applyFont="1" applyFill="1"/>
    <xf numFmtId="170" fontId="8" fillId="0" borderId="0" xfId="13" applyNumberFormat="1" applyFont="1" applyFill="1"/>
    <xf numFmtId="37" fontId="3" fillId="0" borderId="0" xfId="0" applyFont="1" applyFill="1" applyAlignment="1" applyProtection="1">
      <alignment horizontal="left"/>
      <protection locked="0"/>
    </xf>
    <xf numFmtId="37" fontId="3" fillId="0" borderId="2" xfId="0" applyFont="1" applyFill="1" applyBorder="1" applyAlignment="1" applyProtection="1">
      <protection locked="0"/>
    </xf>
    <xf numFmtId="9" fontId="3" fillId="0" borderId="0" xfId="13" applyFont="1" applyFill="1"/>
    <xf numFmtId="9" fontId="43" fillId="0" borderId="0" xfId="13" applyFont="1" applyFill="1"/>
    <xf numFmtId="170" fontId="43" fillId="0" borderId="0" xfId="13" applyNumberFormat="1" applyFont="1" applyFill="1"/>
    <xf numFmtId="185" fontId="3" fillId="0" borderId="19" xfId="1" applyNumberFormat="1" applyFont="1" applyFill="1" applyBorder="1"/>
    <xf numFmtId="40" fontId="32" fillId="0" borderId="0" xfId="8" applyFont="1" applyFill="1" applyBorder="1" applyAlignment="1">
      <alignment horizontal="left"/>
    </xf>
    <xf numFmtId="37" fontId="4" fillId="0" borderId="0" xfId="0" applyFont="1" applyFill="1"/>
    <xf numFmtId="37" fontId="0" fillId="0" borderId="0" xfId="0" applyFont="1" applyFill="1" applyAlignment="1" applyProtection="1">
      <alignment horizontal="right"/>
    </xf>
    <xf numFmtId="37" fontId="0" fillId="0" borderId="5" xfId="0" applyFill="1" applyBorder="1"/>
    <xf numFmtId="37" fontId="0" fillId="0" borderId="0" xfId="0" applyFill="1" applyAlignment="1" applyProtection="1">
      <alignment horizontal="right"/>
    </xf>
    <xf numFmtId="37" fontId="0" fillId="0" borderId="3" xfId="0" applyFont="1" applyFill="1" applyBorder="1"/>
    <xf numFmtId="37" fontId="0" fillId="0" borderId="29" xfId="0" applyFont="1" applyFill="1" applyBorder="1"/>
    <xf numFmtId="37" fontId="4" fillId="0" borderId="19" xfId="0" applyFont="1" applyFill="1" applyBorder="1" applyAlignment="1" applyProtection="1">
      <alignment horizontal="center"/>
    </xf>
    <xf numFmtId="37" fontId="0" fillId="0" borderId="24" xfId="0" applyFont="1" applyFill="1" applyBorder="1"/>
    <xf numFmtId="37" fontId="0" fillId="0" borderId="5" xfId="0" applyFill="1" applyBorder="1" applyAlignment="1">
      <alignment horizontal="center"/>
    </xf>
    <xf numFmtId="37" fontId="0" fillId="0" borderId="2" xfId="0" applyFont="1" applyFill="1" applyBorder="1"/>
    <xf numFmtId="37" fontId="14" fillId="0" borderId="0" xfId="0" applyFont="1" applyFill="1" applyBorder="1" applyAlignment="1" applyProtection="1">
      <alignment horizontal="left"/>
    </xf>
    <xf numFmtId="37" fontId="23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left" indent="1"/>
    </xf>
    <xf numFmtId="37" fontId="62" fillId="0" borderId="0" xfId="0" applyFont="1" applyFill="1"/>
    <xf numFmtId="9" fontId="0" fillId="0" borderId="0" xfId="13" applyFont="1" applyFill="1" applyBorder="1" applyAlignment="1" applyProtection="1">
      <alignment horizontal="center"/>
    </xf>
    <xf numFmtId="185" fontId="6" fillId="0" borderId="0" xfId="1" applyNumberFormat="1" applyFont="1" applyFill="1" applyBorder="1" applyProtection="1"/>
    <xf numFmtId="37" fontId="6" fillId="0" borderId="0" xfId="0" applyFont="1" applyFill="1" applyBorder="1" applyAlignment="1" applyProtection="1">
      <alignment horizontal="center"/>
    </xf>
    <xf numFmtId="37" fontId="6" fillId="0" borderId="0" xfId="0" applyFont="1" applyFill="1" applyBorder="1" applyProtection="1"/>
    <xf numFmtId="37" fontId="6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37" fontId="14" fillId="0" borderId="0" xfId="0" applyFont="1" applyFill="1"/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5" fillId="0" borderId="0" xfId="0" applyFont="1" applyFill="1" applyAlignment="1" applyProtection="1">
      <alignment horizontal="center"/>
      <protection locked="0"/>
    </xf>
    <xf numFmtId="37" fontId="0" fillId="0" borderId="2" xfId="0" applyFont="1" applyFill="1" applyBorder="1" applyAlignment="1" applyProtection="1">
      <alignment horizontal="left"/>
      <protection locked="0"/>
    </xf>
    <xf numFmtId="37" fontId="5" fillId="0" borderId="0" xfId="0" applyFont="1" applyFill="1" applyAlignment="1" applyProtection="1">
      <alignment horizontal="left"/>
      <protection locked="0"/>
    </xf>
    <xf numFmtId="169" fontId="0" fillId="0" borderId="0" xfId="0" applyNumberFormat="1" applyFont="1" applyFill="1" applyProtection="1"/>
    <xf numFmtId="37" fontId="0" fillId="0" borderId="0" xfId="0" applyFont="1" applyFill="1" applyAlignment="1">
      <alignment horizontal="right"/>
    </xf>
    <xf numFmtId="37" fontId="0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right"/>
    </xf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37" fontId="35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5" xfId="0" applyFont="1" applyFill="1" applyBorder="1"/>
    <xf numFmtId="37" fontId="0" fillId="0" borderId="5" xfId="0" applyFont="1" applyFill="1" applyBorder="1" applyAlignment="1">
      <alignment horizontal="right"/>
    </xf>
    <xf numFmtId="37" fontId="0" fillId="0" borderId="2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180" fontId="0" fillId="0" borderId="2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left"/>
    </xf>
    <xf numFmtId="37" fontId="12" fillId="0" borderId="5" xfId="0" applyFont="1" applyFill="1" applyBorder="1"/>
    <xf numFmtId="37" fontId="12" fillId="0" borderId="5" xfId="0" applyFont="1" applyFill="1" applyBorder="1" applyAlignment="1" applyProtection="1">
      <alignment horizontal="center"/>
    </xf>
    <xf numFmtId="37" fontId="13" fillId="0" borderId="5" xfId="0" applyFont="1" applyFill="1" applyBorder="1"/>
    <xf numFmtId="37" fontId="12" fillId="0" borderId="2" xfId="0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/>
    <xf numFmtId="14" fontId="12" fillId="0" borderId="5" xfId="0" applyNumberFormat="1" applyFont="1" applyFill="1" applyBorder="1" applyAlignment="1">
      <alignment horizontal="center"/>
    </xf>
    <xf numFmtId="189" fontId="12" fillId="0" borderId="5" xfId="0" applyNumberFormat="1" applyFont="1" applyFill="1" applyBorder="1"/>
    <xf numFmtId="49" fontId="12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right"/>
    </xf>
    <xf numFmtId="37" fontId="46" fillId="0" borderId="0" xfId="0" applyNumberFormat="1" applyFont="1" applyFill="1" applyProtection="1"/>
    <xf numFmtId="10" fontId="14" fillId="0" borderId="6" xfId="13" applyNumberFormat="1" applyFont="1" applyFill="1" applyBorder="1"/>
    <xf numFmtId="37" fontId="0" fillId="0" borderId="2" xfId="0" applyFont="1" applyFill="1" applyBorder="1" applyAlignment="1" applyProtection="1">
      <alignment horizontal="right"/>
    </xf>
    <xf numFmtId="37" fontId="0" fillId="0" borderId="0" xfId="0" applyFont="1" applyFill="1" applyBorder="1" applyAlignment="1" applyProtection="1">
      <alignment horizontal="right"/>
    </xf>
    <xf numFmtId="10" fontId="68" fillId="0" borderId="0" xfId="13" applyNumberFormat="1" applyFont="1" applyFill="1"/>
    <xf numFmtId="5" fontId="0" fillId="0" borderId="0" xfId="0" applyNumberFormat="1" applyFont="1" applyFill="1" applyProtection="1"/>
    <xf numFmtId="7" fontId="0" fillId="0" borderId="10" xfId="0" applyNumberFormat="1" applyFont="1" applyFill="1" applyBorder="1" applyProtection="1"/>
    <xf numFmtId="37" fontId="0" fillId="0" borderId="10" xfId="0" applyFont="1" applyFill="1" applyBorder="1"/>
    <xf numFmtId="37" fontId="5" fillId="0" borderId="0" xfId="0" applyFont="1" applyFill="1"/>
    <xf numFmtId="49" fontId="4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4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37" fontId="0" fillId="0" borderId="14" xfId="0" applyFont="1" applyFill="1" applyBorder="1"/>
    <xf numFmtId="37" fontId="0" fillId="0" borderId="15" xfId="0" applyFont="1" applyFill="1" applyBorder="1" applyAlignment="1" applyProtection="1">
      <alignment horizontal="center"/>
    </xf>
    <xf numFmtId="37" fontId="0" fillId="0" borderId="16" xfId="0" applyFont="1" applyFill="1" applyBorder="1" applyAlignment="1" applyProtection="1">
      <alignment horizontal="center"/>
    </xf>
    <xf numFmtId="37" fontId="0" fillId="0" borderId="17" xfId="0" applyFont="1" applyFill="1" applyBorder="1"/>
    <xf numFmtId="37" fontId="0" fillId="0" borderId="17" xfId="0" applyFont="1" applyFill="1" applyBorder="1" applyAlignment="1" applyProtection="1">
      <alignment horizontal="center"/>
    </xf>
    <xf numFmtId="37" fontId="0" fillId="0" borderId="18" xfId="0" applyFont="1" applyFill="1" applyBorder="1" applyAlignment="1" applyProtection="1">
      <alignment horizontal="center"/>
    </xf>
    <xf numFmtId="10" fontId="0" fillId="0" borderId="0" xfId="13" applyNumberFormat="1" applyFont="1" applyFill="1" applyProtection="1"/>
    <xf numFmtId="10" fontId="0" fillId="0" borderId="5" xfId="0" applyNumberFormat="1" applyFont="1" applyFill="1" applyBorder="1" applyProtection="1"/>
    <xf numFmtId="10" fontId="0" fillId="0" borderId="5" xfId="13" applyNumberFormat="1" applyFont="1" applyFill="1" applyBorder="1" applyProtection="1"/>
    <xf numFmtId="10" fontId="0" fillId="0" borderId="0" xfId="0" applyNumberFormat="1" applyFont="1" applyFill="1"/>
    <xf numFmtId="10" fontId="0" fillId="0" borderId="2" xfId="0" applyNumberFormat="1" applyFont="1" applyFill="1" applyBorder="1" applyProtection="1"/>
    <xf numFmtId="10" fontId="0" fillId="0" borderId="2" xfId="13" applyNumberFormat="1" applyFont="1" applyFill="1" applyBorder="1" applyProtection="1"/>
    <xf numFmtId="37" fontId="0" fillId="0" borderId="6" xfId="0" applyNumberFormat="1" applyFont="1" applyFill="1" applyBorder="1" applyProtection="1"/>
    <xf numFmtId="170" fontId="0" fillId="0" borderId="0" xfId="13" applyNumberFormat="1" applyFont="1" applyFill="1" applyProtection="1"/>
    <xf numFmtId="10" fontId="12" fillId="0" borderId="0" xfId="0" applyNumberFormat="1" applyFont="1" applyFill="1" applyProtection="1"/>
    <xf numFmtId="9" fontId="0" fillId="0" borderId="0" xfId="0" applyNumberFormat="1" applyFont="1" applyFill="1"/>
    <xf numFmtId="182" fontId="0" fillId="0" borderId="10" xfId="2" applyNumberFormat="1" applyFont="1" applyFill="1" applyBorder="1"/>
    <xf numFmtId="10" fontId="0" fillId="0" borderId="6" xfId="13" applyNumberFormat="1" applyFont="1" applyFill="1" applyBorder="1"/>
    <xf numFmtId="37" fontId="49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Fill="1" applyProtection="1"/>
    <xf numFmtId="37" fontId="3" fillId="0" borderId="5" xfId="0" applyFont="1" applyFill="1" applyBorder="1" applyAlignment="1" applyProtection="1">
      <alignment horizontal="right"/>
    </xf>
    <xf numFmtId="37" fontId="0" fillId="0" borderId="7" xfId="0" applyNumberFormat="1" applyFont="1" applyFill="1" applyBorder="1" applyProtection="1"/>
    <xf numFmtId="37" fontId="0" fillId="0" borderId="2" xfId="0" applyFont="1" applyFill="1" applyBorder="1" applyProtection="1"/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5" fontId="0" fillId="0" borderId="0" xfId="0" applyNumberFormat="1" applyFont="1" applyFill="1" applyProtection="1"/>
    <xf numFmtId="37" fontId="3" fillId="0" borderId="0" xfId="0" applyFont="1" applyFill="1" applyAlignment="1">
      <alignment horizontal="left" indent="1"/>
    </xf>
    <xf numFmtId="165" fontId="3" fillId="0" borderId="2" xfId="0" applyNumberFormat="1" applyFont="1" applyFill="1" applyBorder="1" applyProtection="1"/>
    <xf numFmtId="37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Protection="1"/>
    <xf numFmtId="37" fontId="0" fillId="0" borderId="0" xfId="0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37" fontId="3" fillId="0" borderId="23" xfId="0" applyFont="1" applyFill="1" applyBorder="1" applyAlignment="1" applyProtection="1">
      <alignment horizontal="left"/>
    </xf>
    <xf numFmtId="37" fontId="3" fillId="0" borderId="7" xfId="0" applyFont="1" applyFill="1" applyBorder="1" applyAlignment="1" applyProtection="1">
      <alignment horizontal="center"/>
    </xf>
    <xf numFmtId="37" fontId="3" fillId="0" borderId="9" xfId="0" applyFont="1" applyFill="1" applyBorder="1" applyAlignment="1" applyProtection="1">
      <alignment horizontal="left"/>
    </xf>
    <xf numFmtId="37" fontId="0" fillId="0" borderId="9" xfId="0" applyFill="1" applyBorder="1"/>
    <xf numFmtId="37" fontId="3" fillId="0" borderId="8" xfId="0" applyFont="1" applyFill="1" applyBorder="1" applyAlignment="1" applyProtection="1">
      <alignment horizontal="left"/>
    </xf>
    <xf numFmtId="37" fontId="3" fillId="0" borderId="1" xfId="0" applyFont="1" applyFill="1" applyBorder="1" applyAlignment="1" applyProtection="1">
      <alignment horizontal="left"/>
    </xf>
    <xf numFmtId="37" fontId="3" fillId="0" borderId="8" xfId="0" applyFont="1" applyFill="1" applyBorder="1"/>
    <xf numFmtId="37" fontId="14" fillId="0" borderId="8" xfId="0" applyFont="1" applyFill="1" applyBorder="1" applyAlignment="1" applyProtection="1">
      <alignment horizontal="center"/>
    </xf>
    <xf numFmtId="37" fontId="3" fillId="0" borderId="21" xfId="0" applyFont="1" applyFill="1" applyBorder="1" applyAlignment="1" applyProtection="1">
      <alignment horizontal="center"/>
    </xf>
    <xf numFmtId="37" fontId="3" fillId="0" borderId="25" xfId="0" applyFont="1" applyFill="1" applyBorder="1" applyAlignment="1" applyProtection="1">
      <alignment horizontal="center"/>
    </xf>
    <xf numFmtId="0" fontId="0" fillId="0" borderId="0" xfId="0" applyNumberFormat="1" applyFill="1"/>
    <xf numFmtId="44" fontId="3" fillId="0" borderId="0" xfId="2" applyFont="1" applyFill="1"/>
    <xf numFmtId="43" fontId="3" fillId="0" borderId="0" xfId="1" applyFont="1" applyFill="1" applyAlignment="1" applyProtection="1">
      <alignment horizontal="left"/>
    </xf>
    <xf numFmtId="182" fontId="3" fillId="0" borderId="0" xfId="13" applyNumberFormat="1" applyFont="1" applyFill="1" applyAlignment="1">
      <alignment horizontal="center"/>
    </xf>
    <xf numFmtId="185" fontId="3" fillId="0" borderId="5" xfId="1" applyNumberFormat="1" applyFont="1" applyFill="1" applyBorder="1"/>
    <xf numFmtId="43" fontId="14" fillId="0" borderId="0" xfId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/>
    </xf>
    <xf numFmtId="185" fontId="0" fillId="0" borderId="5" xfId="1" applyNumberFormat="1" applyFont="1" applyFill="1" applyBorder="1"/>
    <xf numFmtId="0" fontId="8" fillId="0" borderId="0" xfId="1" applyNumberFormat="1" applyFont="1" applyFill="1" applyAlignment="1" applyProtection="1">
      <alignment horizontal="right"/>
    </xf>
    <xf numFmtId="43" fontId="8" fillId="0" borderId="0" xfId="1" applyFont="1" applyFill="1" applyAlignment="1" applyProtection="1">
      <alignment horizontal="left"/>
    </xf>
    <xf numFmtId="37" fontId="0" fillId="0" borderId="6" xfId="0" applyFill="1" applyBorder="1"/>
    <xf numFmtId="37" fontId="3" fillId="0" borderId="9" xfId="0" applyFont="1" applyFill="1" applyBorder="1"/>
    <xf numFmtId="37" fontId="3" fillId="0" borderId="1" xfId="0" applyFont="1" applyFill="1" applyBorder="1"/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37" fontId="0" fillId="0" borderId="0" xfId="0" applyFill="1" applyAlignment="1">
      <alignment horizontal="left"/>
    </xf>
    <xf numFmtId="37" fontId="14" fillId="0" borderId="8" xfId="0" applyFont="1" applyFill="1" applyBorder="1" applyAlignment="1">
      <alignment horizontal="center"/>
    </xf>
    <xf numFmtId="37" fontId="14" fillId="0" borderId="21" xfId="0" applyFont="1" applyFill="1" applyBorder="1" applyAlignment="1" applyProtection="1">
      <alignment horizontal="center"/>
    </xf>
    <xf numFmtId="185" fontId="3" fillId="0" borderId="7" xfId="1" applyNumberFormat="1" applyFont="1" applyFill="1" applyBorder="1"/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>
      <alignment horizontal="center"/>
    </xf>
    <xf numFmtId="187" fontId="3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37" fontId="3" fillId="0" borderId="2" xfId="0" applyFont="1" applyFill="1" applyBorder="1" applyAlignment="1">
      <alignment horizontal="center"/>
    </xf>
    <xf numFmtId="14" fontId="3" fillId="0" borderId="5" xfId="0" applyNumberFormat="1" applyFont="1" applyFill="1" applyBorder="1" applyAlignment="1" applyProtection="1">
      <alignment horizontal="center"/>
    </xf>
    <xf numFmtId="10" fontId="0" fillId="0" borderId="0" xfId="13" quotePrefix="1" applyNumberFormat="1" applyFont="1" applyFill="1" applyAlignment="1">
      <alignment horizontal="center"/>
    </xf>
    <xf numFmtId="182" fontId="3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7" fontId="12" fillId="0" borderId="0" xfId="0" applyFont="1" applyFill="1" applyAlignment="1" applyProtection="1">
      <alignment horizontal="left" indent="2"/>
    </xf>
    <xf numFmtId="182" fontId="0" fillId="0" borderId="0" xfId="2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0" fontId="3" fillId="0" borderId="0" xfId="0" quotePrefix="1" applyNumberFormat="1" applyFont="1" applyFill="1" applyAlignment="1" applyProtection="1">
      <alignment horizontal="center"/>
    </xf>
    <xf numFmtId="190" fontId="3" fillId="0" borderId="0" xfId="0" applyNumberFormat="1" applyFont="1" applyFill="1"/>
    <xf numFmtId="10" fontId="3" fillId="0" borderId="0" xfId="0" applyNumberFormat="1" applyFont="1" applyFill="1"/>
    <xf numFmtId="167" fontId="12" fillId="0" borderId="0" xfId="0" applyNumberFormat="1" applyFont="1" applyAlignment="1" applyProtection="1">
      <alignment horizontal="centerContinuous"/>
    </xf>
    <xf numFmtId="168" fontId="12" fillId="0" borderId="0" xfId="0" applyNumberFormat="1" applyFont="1" applyAlignment="1" applyProtection="1">
      <alignment horizontal="centerContinuous"/>
    </xf>
    <xf numFmtId="37" fontId="12" fillId="0" borderId="0" xfId="0" applyFont="1" applyBorder="1" applyAlignment="1">
      <alignment horizontal="right"/>
    </xf>
    <xf numFmtId="37" fontId="12" fillId="0" borderId="2" xfId="0" applyFont="1" applyFill="1" applyBorder="1" applyAlignment="1">
      <alignment horizontal="right"/>
    </xf>
    <xf numFmtId="37" fontId="12" fillId="0" borderId="3" xfId="0" applyFont="1" applyBorder="1" applyAlignment="1" applyProtection="1">
      <alignment horizontal="center"/>
    </xf>
    <xf numFmtId="37" fontId="12" fillId="0" borderId="3" xfId="0" applyFont="1" applyBorder="1"/>
    <xf numFmtId="37" fontId="12" fillId="0" borderId="3" xfId="0" applyFont="1" applyBorder="1" applyProtection="1">
      <protection locked="0"/>
    </xf>
    <xf numFmtId="37" fontId="12" fillId="0" borderId="3" xfId="0" applyFont="1" applyFill="1" applyBorder="1" applyAlignment="1" applyProtection="1">
      <alignment horizontal="center"/>
    </xf>
    <xf numFmtId="37" fontId="12" fillId="0" borderId="3" xfId="0" applyFont="1" applyFill="1" applyBorder="1" applyProtection="1">
      <protection locked="0"/>
    </xf>
    <xf numFmtId="37" fontId="12" fillId="0" borderId="2" xfId="0" applyFont="1" applyBorder="1" applyAlignment="1" applyProtection="1">
      <alignment horizontal="center"/>
    </xf>
    <xf numFmtId="37" fontId="12" fillId="0" borderId="3" xfId="0" applyFont="1" applyFill="1" applyBorder="1"/>
    <xf numFmtId="0" fontId="12" fillId="0" borderId="0" xfId="0" applyNumberFormat="1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0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172" fontId="12" fillId="0" borderId="0" xfId="0" applyNumberFormat="1" applyFont="1" applyFill="1" applyProtection="1"/>
    <xf numFmtId="172" fontId="12" fillId="0" borderId="0" xfId="0" applyNumberFormat="1" applyFont="1" applyFill="1" applyProtection="1">
      <protection locked="0"/>
    </xf>
    <xf numFmtId="37" fontId="12" fillId="0" borderId="2" xfId="0" applyNumberFormat="1" applyFont="1" applyFill="1" applyBorder="1" applyProtection="1">
      <protection locked="0"/>
    </xf>
    <xf numFmtId="37" fontId="15" fillId="0" borderId="0" xfId="0" applyNumberFormat="1" applyFont="1" applyFill="1" applyProtection="1">
      <protection locked="0"/>
    </xf>
    <xf numFmtId="10" fontId="12" fillId="0" borderId="0" xfId="0" applyNumberFormat="1" applyFont="1" applyFill="1" applyProtection="1">
      <protection locked="0"/>
    </xf>
    <xf numFmtId="37" fontId="15" fillId="0" borderId="0" xfId="0" applyFont="1" applyFill="1"/>
    <xf numFmtId="37" fontId="12" fillId="0" borderId="0" xfId="0" applyNumberFormat="1" applyFont="1" applyProtection="1">
      <protection locked="0"/>
    </xf>
    <xf numFmtId="37" fontId="15" fillId="0" borderId="0" xfId="0" applyNumberFormat="1" applyFont="1" applyProtection="1"/>
    <xf numFmtId="172" fontId="12" fillId="0" borderId="0" xfId="0" applyNumberFormat="1" applyFont="1" applyProtection="1">
      <protection locked="0"/>
    </xf>
    <xf numFmtId="37" fontId="4" fillId="0" borderId="0" xfId="0" applyFont="1" applyFill="1" applyAlignment="1" applyProtection="1">
      <alignment horizontal="center"/>
    </xf>
    <xf numFmtId="37" fontId="14" fillId="0" borderId="5" xfId="0" applyFont="1" applyFill="1" applyBorder="1" applyAlignment="1" applyProtection="1">
      <alignment horizontal="left"/>
    </xf>
    <xf numFmtId="37" fontId="6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9" fontId="0" fillId="0" borderId="0" xfId="13" quotePrefix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37" fontId="12" fillId="0" borderId="0" xfId="0" applyFont="1" applyFill="1" applyBorder="1" applyAlignment="1" applyProtection="1">
      <alignment horizontal="left" indent="2"/>
    </xf>
    <xf numFmtId="10" fontId="3" fillId="0" borderId="0" xfId="13" applyNumberFormat="1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2"/>
    </xf>
    <xf numFmtId="37" fontId="0" fillId="0" borderId="0" xfId="0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4" fillId="0" borderId="0" xfId="0" applyFont="1" applyFill="1" applyAlignment="1" applyProtection="1">
      <alignment horizontal="left" indent="1"/>
    </xf>
    <xf numFmtId="37" fontId="12" fillId="0" borderId="0" xfId="0" applyFont="1" applyFill="1" applyAlignment="1" applyProtection="1">
      <alignment horizontal="left" indent="3"/>
    </xf>
    <xf numFmtId="37" fontId="12" fillId="0" borderId="0" xfId="0" applyFont="1" applyFill="1" applyAlignment="1">
      <alignment horizontal="left" indent="1"/>
    </xf>
    <xf numFmtId="37" fontId="9" fillId="0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3" fillId="0" borderId="0" xfId="13" applyNumberFormat="1" applyFont="1" applyFill="1" applyBorder="1" applyAlignment="1" applyProtection="1">
      <alignment horizontal="center"/>
    </xf>
    <xf numFmtId="182" fontId="3" fillId="0" borderId="0" xfId="2" applyNumberFormat="1" applyFont="1" applyFill="1" applyBorder="1" applyAlignment="1" applyProtection="1">
      <alignment horizontal="center"/>
    </xf>
    <xf numFmtId="185" fontId="3" fillId="0" borderId="5" xfId="1" applyNumberFormat="1" applyFont="1" applyFill="1" applyBorder="1" applyAlignment="1" applyProtection="1">
      <alignment horizontal="center"/>
    </xf>
    <xf numFmtId="10" fontId="0" fillId="0" borderId="0" xfId="13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Protection="1"/>
    <xf numFmtId="10" fontId="0" fillId="0" borderId="0" xfId="0" applyNumberFormat="1" applyFont="1" applyFill="1" applyBorder="1"/>
    <xf numFmtId="185" fontId="0" fillId="0" borderId="5" xfId="1" applyNumberFormat="1" applyFont="1" applyFill="1" applyBorder="1" applyAlignment="1">
      <alignment horizontal="center"/>
    </xf>
    <xf numFmtId="10" fontId="0" fillId="0" borderId="0" xfId="0" applyNumberFormat="1" applyFill="1"/>
    <xf numFmtId="43" fontId="0" fillId="0" borderId="5" xfId="1" applyFont="1" applyFill="1" applyBorder="1"/>
    <xf numFmtId="37" fontId="0" fillId="0" borderId="4" xfId="0" applyFont="1" applyFill="1" applyBorder="1"/>
    <xf numFmtId="37" fontId="4" fillId="0" borderId="4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8" fillId="0" borderId="0" xfId="0" applyFont="1" applyFill="1"/>
    <xf numFmtId="37" fontId="12" fillId="0" borderId="0" xfId="0" applyFont="1" applyFill="1" applyAlignment="1"/>
    <xf numFmtId="37" fontId="14" fillId="0" borderId="0" xfId="0" applyFont="1" applyFill="1" applyAlignment="1"/>
    <xf numFmtId="185" fontId="3" fillId="0" borderId="5" xfId="1" applyNumberFormat="1" applyFont="1" applyFill="1" applyBorder="1" applyAlignment="1">
      <alignment horizontal="center"/>
    </xf>
    <xf numFmtId="37" fontId="12" fillId="0" borderId="5" xfId="0" applyFont="1" applyBorder="1" applyAlignment="1" applyProtection="1">
      <alignment horizontal="right"/>
    </xf>
    <xf numFmtId="37" fontId="12" fillId="0" borderId="5" xfId="0" applyFont="1" applyBorder="1" applyAlignment="1">
      <alignment horizontal="center"/>
    </xf>
    <xf numFmtId="37" fontId="69" fillId="0" borderId="0" xfId="0" applyFont="1"/>
    <xf numFmtId="37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12" fillId="0" borderId="7" xfId="0" applyNumberFormat="1" applyFont="1" applyBorder="1"/>
    <xf numFmtId="10" fontId="12" fillId="0" borderId="0" xfId="13" applyNumberFormat="1" applyFont="1" applyAlignment="1">
      <alignment horizontal="right"/>
    </xf>
    <xf numFmtId="3" fontId="12" fillId="0" borderId="10" xfId="0" applyNumberFormat="1" applyFont="1" applyBorder="1"/>
    <xf numFmtId="37" fontId="36" fillId="0" borderId="0" xfId="0" applyFont="1"/>
    <xf numFmtId="0" fontId="0" fillId="0" borderId="0" xfId="0" applyNumberFormat="1"/>
    <xf numFmtId="37" fontId="3" fillId="0" borderId="0" xfId="0" applyFont="1" applyAlignment="1" applyProtection="1">
      <alignment horizontal="center"/>
    </xf>
    <xf numFmtId="37" fontId="14" fillId="0" borderId="19" xfId="0" applyFont="1" applyFill="1" applyBorder="1"/>
    <xf numFmtId="37" fontId="14" fillId="0" borderId="10" xfId="0" applyFont="1" applyFill="1" applyBorder="1"/>
    <xf numFmtId="10" fontId="6" fillId="0" borderId="0" xfId="13" applyNumberFormat="1" applyFont="1" applyFill="1" applyProtection="1"/>
    <xf numFmtId="186" fontId="0" fillId="0" borderId="0" xfId="0" quotePrefix="1" applyNumberFormat="1" applyFill="1"/>
    <xf numFmtId="37" fontId="3" fillId="0" borderId="0" xfId="0" applyFont="1" applyFill="1" applyAlignment="1" applyProtection="1">
      <alignment horizontal="center"/>
    </xf>
    <xf numFmtId="37" fontId="3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center"/>
    </xf>
    <xf numFmtId="37" fontId="8" fillId="7" borderId="0" xfId="0" applyFont="1" applyFill="1" applyAlignment="1" applyProtection="1">
      <alignment horizontal="center"/>
      <protection locked="0"/>
    </xf>
    <xf numFmtId="17" fontId="8" fillId="7" borderId="22" xfId="0" applyNumberFormat="1" applyFont="1" applyFill="1" applyBorder="1" applyAlignment="1">
      <alignment horizontal="center"/>
    </xf>
    <xf numFmtId="37" fontId="8" fillId="7" borderId="0" xfId="0" applyFont="1" applyFill="1" applyAlignment="1" applyProtection="1">
      <alignment horizontal="center"/>
    </xf>
    <xf numFmtId="37" fontId="12" fillId="7" borderId="0" xfId="0" applyFont="1" applyFill="1" applyAlignment="1">
      <alignment horizontal="right"/>
    </xf>
    <xf numFmtId="174" fontId="11" fillId="0" borderId="2" xfId="0" applyNumberFormat="1" applyFont="1" applyFill="1" applyBorder="1" applyProtection="1"/>
    <xf numFmtId="37" fontId="0" fillId="0" borderId="32" xfId="0" applyFill="1" applyBorder="1"/>
    <xf numFmtId="37" fontId="12" fillId="0" borderId="32" xfId="0" applyFont="1" applyBorder="1" applyAlignment="1" applyProtection="1">
      <alignment horizontal="left"/>
    </xf>
    <xf numFmtId="37" fontId="0" fillId="0" borderId="32" xfId="0" applyBorder="1" applyAlignment="1">
      <alignment horizontal="center"/>
    </xf>
    <xf numFmtId="49" fontId="0" fillId="0" borderId="0" xfId="0" applyNumberFormat="1" applyAlignment="1">
      <alignment horizontal="center"/>
    </xf>
    <xf numFmtId="37" fontId="3" fillId="0" borderId="0" xfId="0" applyFont="1" applyAlignment="1" applyProtection="1">
      <alignment horizontal="center"/>
    </xf>
    <xf numFmtId="37" fontId="14" fillId="0" borderId="0" xfId="0" applyFont="1" applyAlignment="1" applyProtection="1">
      <alignment horizontal="left"/>
    </xf>
    <xf numFmtId="37" fontId="14" fillId="0" borderId="0" xfId="0" applyFont="1" applyAlignment="1" applyProtection="1">
      <alignment horizontal="center"/>
    </xf>
    <xf numFmtId="182" fontId="14" fillId="0" borderId="0" xfId="2" applyNumberFormat="1" applyFont="1" applyFill="1" applyProtection="1"/>
    <xf numFmtId="185" fontId="21" fillId="0" borderId="0" xfId="0" applyNumberFormat="1" applyFont="1" applyFill="1"/>
    <xf numFmtId="44" fontId="0" fillId="0" borderId="6" xfId="2" applyNumberFormat="1" applyFont="1" applyBorder="1"/>
    <xf numFmtId="169" fontId="12" fillId="0" borderId="0" xfId="0" applyNumberFormat="1" applyFont="1" applyFill="1" applyProtection="1"/>
    <xf numFmtId="3" fontId="12" fillId="0" borderId="0" xfId="0" applyNumberFormat="1" applyFont="1" applyFill="1"/>
    <xf numFmtId="173" fontId="0" fillId="0" borderId="6" xfId="0" applyNumberFormat="1" applyFont="1" applyFill="1" applyBorder="1" applyProtection="1"/>
    <xf numFmtId="191" fontId="43" fillId="0" borderId="0" xfId="13" applyNumberFormat="1" applyFont="1" applyFill="1" applyAlignment="1">
      <alignment horizontal="center"/>
    </xf>
    <xf numFmtId="43" fontId="43" fillId="0" borderId="0" xfId="1" applyFont="1" applyFill="1" applyAlignment="1">
      <alignment horizontal="center"/>
    </xf>
    <xf numFmtId="174" fontId="43" fillId="0" borderId="0" xfId="13" applyNumberFormat="1" applyFont="1" applyFill="1" applyAlignment="1">
      <alignment horizontal="center"/>
    </xf>
    <xf numFmtId="188" fontId="43" fillId="0" borderId="0" xfId="13" applyNumberFormat="1" applyFont="1" applyFill="1" applyAlignment="1">
      <alignment horizontal="center"/>
    </xf>
    <xf numFmtId="37" fontId="3" fillId="0" borderId="0" xfId="0" applyFont="1" applyFill="1" applyAlignment="1">
      <alignment horizontal="center"/>
    </xf>
    <xf numFmtId="37" fontId="35" fillId="0" borderId="0" xfId="0" applyFont="1" applyFill="1" applyAlignment="1" applyProtection="1">
      <alignment horizontal="left"/>
    </xf>
    <xf numFmtId="37" fontId="13" fillId="8" borderId="0" xfId="0" applyFont="1" applyFill="1"/>
    <xf numFmtId="37" fontId="3" fillId="8" borderId="0" xfId="0" applyFont="1" applyFill="1"/>
    <xf numFmtId="37" fontId="3" fillId="8" borderId="0" xfId="0" applyFont="1" applyFill="1" applyAlignment="1">
      <alignment horizontal="left" indent="2"/>
    </xf>
    <xf numFmtId="37" fontId="3" fillId="8" borderId="0" xfId="0" applyFont="1" applyFill="1" applyAlignment="1"/>
    <xf numFmtId="10" fontId="3" fillId="8" borderId="0" xfId="13" applyNumberFormat="1" applyFont="1" applyFill="1" applyAlignment="1"/>
    <xf numFmtId="10" fontId="0" fillId="8" borderId="0" xfId="13" applyNumberFormat="1" applyFont="1" applyFill="1" applyAlignment="1">
      <alignment horizontal="center"/>
    </xf>
    <xf numFmtId="10" fontId="0" fillId="0" borderId="32" xfId="0" applyNumberFormat="1" applyFont="1" applyFill="1" applyBorder="1" applyProtection="1"/>
    <xf numFmtId="182" fontId="12" fillId="0" borderId="0" xfId="2" applyNumberFormat="1" applyFont="1"/>
    <xf numFmtId="37" fontId="12" fillId="8" borderId="0" xfId="0" applyNumberFormat="1" applyFont="1" applyFill="1" applyProtection="1"/>
    <xf numFmtId="37" fontId="0" fillId="8" borderId="0" xfId="0" applyNumberFormat="1" applyFont="1" applyFill="1" applyProtection="1"/>
    <xf numFmtId="10" fontId="68" fillId="8" borderId="0" xfId="13" applyNumberFormat="1" applyFont="1" applyFill="1"/>
    <xf numFmtId="182" fontId="3" fillId="0" borderId="0" xfId="0" applyNumberFormat="1" applyFont="1" applyFill="1"/>
    <xf numFmtId="185" fontId="3" fillId="0" borderId="0" xfId="0" applyNumberFormat="1" applyFont="1" applyFill="1"/>
    <xf numFmtId="182" fontId="57" fillId="0" borderId="0" xfId="0" applyNumberFormat="1" applyFont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37" fontId="12" fillId="0" borderId="23" xfId="0" applyFont="1" applyBorder="1" applyAlignment="1">
      <alignment horizontal="center"/>
    </xf>
    <xf numFmtId="37" fontId="12" fillId="0" borderId="7" xfId="0" applyFont="1" applyBorder="1" applyAlignment="1">
      <alignment horizontal="center"/>
    </xf>
    <xf numFmtId="37" fontId="12" fillId="0" borderId="9" xfId="0" applyFont="1" applyBorder="1" applyAlignment="1">
      <alignment horizontal="center"/>
    </xf>
    <xf numFmtId="37" fontId="12" fillId="0" borderId="23" xfId="0" applyFont="1" applyBorder="1" applyAlignment="1" applyProtection="1">
      <alignment horizontal="center"/>
    </xf>
    <xf numFmtId="37" fontId="12" fillId="0" borderId="7" xfId="0" applyFont="1" applyBorder="1" applyAlignment="1" applyProtection="1">
      <alignment horizontal="center"/>
    </xf>
    <xf numFmtId="37" fontId="12" fillId="0" borderId="9" xfId="0" applyFont="1" applyBorder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2" fillId="0" borderId="0" xfId="0" applyFont="1" applyFill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4" fillId="0" borderId="0" xfId="5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29" xfId="0" applyFont="1" applyFill="1" applyBorder="1" applyAlignment="1" applyProtection="1">
      <alignment horizontal="center"/>
    </xf>
    <xf numFmtId="37" fontId="4" fillId="0" borderId="19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5" xfId="0" applyFont="1" applyFill="1" applyBorder="1" applyAlignment="1" applyProtection="1">
      <alignment horizontal="center"/>
    </xf>
    <xf numFmtId="37" fontId="12" fillId="0" borderId="0" xfId="0" applyFont="1" applyFill="1" applyAlignment="1">
      <alignment horizontal="center"/>
    </xf>
  </cellXfs>
  <cellStyles count="33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2 4" xfId="32"/>
    <cellStyle name="Normal 3" xfId="20"/>
    <cellStyle name="Normal 3 2" xfId="30"/>
    <cellStyle name="Normal 4" xfId="23"/>
    <cellStyle name="Normal 5" xfId="24"/>
    <cellStyle name="Normal 6" xfId="29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3.xml"/><Relationship Id="rId89" Type="http://schemas.openxmlformats.org/officeDocument/2006/relationships/externalLink" Target="externalLinks/externalLink8.xml"/><Relationship Id="rId112" Type="http://schemas.openxmlformats.org/officeDocument/2006/relationships/externalLink" Target="externalLinks/externalLink3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6.xml"/><Relationship Id="rId102" Type="http://schemas.openxmlformats.org/officeDocument/2006/relationships/externalLink" Target="externalLinks/externalLink21.xml"/><Relationship Id="rId110" Type="http://schemas.openxmlformats.org/officeDocument/2006/relationships/externalLink" Target="externalLinks/externalLink29.xml"/><Relationship Id="rId11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90" Type="http://schemas.openxmlformats.org/officeDocument/2006/relationships/externalLink" Target="externalLinks/externalLink9.xml"/><Relationship Id="rId95" Type="http://schemas.openxmlformats.org/officeDocument/2006/relationships/externalLink" Target="externalLinks/externalLink1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9.xml"/><Relationship Id="rId105" Type="http://schemas.openxmlformats.org/officeDocument/2006/relationships/externalLink" Target="externalLinks/externalLink24.xml"/><Relationship Id="rId113" Type="http://schemas.openxmlformats.org/officeDocument/2006/relationships/externalLink" Target="externalLinks/externalLink32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4.xml"/><Relationship Id="rId93" Type="http://schemas.openxmlformats.org/officeDocument/2006/relationships/externalLink" Target="externalLinks/externalLink12.xml"/><Relationship Id="rId98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22.xml"/><Relationship Id="rId108" Type="http://schemas.openxmlformats.org/officeDocument/2006/relationships/externalLink" Target="externalLinks/externalLink27.xml"/><Relationship Id="rId116" Type="http://schemas.openxmlformats.org/officeDocument/2006/relationships/externalLink" Target="externalLinks/externalLink3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88" Type="http://schemas.openxmlformats.org/officeDocument/2006/relationships/externalLink" Target="externalLinks/externalLink7.xml"/><Relationship Id="rId91" Type="http://schemas.openxmlformats.org/officeDocument/2006/relationships/externalLink" Target="externalLinks/externalLink10.xml"/><Relationship Id="rId96" Type="http://schemas.openxmlformats.org/officeDocument/2006/relationships/externalLink" Target="externalLinks/externalLink15.xml"/><Relationship Id="rId11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5.xml"/><Relationship Id="rId114" Type="http://schemas.openxmlformats.org/officeDocument/2006/relationships/externalLink" Target="externalLinks/externalLink33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5.xml"/><Relationship Id="rId94" Type="http://schemas.openxmlformats.org/officeDocument/2006/relationships/externalLink" Target="externalLinks/externalLink13.xml"/><Relationship Id="rId99" Type="http://schemas.openxmlformats.org/officeDocument/2006/relationships/externalLink" Target="externalLinks/externalLink18.xml"/><Relationship Id="rId10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8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6.xml"/><Relationship Id="rId104" Type="http://schemas.openxmlformats.org/officeDocument/2006/relationships/externalLink" Target="externalLinks/externalLink23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Y18%20Composite%20Factor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DIT%20for%20KY%2006-30-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B.6B%20Acct%20252%20Advances%20in%20Aid%20of%20Construction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%20Schedules%20Income%20Statement%20Activity%20Jan18-Jun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OM%20for%20KY-2018%20cas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as%20Cost%20by%20FERC-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%202.2%20%20Jurirep%2092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Taxes%20Other%20-%20Finrep-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d%20Valorem%20Budget%20FY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1%20Schedule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2.1%20Schedul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Y18%20Blending%20percentages%20for%20CKV%20Center,%20Greenville%20and%20Aligne%20Effective%20Oct-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misc%20Finrep%20retrievals-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6%20Schedule%20Rate%20Case%20Expenses%20-%202018.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8%20Division%20009%20(Kentucky)%20Expense%20Report%20Review%20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8%20Division%20091%20(General%20Office)%20Expense%20Report%20Review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8%20Jan'18%20-%20Jun'18%20002%20IEXP%20Review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8%20Jan'18%20-%20Jun'18%20Div%20012%20IEXP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9%20Schedule%20Kentucky%20Leas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F.11%20Retirement%20Benefits%20Adjustments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.1%20Benefits%20Rates%20Calc%20FY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.2%20Division%20009%20labor%20analysis-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ADIT%20KY%20projection%20-%202018-2020%20updated%20for%20ALG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.3%20-%20Executive%20Compensation%20-%202018%20Case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H.1%20PSC%20Assessment%20fees%20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historical%20inc%20statements-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%202-34%20Capital%20Structure%2006-30-18_Consolidated_LTD%20Support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apital%20Structure%2006-30-18_Consolidated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K%20Kentucky%2016-13%20Schedu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%20Data/KY%20Plant%20Data-2018%20ca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B-3.1F%20Depreciation%20Cap%20Rate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8%20KY%20Rate%20Case/CWC/KY%202018%20Cash%20Working%20Capit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misc%20jurirep%20BS%20accts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Gas%20Storage-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s/KY%20Revenue%20%20Billing%20Unit%20Forecast%20TYE%203.3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history"/>
      <sheetName val="3-Factor Composite FY18"/>
      <sheetName val="OLD Composite FY17"/>
      <sheetName val="Check current to prior"/>
      <sheetName val="Mid States FY18"/>
      <sheetName val="CO KS FY18"/>
      <sheetName val="COdiv 2018"/>
      <sheetName val="West Texas FY18 new rollup"/>
      <sheetName val="West Texas FY18 old "/>
      <sheetName val="Div 002 Rates"/>
      <sheetName val="Div 002 Rates (Excl APT)"/>
      <sheetName val="Div 012 Rates"/>
      <sheetName val="OLD Div 002 Rates"/>
      <sheetName val="OLD Div 002 Rates (Excl APT)"/>
      <sheetName val="OLD Div 012 Rates"/>
      <sheetName val="Customer Summary"/>
      <sheetName val="LA"/>
      <sheetName val="WTX"/>
      <sheetName val="KMD"/>
      <sheetName val="CO-KS"/>
      <sheetName val="MTX"/>
      <sheetName val="MS"/>
      <sheetName val="APT"/>
      <sheetName val="AELIG"/>
    </sheetNames>
    <sheetDataSet>
      <sheetData sheetId="0"/>
      <sheetData sheetId="1">
        <row r="16">
          <cell r="I16">
            <v>0.1095</v>
          </cell>
        </row>
        <row r="19">
          <cell r="I19">
            <v>0.104</v>
          </cell>
        </row>
      </sheetData>
      <sheetData sheetId="2"/>
      <sheetData sheetId="3"/>
      <sheetData sheetId="4">
        <row r="10">
          <cell r="H10">
            <v>51.51797240688861</v>
          </cell>
          <cell r="O10">
            <v>0.49780000000000002</v>
          </cell>
        </row>
      </sheetData>
      <sheetData sheetId="5"/>
      <sheetData sheetId="6"/>
      <sheetData sheetId="7"/>
      <sheetData sheetId="8"/>
      <sheetData sheetId="9"/>
      <sheetData sheetId="10">
        <row r="38">
          <cell r="J38">
            <v>6.3622429999999994E-2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002"/>
      <sheetName val="Division 012"/>
      <sheetName val="Division 009"/>
      <sheetName val="Division 091"/>
    </sheetNames>
    <sheetDataSet>
      <sheetData sheetId="0">
        <row r="134">
          <cell r="DA134">
            <v>504522022</v>
          </cell>
          <cell r="DB134">
            <v>504522022</v>
          </cell>
          <cell r="DC134">
            <v>504522022</v>
          </cell>
          <cell r="DD134">
            <v>440605947</v>
          </cell>
          <cell r="DE134">
            <v>440605947</v>
          </cell>
          <cell r="DF134">
            <v>440605947</v>
          </cell>
          <cell r="DG134">
            <v>437021385</v>
          </cell>
          <cell r="DH134">
            <v>437021385</v>
          </cell>
          <cell r="DI134">
            <v>437021385</v>
          </cell>
          <cell r="DJ134">
            <v>437021385</v>
          </cell>
          <cell r="DK134">
            <v>437021385</v>
          </cell>
          <cell r="DL134">
            <v>437021385</v>
          </cell>
          <cell r="DM134">
            <v>437021385</v>
          </cell>
          <cell r="DP134">
            <v>437021385</v>
          </cell>
          <cell r="DQ134">
            <v>437021385</v>
          </cell>
          <cell r="DR134">
            <v>437021385</v>
          </cell>
          <cell r="DS134">
            <v>437021385</v>
          </cell>
          <cell r="DT134">
            <v>437021385</v>
          </cell>
          <cell r="DU134">
            <v>437021385</v>
          </cell>
          <cell r="DV134">
            <v>437021385</v>
          </cell>
          <cell r="DW134">
            <v>437021385</v>
          </cell>
          <cell r="DX134">
            <v>437021385</v>
          </cell>
          <cell r="DY134">
            <v>437021385</v>
          </cell>
          <cell r="DZ134">
            <v>437021385</v>
          </cell>
          <cell r="EA134">
            <v>437021385</v>
          </cell>
          <cell r="EB134">
            <v>437021385</v>
          </cell>
        </row>
        <row r="136">
          <cell r="DA136">
            <v>-17021092</v>
          </cell>
          <cell r="DB136">
            <v>-17021092</v>
          </cell>
          <cell r="DC136">
            <v>-17021092</v>
          </cell>
          <cell r="DD136">
            <v>-17345030</v>
          </cell>
          <cell r="DE136">
            <v>-17345030</v>
          </cell>
          <cell r="DF136">
            <v>-17345030</v>
          </cell>
          <cell r="DG136">
            <v>-17761671</v>
          </cell>
          <cell r="DH136">
            <v>-18284596.205559574</v>
          </cell>
          <cell r="DI136">
            <v>-18725819.153251659</v>
          </cell>
          <cell r="DJ136">
            <v>-19281943.96596548</v>
          </cell>
          <cell r="DK136">
            <v>-19229012.042140186</v>
          </cell>
          <cell r="DL136">
            <v>-19100280.722794622</v>
          </cell>
          <cell r="DM136">
            <v>-18970283.831520461</v>
          </cell>
          <cell r="DP136">
            <v>-18570283.641385976</v>
          </cell>
          <cell r="DQ136">
            <v>-18438960.283071876</v>
          </cell>
          <cell r="DR136">
            <v>-18317585.443959571</v>
          </cell>
          <cell r="DS136">
            <v>-18206789.445902105</v>
          </cell>
          <cell r="DT136">
            <v>-18107336.761196289</v>
          </cell>
          <cell r="DU136">
            <v>-18019453.736199312</v>
          </cell>
          <cell r="DV136">
            <v>-17942908.911224738</v>
          </cell>
          <cell r="DW136">
            <v>-17900113.167299114</v>
          </cell>
          <cell r="DX136">
            <v>-17865489.007787883</v>
          </cell>
          <cell r="DY136">
            <v>-17838973.418293111</v>
          </cell>
          <cell r="DZ136">
            <v>-17820497.829261757</v>
          </cell>
          <cell r="EA136">
            <v>-17809130.753559101</v>
          </cell>
          <cell r="EB136">
            <v>-17805459.917966794</v>
          </cell>
        </row>
        <row r="138">
          <cell r="DA138">
            <v>31202176.240345001</v>
          </cell>
          <cell r="DB138">
            <v>24068825.590345003</v>
          </cell>
          <cell r="DC138">
            <v>21481062.100345004</v>
          </cell>
          <cell r="DD138">
            <v>25953641.740345001</v>
          </cell>
          <cell r="DE138">
            <v>21574355.060219627</v>
          </cell>
          <cell r="DF138">
            <v>22808807.777322352</v>
          </cell>
          <cell r="DG138">
            <v>24564903.601925977</v>
          </cell>
          <cell r="DH138">
            <v>24564903.601925977</v>
          </cell>
          <cell r="DI138">
            <v>24564903.601925977</v>
          </cell>
          <cell r="DJ138">
            <v>24564903.601925977</v>
          </cell>
          <cell r="DK138">
            <v>24564903.601925977</v>
          </cell>
          <cell r="DL138">
            <v>24564903.601925977</v>
          </cell>
          <cell r="DM138">
            <v>24564903.601925977</v>
          </cell>
          <cell r="DP138">
            <v>24564903.601925977</v>
          </cell>
          <cell r="DQ138">
            <v>24564903.601925977</v>
          </cell>
          <cell r="DR138">
            <v>24564903.601925977</v>
          </cell>
          <cell r="DS138">
            <v>24564903.601925977</v>
          </cell>
          <cell r="DT138">
            <v>24564903.601925977</v>
          </cell>
          <cell r="DU138">
            <v>24564903.601925977</v>
          </cell>
          <cell r="DV138">
            <v>24564903.601925977</v>
          </cell>
          <cell r="DW138">
            <v>24564903.601925977</v>
          </cell>
          <cell r="DX138">
            <v>24564903.601925977</v>
          </cell>
          <cell r="DY138">
            <v>24564903.601925977</v>
          </cell>
          <cell r="DZ138">
            <v>24564903.601925977</v>
          </cell>
          <cell r="EA138">
            <v>24564903.601925977</v>
          </cell>
          <cell r="EB138">
            <v>24564903.601925977</v>
          </cell>
        </row>
      </sheetData>
      <sheetData sheetId="1">
        <row r="130">
          <cell r="DA130">
            <v>6868</v>
          </cell>
          <cell r="DB130">
            <v>6868</v>
          </cell>
          <cell r="DC130">
            <v>6868</v>
          </cell>
          <cell r="DD130">
            <v>10129</v>
          </cell>
          <cell r="DE130">
            <v>10129</v>
          </cell>
          <cell r="DF130">
            <v>10129</v>
          </cell>
          <cell r="DG130">
            <v>68526</v>
          </cell>
          <cell r="DH130">
            <v>68526</v>
          </cell>
          <cell r="DI130">
            <v>68526</v>
          </cell>
          <cell r="DJ130">
            <v>68526</v>
          </cell>
          <cell r="DK130">
            <v>68526</v>
          </cell>
          <cell r="DL130">
            <v>68526</v>
          </cell>
          <cell r="DM130">
            <v>68526</v>
          </cell>
          <cell r="DP130">
            <v>68526</v>
          </cell>
          <cell r="DQ130">
            <v>68526</v>
          </cell>
          <cell r="DR130">
            <v>68526</v>
          </cell>
          <cell r="DS130">
            <v>68526</v>
          </cell>
          <cell r="DT130">
            <v>68526</v>
          </cell>
          <cell r="DU130">
            <v>68526</v>
          </cell>
          <cell r="DV130">
            <v>68526</v>
          </cell>
          <cell r="DW130">
            <v>68526</v>
          </cell>
          <cell r="DX130">
            <v>68526</v>
          </cell>
          <cell r="DY130">
            <v>68526</v>
          </cell>
          <cell r="DZ130">
            <v>68526</v>
          </cell>
          <cell r="EA130">
            <v>68526</v>
          </cell>
          <cell r="EB130">
            <v>68526</v>
          </cell>
        </row>
        <row r="132">
          <cell r="DA132">
            <v>-17234236</v>
          </cell>
          <cell r="DB132">
            <v>-17234236</v>
          </cell>
          <cell r="DC132">
            <v>-17234236</v>
          </cell>
          <cell r="DD132">
            <v>-16885721</v>
          </cell>
          <cell r="DE132">
            <v>-16885721</v>
          </cell>
          <cell r="DF132">
            <v>-16885721</v>
          </cell>
          <cell r="DG132">
            <v>-16728471</v>
          </cell>
          <cell r="DH132">
            <v>-16674329.340609109</v>
          </cell>
          <cell r="DI132">
            <v>-16579397.325323217</v>
          </cell>
          <cell r="DJ132">
            <v>-16436786.161776451</v>
          </cell>
          <cell r="DK132">
            <v>-16303796.356638949</v>
          </cell>
          <cell r="DL132">
            <v>-16170611.632476818</v>
          </cell>
          <cell r="DM132">
            <v>-16037375.511528807</v>
          </cell>
          <cell r="DP132">
            <v>-15634976.580374932</v>
          </cell>
          <cell r="DQ132">
            <v>-15505027.48124956</v>
          </cell>
          <cell r="DR132">
            <v>-15386303.171237642</v>
          </cell>
          <cell r="DS132">
            <v>-15278584.829517515</v>
          </cell>
          <cell r="DT132">
            <v>-15182292.867762554</v>
          </cell>
          <cell r="DU132">
            <v>-15097501.176274849</v>
          </cell>
          <cell r="DV132">
            <v>-15023889.236888055</v>
          </cell>
          <cell r="DW132">
            <v>-14966937.521302374</v>
          </cell>
          <cell r="DX132">
            <v>-14920220.17258252</v>
          </cell>
          <cell r="DY132">
            <v>-14884093.869292762</v>
          </cell>
          <cell r="DZ132">
            <v>-14858517.889625151</v>
          </cell>
          <cell r="EA132">
            <v>-14842568.292984169</v>
          </cell>
          <cell r="EB132">
            <v>-14837352.543710032</v>
          </cell>
        </row>
        <row r="134"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</row>
      </sheetData>
      <sheetData sheetId="2">
        <row r="130">
          <cell r="DA130">
            <v>10404257.697957151</v>
          </cell>
          <cell r="DB130">
            <v>10404257.697957151</v>
          </cell>
          <cell r="DC130">
            <v>10404257.697957151</v>
          </cell>
          <cell r="DD130">
            <v>9114435</v>
          </cell>
          <cell r="DE130">
            <v>9114435</v>
          </cell>
          <cell r="DF130">
            <v>9114435</v>
          </cell>
          <cell r="DG130">
            <v>9028253</v>
          </cell>
          <cell r="DH130">
            <v>9000278.8750404827</v>
          </cell>
          <cell r="DI130">
            <v>8972304.6007349268</v>
          </cell>
          <cell r="DJ130">
            <v>8944330.3264293708</v>
          </cell>
          <cell r="DK130">
            <v>8916356.0521238148</v>
          </cell>
          <cell r="DL130">
            <v>8888381.7778182589</v>
          </cell>
          <cell r="DM130">
            <v>8860407.5035127029</v>
          </cell>
          <cell r="DP130">
            <v>8776484.680596035</v>
          </cell>
          <cell r="DQ130">
            <v>8749796.1801961288</v>
          </cell>
          <cell r="DR130">
            <v>8725471.5184030719</v>
          </cell>
          <cell r="DS130">
            <v>8703434.4423585758</v>
          </cell>
          <cell r="DT130">
            <v>8683761.2049209308</v>
          </cell>
          <cell r="DU130">
            <v>8666451.8060901351</v>
          </cell>
          <cell r="DV130">
            <v>8651429.9930079021</v>
          </cell>
          <cell r="DW130">
            <v>8638772.0185325164</v>
          </cell>
          <cell r="DX130">
            <v>8628401.6298056953</v>
          </cell>
          <cell r="DY130">
            <v>8620395.0796857234</v>
          </cell>
          <cell r="DZ130">
            <v>8614752.3681726009</v>
          </cell>
          <cell r="EA130">
            <v>8611244.7366914693</v>
          </cell>
          <cell r="EB130">
            <v>8610100.9438171871</v>
          </cell>
        </row>
        <row r="132">
          <cell r="DA132">
            <v>-66268035</v>
          </cell>
          <cell r="DB132">
            <v>-66268035</v>
          </cell>
          <cell r="DC132">
            <v>-66268035</v>
          </cell>
          <cell r="DD132">
            <v>-70393298</v>
          </cell>
          <cell r="DE132">
            <v>-70393298</v>
          </cell>
          <cell r="DF132">
            <v>-70393298</v>
          </cell>
          <cell r="DG132">
            <v>-71332054</v>
          </cell>
          <cell r="DH132">
            <v>-73997402.108422428</v>
          </cell>
          <cell r="DI132">
            <v>-76309391.189978927</v>
          </cell>
          <cell r="DJ132">
            <v>-78668744.351516038</v>
          </cell>
          <cell r="DK132">
            <v>-79313578.065603375</v>
          </cell>
          <cell r="DL132">
            <v>-80049270.808809906</v>
          </cell>
          <cell r="DM132">
            <v>-80791089.958195508</v>
          </cell>
          <cell r="DP132">
            <v>-82081168.145582482</v>
          </cell>
          <cell r="DQ132">
            <v>-82591821.692685917</v>
          </cell>
          <cell r="DR132">
            <v>-83046060.935916215</v>
          </cell>
          <cell r="DS132">
            <v>-83454892.263006628</v>
          </cell>
          <cell r="DT132">
            <v>-83840032.384038717</v>
          </cell>
          <cell r="DU132">
            <v>-84155364.910569519</v>
          </cell>
          <cell r="DV132">
            <v>-84409706.665450513</v>
          </cell>
          <cell r="DW132">
            <v>-84769671.620398819</v>
          </cell>
          <cell r="DX132">
            <v>-85100020.869619414</v>
          </cell>
          <cell r="DY132">
            <v>-85357972.435820311</v>
          </cell>
          <cell r="DZ132">
            <v>-85508014.141214237</v>
          </cell>
          <cell r="EA132">
            <v>-85577666.201329216</v>
          </cell>
          <cell r="EB132">
            <v>-85597395.73730801</v>
          </cell>
        </row>
        <row r="134">
          <cell r="DA134">
            <v>-7784</v>
          </cell>
          <cell r="DB134">
            <v>-7784</v>
          </cell>
          <cell r="DC134">
            <v>-7784</v>
          </cell>
          <cell r="DD134">
            <v>-7784</v>
          </cell>
          <cell r="DE134">
            <v>-7784</v>
          </cell>
          <cell r="DF134">
            <v>-7784</v>
          </cell>
          <cell r="DG134">
            <v>-47285</v>
          </cell>
          <cell r="DH134">
            <v>-47285</v>
          </cell>
          <cell r="DI134">
            <v>-47285</v>
          </cell>
          <cell r="DJ134">
            <v>-47285</v>
          </cell>
          <cell r="DK134">
            <v>-47285</v>
          </cell>
          <cell r="DL134">
            <v>-47285</v>
          </cell>
          <cell r="DM134">
            <v>-47285</v>
          </cell>
          <cell r="DP134">
            <v>-47285</v>
          </cell>
          <cell r="DQ134">
            <v>-47285</v>
          </cell>
          <cell r="DR134">
            <v>-47285</v>
          </cell>
          <cell r="DS134">
            <v>-47285</v>
          </cell>
          <cell r="DT134">
            <v>-47285</v>
          </cell>
          <cell r="DU134">
            <v>-47285</v>
          </cell>
          <cell r="DV134">
            <v>-47285</v>
          </cell>
          <cell r="DW134">
            <v>-47285</v>
          </cell>
          <cell r="DX134">
            <v>-47285</v>
          </cell>
          <cell r="DY134">
            <v>-47285</v>
          </cell>
          <cell r="DZ134">
            <v>-47285</v>
          </cell>
          <cell r="EA134">
            <v>-47285</v>
          </cell>
          <cell r="EB134">
            <v>-47285</v>
          </cell>
        </row>
      </sheetData>
      <sheetData sheetId="3">
        <row r="130">
          <cell r="DA130">
            <v>970543</v>
          </cell>
          <cell r="DB130">
            <v>970543</v>
          </cell>
          <cell r="DC130">
            <v>970543</v>
          </cell>
          <cell r="DD130">
            <v>2022414</v>
          </cell>
          <cell r="DE130">
            <v>2022414</v>
          </cell>
          <cell r="DF130">
            <v>2022414</v>
          </cell>
          <cell r="DG130">
            <v>1746795</v>
          </cell>
          <cell r="DH130">
            <v>1746795</v>
          </cell>
          <cell r="DI130">
            <v>1746795</v>
          </cell>
          <cell r="DJ130">
            <v>1746795</v>
          </cell>
          <cell r="DK130">
            <v>1746795</v>
          </cell>
          <cell r="DL130">
            <v>1746795</v>
          </cell>
          <cell r="DM130">
            <v>1746795</v>
          </cell>
          <cell r="DP130">
            <v>1746795</v>
          </cell>
          <cell r="DQ130">
            <v>1746795</v>
          </cell>
          <cell r="DR130">
            <v>1746795</v>
          </cell>
          <cell r="DS130">
            <v>1746795</v>
          </cell>
          <cell r="DT130">
            <v>1746795</v>
          </cell>
          <cell r="DU130">
            <v>1746795</v>
          </cell>
          <cell r="DV130">
            <v>1746795</v>
          </cell>
          <cell r="DW130">
            <v>1746795</v>
          </cell>
          <cell r="DX130">
            <v>1746795</v>
          </cell>
          <cell r="DY130">
            <v>1746795</v>
          </cell>
          <cell r="DZ130">
            <v>1746795</v>
          </cell>
          <cell r="EA130">
            <v>1746795</v>
          </cell>
          <cell r="EB130">
            <v>1746795</v>
          </cell>
        </row>
        <row r="132">
          <cell r="DA132">
            <v>-4082724</v>
          </cell>
          <cell r="DB132">
            <v>-4082724</v>
          </cell>
          <cell r="DC132">
            <v>-4082724</v>
          </cell>
          <cell r="DD132">
            <v>-727963</v>
          </cell>
          <cell r="DE132">
            <v>-727963</v>
          </cell>
          <cell r="DF132">
            <v>-727963</v>
          </cell>
          <cell r="DG132">
            <v>-719976</v>
          </cell>
          <cell r="DH132">
            <v>-725287.28808689071</v>
          </cell>
          <cell r="DI132">
            <v>-730598.41085078195</v>
          </cell>
          <cell r="DJ132">
            <v>-735909.53361467284</v>
          </cell>
          <cell r="DK132">
            <v>-748196.04646482423</v>
          </cell>
          <cell r="DL132">
            <v>-746839.31653570361</v>
          </cell>
          <cell r="DM132">
            <v>-745482.58660658298</v>
          </cell>
          <cell r="DP132">
            <v>-727874.28353272099</v>
          </cell>
          <cell r="DQ132">
            <v>-726607.1018137834</v>
          </cell>
          <cell r="DR132">
            <v>-725452.15618995158</v>
          </cell>
          <cell r="DS132">
            <v>-724405.82614202879</v>
          </cell>
          <cell r="DT132">
            <v>-723471.73218921176</v>
          </cell>
          <cell r="DU132">
            <v>-722649.87433150085</v>
          </cell>
          <cell r="DV132">
            <v>-721936.63204969873</v>
          </cell>
          <cell r="DW132">
            <v>-727577.32958444604</v>
          </cell>
          <cell r="DX132">
            <v>-727154.28584899183</v>
          </cell>
          <cell r="DY132">
            <v>-726827.67120029544</v>
          </cell>
          <cell r="DZ132">
            <v>-726597.48563835723</v>
          </cell>
          <cell r="EA132">
            <v>-724748.22413475881</v>
          </cell>
          <cell r="EB132">
            <v>-724701.56489923084</v>
          </cell>
        </row>
        <row r="134">
          <cell r="DA134">
            <v>-894648</v>
          </cell>
          <cell r="DB134">
            <v>-894648</v>
          </cell>
          <cell r="DC134">
            <v>-894648</v>
          </cell>
          <cell r="DD134">
            <v>-847457</v>
          </cell>
          <cell r="DE134">
            <v>-847457</v>
          </cell>
          <cell r="DF134">
            <v>-847457</v>
          </cell>
          <cell r="DG134">
            <v>-886040</v>
          </cell>
          <cell r="DH134">
            <v>-886040</v>
          </cell>
          <cell r="DI134">
            <v>-886040</v>
          </cell>
          <cell r="DJ134">
            <v>-886040</v>
          </cell>
          <cell r="DK134">
            <v>-886040</v>
          </cell>
          <cell r="DL134">
            <v>-886040</v>
          </cell>
          <cell r="DM134">
            <v>-886040</v>
          </cell>
          <cell r="DP134">
            <v>-886040</v>
          </cell>
          <cell r="DQ134">
            <v>-886040</v>
          </cell>
          <cell r="DR134">
            <v>-886040</v>
          </cell>
          <cell r="DS134">
            <v>-886040</v>
          </cell>
          <cell r="DT134">
            <v>-886040</v>
          </cell>
          <cell r="DU134">
            <v>-886040</v>
          </cell>
          <cell r="DV134">
            <v>-886040</v>
          </cell>
          <cell r="DW134">
            <v>-886040</v>
          </cell>
          <cell r="DX134">
            <v>-886040</v>
          </cell>
          <cell r="DY134">
            <v>-886040</v>
          </cell>
          <cell r="DZ134">
            <v>-886040</v>
          </cell>
          <cell r="EA134">
            <v>-886040</v>
          </cell>
          <cell r="EB134">
            <v>-886040</v>
          </cell>
        </row>
        <row r="135"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9"/>
      <sheetName val="Div 91"/>
    </sheetNames>
    <sheetDataSet>
      <sheetData sheetId="0">
        <row r="13">
          <cell r="J13">
            <v>796177.7</v>
          </cell>
          <cell r="K13">
            <v>785153.87</v>
          </cell>
          <cell r="L13">
            <v>784131.87</v>
          </cell>
          <cell r="M13">
            <v>786031.87</v>
          </cell>
          <cell r="N13">
            <v>714675.29</v>
          </cell>
          <cell r="O13">
            <v>707426.83</v>
          </cell>
          <cell r="P13">
            <v>705984.83</v>
          </cell>
          <cell r="Q13">
            <v>747234.09333333327</v>
          </cell>
          <cell r="R13">
            <v>747234.09333333327</v>
          </cell>
          <cell r="S13">
            <v>747234.09333333327</v>
          </cell>
          <cell r="T13">
            <v>747234.09333333327</v>
          </cell>
          <cell r="U13">
            <v>747234.09333333327</v>
          </cell>
          <cell r="V13">
            <v>747234.09333333327</v>
          </cell>
          <cell r="Y13">
            <v>747234.09333333327</v>
          </cell>
          <cell r="Z13">
            <v>747234.09333333327</v>
          </cell>
          <cell r="AA13">
            <v>747234.09333333327</v>
          </cell>
          <cell r="AB13">
            <v>747234.09333333327</v>
          </cell>
          <cell r="AC13">
            <v>747234.09333333327</v>
          </cell>
          <cell r="AD13">
            <v>747234.09333333327</v>
          </cell>
          <cell r="AE13">
            <v>747234.09333333327</v>
          </cell>
          <cell r="AF13">
            <v>747234.09333333327</v>
          </cell>
          <cell r="AG13">
            <v>747234.09333333327</v>
          </cell>
          <cell r="AH13">
            <v>747234.09333333327</v>
          </cell>
          <cell r="AI13">
            <v>747234.09333333327</v>
          </cell>
          <cell r="AJ13">
            <v>747234.09333333327</v>
          </cell>
          <cell r="AK13">
            <v>747234.09333333327</v>
          </cell>
        </row>
      </sheetData>
      <sheetData sheetId="1">
        <row r="13"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002"/>
      <sheetName val="Division 012"/>
      <sheetName val="Division 091"/>
      <sheetName val="Division 009"/>
      <sheetName val="Data"/>
      <sheetName val="Report Parameters1 - Atmos-Acc"/>
    </sheetNames>
    <sheetDataSet>
      <sheetData sheetId="0">
        <row r="43">
          <cell r="C43">
            <v>-8.7311491370201111E-11</v>
          </cell>
          <cell r="D43">
            <v>-2.9103830456733704E-11</v>
          </cell>
          <cell r="E43">
            <v>1.8630430531629827E-11</v>
          </cell>
          <cell r="F43">
            <v>-7.2759576141834259E-12</v>
          </cell>
          <cell r="G43">
            <v>4.3655745685100555E-11</v>
          </cell>
          <cell r="H43">
            <v>-1.4551915228366852E-11</v>
          </cell>
        </row>
        <row r="44">
          <cell r="C44">
            <v>9.9999997930808604E-3</v>
          </cell>
          <cell r="D44">
            <v>-9.9999999270181661E-3</v>
          </cell>
          <cell r="E44">
            <v>-9.9999998905957455E-3</v>
          </cell>
          <cell r="F44">
            <v>-7.3349326612515142E-11</v>
          </cell>
          <cell r="G44">
            <v>-1.936228954946273E-13</v>
          </cell>
          <cell r="H44">
            <v>-1095600.9999999995</v>
          </cell>
        </row>
        <row r="45">
          <cell r="C45">
            <v>-377820.12</v>
          </cell>
          <cell r="D45">
            <v>-245393.37</v>
          </cell>
          <cell r="E45">
            <v>-62549759</v>
          </cell>
          <cell r="F45">
            <v>-447509.79000000004</v>
          </cell>
          <cell r="G45">
            <v>5945.6299999999756</v>
          </cell>
          <cell r="H45">
            <v>-2863335</v>
          </cell>
        </row>
        <row r="46">
          <cell r="C46">
            <v>0</v>
          </cell>
          <cell r="D46">
            <v>0</v>
          </cell>
          <cell r="E46">
            <v>58487089</v>
          </cell>
          <cell r="F46">
            <v>0</v>
          </cell>
          <cell r="G46">
            <v>0</v>
          </cell>
          <cell r="H46">
            <v>4821694</v>
          </cell>
        </row>
        <row r="57">
          <cell r="C57">
            <v>0</v>
          </cell>
          <cell r="D57">
            <v>0</v>
          </cell>
          <cell r="E57">
            <v>11697.349999999999</v>
          </cell>
          <cell r="F57">
            <v>-5627.96</v>
          </cell>
          <cell r="G57">
            <v>913.13</v>
          </cell>
          <cell r="H57">
            <v>0</v>
          </cell>
        </row>
        <row r="58">
          <cell r="C58">
            <v>105093.06</v>
          </cell>
          <cell r="D58">
            <v>437.56999999999994</v>
          </cell>
          <cell r="E58">
            <v>61169.62</v>
          </cell>
          <cell r="F58">
            <v>1554.5600000000004</v>
          </cell>
          <cell r="G58">
            <v>605.97</v>
          </cell>
          <cell r="H58">
            <v>425.95000000000005</v>
          </cell>
        </row>
        <row r="59">
          <cell r="C59">
            <v>6615.1800000000012</v>
          </cell>
          <cell r="D59">
            <v>3692.97</v>
          </cell>
          <cell r="E59">
            <v>4171.82</v>
          </cell>
          <cell r="F59">
            <v>-6957.86</v>
          </cell>
          <cell r="G59">
            <v>5773.13</v>
          </cell>
          <cell r="H59">
            <v>3329.45</v>
          </cell>
        </row>
        <row r="60">
          <cell r="C60">
            <v>0</v>
          </cell>
          <cell r="D60">
            <v>0</v>
          </cell>
          <cell r="E60">
            <v>22774820.939999998</v>
          </cell>
          <cell r="F60">
            <v>2090628.03</v>
          </cell>
          <cell r="G60">
            <v>51305.329999999994</v>
          </cell>
          <cell r="H60">
            <v>-237350.62</v>
          </cell>
        </row>
        <row r="61">
          <cell r="C61">
            <v>5314.14</v>
          </cell>
          <cell r="D61">
            <v>4451.7900000000009</v>
          </cell>
          <cell r="E61">
            <v>11757.28</v>
          </cell>
          <cell r="F61">
            <v>9548.5999999999985</v>
          </cell>
          <cell r="G61">
            <v>10028.459999999999</v>
          </cell>
          <cell r="H61">
            <v>9467.9599999999991</v>
          </cell>
        </row>
        <row r="62">
          <cell r="C62">
            <v>8288.11</v>
          </cell>
          <cell r="D62">
            <v>0</v>
          </cell>
          <cell r="E62">
            <v>346.65999999999997</v>
          </cell>
          <cell r="F62">
            <v>0</v>
          </cell>
          <cell r="G62">
            <v>0</v>
          </cell>
          <cell r="H62">
            <v>19.329999999999998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1009.4100000000001</v>
          </cell>
          <cell r="H63">
            <v>590.86</v>
          </cell>
        </row>
        <row r="64">
          <cell r="C64">
            <v>205452.03000000044</v>
          </cell>
          <cell r="D64">
            <v>-627908.35999999952</v>
          </cell>
          <cell r="E64">
            <v>-2192440.3900000015</v>
          </cell>
          <cell r="F64">
            <v>-401667.04</v>
          </cell>
          <cell r="G64">
            <v>-899220.40000000037</v>
          </cell>
          <cell r="H64">
            <v>-5306855.2700000005</v>
          </cell>
        </row>
        <row r="65">
          <cell r="C65">
            <v>2142789.89</v>
          </cell>
          <cell r="D65">
            <v>1771426.0000000002</v>
          </cell>
          <cell r="E65">
            <v>1682549.0900000017</v>
          </cell>
          <cell r="F65">
            <v>2041980.0199999998</v>
          </cell>
          <cell r="G65">
            <v>1933264.6700000002</v>
          </cell>
          <cell r="H65">
            <v>2210856.0799999987</v>
          </cell>
        </row>
        <row r="66">
          <cell r="C66">
            <v>-8771029.8199999966</v>
          </cell>
          <cell r="D66">
            <v>-7951782.2399999928</v>
          </cell>
          <cell r="E66">
            <v>-10587389.510000018</v>
          </cell>
          <cell r="F66">
            <v>-8252355.5500000073</v>
          </cell>
          <cell r="G66">
            <v>-13352610.350000011</v>
          </cell>
          <cell r="H66">
            <v>-5009611.8700000076</v>
          </cell>
        </row>
        <row r="67">
          <cell r="C67">
            <v>689944.08</v>
          </cell>
          <cell r="D67">
            <v>802488.29</v>
          </cell>
          <cell r="E67">
            <v>1004663.3899999999</v>
          </cell>
          <cell r="F67">
            <v>1133846.07</v>
          </cell>
          <cell r="G67">
            <v>1038731.66</v>
          </cell>
          <cell r="H67">
            <v>1348513.2000000002</v>
          </cell>
        </row>
        <row r="68">
          <cell r="C68">
            <v>11426.37</v>
          </cell>
          <cell r="D68">
            <v>11426.37</v>
          </cell>
          <cell r="E68">
            <v>10818.54</v>
          </cell>
          <cell r="F68">
            <v>10818.54</v>
          </cell>
          <cell r="G68">
            <v>10818.54</v>
          </cell>
          <cell r="H68">
            <v>10818.54</v>
          </cell>
        </row>
        <row r="69">
          <cell r="C69">
            <v>1587462.79</v>
          </cell>
          <cell r="D69">
            <v>1587212.5</v>
          </cell>
          <cell r="E69">
            <v>1877081.03</v>
          </cell>
          <cell r="F69">
            <v>1587312.98</v>
          </cell>
          <cell r="G69">
            <v>1587108.86</v>
          </cell>
          <cell r="H69">
            <v>1084488.76</v>
          </cell>
        </row>
        <row r="70">
          <cell r="C70">
            <v>2898621.8099999959</v>
          </cell>
          <cell r="D70">
            <v>3461897.68</v>
          </cell>
          <cell r="E70">
            <v>5497584.4900000039</v>
          </cell>
          <cell r="F70">
            <v>3538375.3599999989</v>
          </cell>
          <cell r="G70">
            <v>9024586.9699999951</v>
          </cell>
          <cell r="H70">
            <v>4392184.0100000063</v>
          </cell>
        </row>
        <row r="71">
          <cell r="C71">
            <v>579195.31999999995</v>
          </cell>
          <cell r="D71">
            <v>377496.01000000007</v>
          </cell>
          <cell r="E71">
            <v>2956335.5599999996</v>
          </cell>
          <cell r="F71">
            <v>386905.63</v>
          </cell>
          <cell r="G71">
            <v>186525.19</v>
          </cell>
          <cell r="H71">
            <v>263397.25999999995</v>
          </cell>
        </row>
        <row r="72">
          <cell r="C72">
            <v>506336.29999999993</v>
          </cell>
          <cell r="D72">
            <v>515892.06000000011</v>
          </cell>
          <cell r="E72">
            <v>421345.29999999987</v>
          </cell>
          <cell r="F72">
            <v>109296.61</v>
          </cell>
          <cell r="G72">
            <v>405037.73</v>
          </cell>
          <cell r="H72">
            <v>456119.71999999986</v>
          </cell>
        </row>
        <row r="73">
          <cell r="C73">
            <v>24040.230000000003</v>
          </cell>
          <cell r="D73">
            <v>45827.970000000008</v>
          </cell>
          <cell r="E73">
            <v>4366.8500000000004</v>
          </cell>
          <cell r="F73">
            <v>30115.31</v>
          </cell>
          <cell r="G73">
            <v>47042.729999999996</v>
          </cell>
          <cell r="H73">
            <v>34153.919999999998</v>
          </cell>
        </row>
      </sheetData>
      <sheetData sheetId="1">
        <row r="31">
          <cell r="C31">
            <v>5.7639226724859327E-11</v>
          </cell>
          <cell r="D31">
            <v>0</v>
          </cell>
          <cell r="E31">
            <v>0</v>
          </cell>
          <cell r="F31">
            <v>-1.1641532182693481E-10</v>
          </cell>
          <cell r="G31">
            <v>9.7315933089703321E-11</v>
          </cell>
          <cell r="H31">
            <v>-8.7311491370201111E-11</v>
          </cell>
        </row>
        <row r="32">
          <cell r="C32">
            <v>1.3926637620897964E-11</v>
          </cell>
          <cell r="D32">
            <v>-1.6143530956469476E-11</v>
          </cell>
          <cell r="E32">
            <v>-6.986056177993305E-11</v>
          </cell>
          <cell r="F32">
            <v>1.0000000021543443E-2</v>
          </cell>
          <cell r="G32">
            <v>2.1827872842550278E-11</v>
          </cell>
          <cell r="H32">
            <v>-2.9103830456733704E-11</v>
          </cell>
        </row>
        <row r="37">
          <cell r="C37">
            <v>0</v>
          </cell>
          <cell r="D37">
            <v>395</v>
          </cell>
          <cell r="E37">
            <v>0</v>
          </cell>
          <cell r="F37">
            <v>0</v>
          </cell>
          <cell r="G37">
            <v>1136.92</v>
          </cell>
          <cell r="H37">
            <v>3315.76</v>
          </cell>
        </row>
        <row r="38">
          <cell r="C38">
            <v>1599.32</v>
          </cell>
          <cell r="D38">
            <v>1400.53</v>
          </cell>
          <cell r="E38">
            <v>1614.3</v>
          </cell>
          <cell r="F38">
            <v>1672.3899999999999</v>
          </cell>
          <cell r="G38">
            <v>1408.5</v>
          </cell>
          <cell r="H38">
            <v>1470.71</v>
          </cell>
        </row>
        <row r="40">
          <cell r="C40">
            <v>352196.32999999996</v>
          </cell>
          <cell r="D40">
            <v>307312.05</v>
          </cell>
          <cell r="E40">
            <v>349670.04999999993</v>
          </cell>
          <cell r="F40">
            <v>327959.96000000002</v>
          </cell>
          <cell r="G40">
            <v>361871.54000000004</v>
          </cell>
          <cell r="H40">
            <v>319906.17</v>
          </cell>
        </row>
        <row r="41">
          <cell r="C41">
            <v>1741679.5099999995</v>
          </cell>
          <cell r="D41">
            <v>1492515.87</v>
          </cell>
          <cell r="E41">
            <v>1708357.45</v>
          </cell>
          <cell r="F41">
            <v>1522186.24</v>
          </cell>
          <cell r="G41">
            <v>1617145.7900000003</v>
          </cell>
          <cell r="H41">
            <v>1504396.51</v>
          </cell>
        </row>
        <row r="42">
          <cell r="C42">
            <v>372337.49999999988</v>
          </cell>
          <cell r="D42">
            <v>306657.81</v>
          </cell>
          <cell r="E42">
            <v>349705.97000000003</v>
          </cell>
          <cell r="F42">
            <v>390956.49000000005</v>
          </cell>
          <cell r="G42">
            <v>367637.88000000006</v>
          </cell>
          <cell r="H42">
            <v>344048.59999999992</v>
          </cell>
        </row>
        <row r="43">
          <cell r="C43">
            <v>589411.78000000014</v>
          </cell>
          <cell r="D43">
            <v>605657.49</v>
          </cell>
          <cell r="E43">
            <v>714835.34000000008</v>
          </cell>
          <cell r="F43">
            <v>706341.24000000022</v>
          </cell>
          <cell r="G43">
            <v>644057.04999999993</v>
          </cell>
          <cell r="H43">
            <v>628961.27</v>
          </cell>
        </row>
        <row r="44">
          <cell r="C44">
            <v>-4107535.8400000003</v>
          </cell>
          <cell r="D44">
            <v>-3616023.3699999996</v>
          </cell>
          <cell r="E44">
            <v>-3896278.8499999996</v>
          </cell>
          <cell r="F44">
            <v>-3884435.4500000007</v>
          </cell>
          <cell r="G44">
            <v>-4070220.4099999997</v>
          </cell>
          <cell r="H44">
            <v>-3717146.5799999996</v>
          </cell>
        </row>
        <row r="45">
          <cell r="C45">
            <v>85331.510000000009</v>
          </cell>
          <cell r="D45">
            <v>57129.81</v>
          </cell>
          <cell r="E45">
            <v>52402.36</v>
          </cell>
          <cell r="F45">
            <v>61633.69</v>
          </cell>
          <cell r="G45">
            <v>103506.25</v>
          </cell>
          <cell r="H45">
            <v>59967.729999999996</v>
          </cell>
        </row>
        <row r="46">
          <cell r="C46">
            <v>8105.89</v>
          </cell>
          <cell r="D46">
            <v>8105.89</v>
          </cell>
          <cell r="E46">
            <v>7660.39</v>
          </cell>
          <cell r="F46">
            <v>7660.39</v>
          </cell>
          <cell r="G46">
            <v>7660.39</v>
          </cell>
          <cell r="H46">
            <v>7660.39</v>
          </cell>
        </row>
        <row r="47">
          <cell r="C47">
            <v>17.28</v>
          </cell>
          <cell r="D47">
            <v>17.28</v>
          </cell>
          <cell r="E47">
            <v>17.28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823774.28000000014</v>
          </cell>
          <cell r="D48">
            <v>704864.38000000012</v>
          </cell>
          <cell r="E48">
            <v>579503.47000000009</v>
          </cell>
          <cell r="F48">
            <v>731729.77999999991</v>
          </cell>
          <cell r="G48">
            <v>834566.24999999965</v>
          </cell>
          <cell r="H48">
            <v>715361.59</v>
          </cell>
        </row>
        <row r="49">
          <cell r="C49">
            <v>131073.48000000001</v>
          </cell>
          <cell r="D49">
            <v>131911.15</v>
          </cell>
          <cell r="E49">
            <v>131577.41</v>
          </cell>
          <cell r="F49">
            <v>134295.28</v>
          </cell>
          <cell r="G49">
            <v>131229.85999999999</v>
          </cell>
          <cell r="H49">
            <v>131089.63999999998</v>
          </cell>
        </row>
        <row r="50">
          <cell r="C50">
            <v>2008.94</v>
          </cell>
          <cell r="D50">
            <v>56.08</v>
          </cell>
          <cell r="E50">
            <v>934.84</v>
          </cell>
          <cell r="F50">
            <v>0</v>
          </cell>
          <cell r="G50">
            <v>0</v>
          </cell>
          <cell r="H50">
            <v>968.25</v>
          </cell>
        </row>
      </sheetData>
      <sheetData sheetId="2">
        <row r="48">
          <cell r="C48">
            <v>-4.2632564145606011E-13</v>
          </cell>
          <cell r="D48">
            <v>-2.9842794901924208E-13</v>
          </cell>
          <cell r="E48">
            <v>-1.2789769243681803E-13</v>
          </cell>
          <cell r="F48">
            <v>-2.8421709430404007E-13</v>
          </cell>
          <cell r="G48">
            <v>-2.5579538487363607E-13</v>
          </cell>
          <cell r="H48">
            <v>1.0000000000118803E-2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1">
          <cell r="C51">
            <v>1.0000000009313226E-2</v>
          </cell>
          <cell r="D51">
            <v>-6.1186167243931777E-11</v>
          </cell>
          <cell r="E51">
            <v>-9.9999999931128514E-3</v>
          </cell>
          <cell r="F51">
            <v>8.8817841970012523E-13</v>
          </cell>
          <cell r="G51">
            <v>1.9999999981905603E-2</v>
          </cell>
          <cell r="H51">
            <v>113942.48999999989</v>
          </cell>
        </row>
        <row r="52">
          <cell r="C52">
            <v>3834544.8</v>
          </cell>
          <cell r="D52">
            <v>3389683.01</v>
          </cell>
          <cell r="E52">
            <v>-7662726</v>
          </cell>
          <cell r="F52">
            <v>1775436.38</v>
          </cell>
          <cell r="G52">
            <v>196481.18</v>
          </cell>
          <cell r="H52">
            <v>-2273799</v>
          </cell>
        </row>
        <row r="53">
          <cell r="C53">
            <v>0</v>
          </cell>
          <cell r="D53">
            <v>0</v>
          </cell>
          <cell r="E53">
            <v>-2891816</v>
          </cell>
          <cell r="F53">
            <v>0</v>
          </cell>
          <cell r="G53">
            <v>0</v>
          </cell>
          <cell r="H53">
            <v>302296</v>
          </cell>
        </row>
        <row r="58">
          <cell r="C58">
            <v>47.02</v>
          </cell>
          <cell r="D58">
            <v>48.37</v>
          </cell>
          <cell r="E58">
            <v>44.57</v>
          </cell>
          <cell r="F58">
            <v>43.43</v>
          </cell>
          <cell r="G58">
            <v>39.32</v>
          </cell>
          <cell r="H58">
            <v>41.59</v>
          </cell>
        </row>
        <row r="59">
          <cell r="C59">
            <v>48.879999999999995</v>
          </cell>
          <cell r="D59">
            <v>50.289999999999964</v>
          </cell>
          <cell r="E59">
            <v>46.340000000000032</v>
          </cell>
          <cell r="F59">
            <v>45.160000000000025</v>
          </cell>
          <cell r="G59">
            <v>40.880000000000024</v>
          </cell>
          <cell r="H59">
            <v>36.180000000000035</v>
          </cell>
        </row>
        <row r="60">
          <cell r="C60">
            <v>383.55</v>
          </cell>
          <cell r="D60">
            <v>10.26</v>
          </cell>
          <cell r="E60">
            <v>502</v>
          </cell>
          <cell r="F60">
            <v>70.14</v>
          </cell>
          <cell r="G60">
            <v>9.85</v>
          </cell>
          <cell r="H60">
            <v>599.29</v>
          </cell>
        </row>
        <row r="61">
          <cell r="C61">
            <v>519.27</v>
          </cell>
          <cell r="D61">
            <v>411.45000000000005</v>
          </cell>
          <cell r="E61">
            <v>374.24</v>
          </cell>
          <cell r="F61">
            <v>192.34</v>
          </cell>
          <cell r="G61">
            <v>111.9</v>
          </cell>
          <cell r="H61">
            <v>107.28</v>
          </cell>
        </row>
        <row r="62">
          <cell r="C62">
            <v>3345.0399999999995</v>
          </cell>
          <cell r="D62">
            <v>956.67000000000007</v>
          </cell>
          <cell r="E62">
            <v>2383.56</v>
          </cell>
          <cell r="F62">
            <v>3108.65</v>
          </cell>
          <cell r="G62">
            <v>841.48</v>
          </cell>
          <cell r="H62">
            <v>571.55999999999995</v>
          </cell>
        </row>
        <row r="63">
          <cell r="C63">
            <v>62.850000000000023</v>
          </cell>
          <cell r="D63">
            <v>64.649999999999977</v>
          </cell>
          <cell r="E63">
            <v>59.569999999999993</v>
          </cell>
          <cell r="F63">
            <v>58.06</v>
          </cell>
          <cell r="G63">
            <v>52.56</v>
          </cell>
          <cell r="H63">
            <v>46.520000000000039</v>
          </cell>
        </row>
        <row r="64">
          <cell r="C64">
            <v>94.04</v>
          </cell>
          <cell r="D64">
            <v>96.74</v>
          </cell>
          <cell r="E64">
            <v>89.14</v>
          </cell>
          <cell r="F64">
            <v>86.87</v>
          </cell>
          <cell r="G64">
            <v>78.63</v>
          </cell>
          <cell r="H64">
            <v>83.19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444.74</v>
          </cell>
        </row>
        <row r="66">
          <cell r="C66">
            <v>293118.21000000002</v>
          </cell>
          <cell r="D66">
            <v>240515.67999999993</v>
          </cell>
          <cell r="E66">
            <v>223258.58999999997</v>
          </cell>
          <cell r="F66">
            <v>246464.21000000008</v>
          </cell>
          <cell r="G66">
            <v>254197.18999999994</v>
          </cell>
          <cell r="H66">
            <v>238115.81999999992</v>
          </cell>
        </row>
        <row r="67">
          <cell r="C67">
            <v>16631.21</v>
          </cell>
          <cell r="D67">
            <v>13456.7</v>
          </cell>
          <cell r="E67">
            <v>0</v>
          </cell>
          <cell r="F67">
            <v>2264.35</v>
          </cell>
          <cell r="G67">
            <v>0</v>
          </cell>
          <cell r="H67">
            <v>3084.98</v>
          </cell>
        </row>
        <row r="68">
          <cell r="C68">
            <v>14446.550000000003</v>
          </cell>
          <cell r="D68">
            <v>8226.41</v>
          </cell>
          <cell r="E68">
            <v>6437.23</v>
          </cell>
          <cell r="F68">
            <v>7402.23</v>
          </cell>
          <cell r="G68">
            <v>10511.759999999997</v>
          </cell>
          <cell r="H68">
            <v>-11155.189999999999</v>
          </cell>
        </row>
        <row r="69">
          <cell r="C69">
            <v>12539.320000000002</v>
          </cell>
          <cell r="D69">
            <v>9849.65</v>
          </cell>
          <cell r="E69">
            <v>13718.970000000001</v>
          </cell>
          <cell r="F69">
            <v>18886.350000000002</v>
          </cell>
          <cell r="G69">
            <v>14789.86</v>
          </cell>
          <cell r="H69">
            <v>12619.23</v>
          </cell>
        </row>
        <row r="70">
          <cell r="C70">
            <v>240</v>
          </cell>
          <cell r="D70">
            <v>3984.12</v>
          </cell>
          <cell r="E70">
            <v>4153.6000000000004</v>
          </cell>
          <cell r="F70">
            <v>0</v>
          </cell>
          <cell r="G70">
            <v>2043.1</v>
          </cell>
          <cell r="H70">
            <v>0</v>
          </cell>
        </row>
        <row r="71">
          <cell r="C71">
            <v>23863.19</v>
          </cell>
          <cell r="D71">
            <v>23776.409999999996</v>
          </cell>
          <cell r="E71">
            <v>23072.840000000004</v>
          </cell>
          <cell r="F71">
            <v>21788.320000000007</v>
          </cell>
          <cell r="G71">
            <v>23331.98</v>
          </cell>
          <cell r="H71">
            <v>23465.510000000002</v>
          </cell>
        </row>
        <row r="72">
          <cell r="C72">
            <v>1990.21</v>
          </cell>
          <cell r="D72">
            <v>2055.58</v>
          </cell>
          <cell r="E72">
            <v>3097.59</v>
          </cell>
          <cell r="F72">
            <v>2446.7799999999997</v>
          </cell>
          <cell r="G72">
            <v>2901.1800000000003</v>
          </cell>
          <cell r="H72">
            <v>2562.1</v>
          </cell>
        </row>
        <row r="73">
          <cell r="C73">
            <v>164974.76999999999</v>
          </cell>
          <cell r="D73">
            <v>161951</v>
          </cell>
          <cell r="E73">
            <v>176360.40000000002</v>
          </cell>
          <cell r="F73">
            <v>160299.22000000003</v>
          </cell>
          <cell r="G73">
            <v>168108.4</v>
          </cell>
          <cell r="H73">
            <v>148875.78999999998</v>
          </cell>
        </row>
        <row r="74">
          <cell r="C74">
            <v>79.75</v>
          </cell>
          <cell r="D74">
            <v>0</v>
          </cell>
          <cell r="E74">
            <v>61.18</v>
          </cell>
          <cell r="F74">
            <v>0</v>
          </cell>
          <cell r="G74">
            <v>394.68</v>
          </cell>
          <cell r="H74">
            <v>61.46</v>
          </cell>
        </row>
        <row r="75">
          <cell r="C75">
            <v>14900.009999999998</v>
          </cell>
          <cell r="D75">
            <v>10718.38</v>
          </cell>
          <cell r="E75">
            <v>14997.630000000001</v>
          </cell>
          <cell r="F75">
            <v>32050.83</v>
          </cell>
          <cell r="G75">
            <v>10611.88</v>
          </cell>
          <cell r="H75">
            <v>11034.450000000003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411.8</v>
          </cell>
          <cell r="H76">
            <v>126.84</v>
          </cell>
        </row>
        <row r="77">
          <cell r="C77">
            <v>-9381.69</v>
          </cell>
          <cell r="D77">
            <v>-31796</v>
          </cell>
          <cell r="E77">
            <v>-6412.89</v>
          </cell>
          <cell r="F77">
            <v>-14768.94</v>
          </cell>
          <cell r="G77">
            <v>-29538.82</v>
          </cell>
          <cell r="H77">
            <v>-14680.71</v>
          </cell>
        </row>
        <row r="78">
          <cell r="C78">
            <v>25.27</v>
          </cell>
          <cell r="D78">
            <v>280.61</v>
          </cell>
          <cell r="E78">
            <v>1997.2000000000003</v>
          </cell>
          <cell r="F78">
            <v>0</v>
          </cell>
          <cell r="G78">
            <v>0</v>
          </cell>
          <cell r="H78">
            <v>49.97</v>
          </cell>
        </row>
        <row r="79">
          <cell r="C79">
            <v>-756389.59999999963</v>
          </cell>
          <cell r="D79">
            <v>-597520.22000000067</v>
          </cell>
          <cell r="E79">
            <v>-734178.82000000007</v>
          </cell>
          <cell r="F79">
            <v>-668457.68999999994</v>
          </cell>
          <cell r="G79">
            <v>-750311.7899999998</v>
          </cell>
          <cell r="H79">
            <v>-600333.47999999975</v>
          </cell>
        </row>
        <row r="80">
          <cell r="C80">
            <v>1630</v>
          </cell>
          <cell r="D80">
            <v>1731.1899999999998</v>
          </cell>
          <cell r="E80">
            <v>13786.73</v>
          </cell>
          <cell r="F80">
            <v>7154.8099999999995</v>
          </cell>
          <cell r="G80">
            <v>8172.24</v>
          </cell>
          <cell r="H80">
            <v>22890.76</v>
          </cell>
        </row>
        <row r="81">
          <cell r="C81">
            <v>-1027.6899999999998</v>
          </cell>
          <cell r="D81">
            <v>-1105.1799999999998</v>
          </cell>
          <cell r="E81">
            <v>-1217.1300000000001</v>
          </cell>
          <cell r="F81">
            <v>-1119.44</v>
          </cell>
          <cell r="G81">
            <v>-1065.8600000000001</v>
          </cell>
          <cell r="H81">
            <v>-1092.7600000000002</v>
          </cell>
        </row>
        <row r="82">
          <cell r="C82">
            <v>19633.169999999998</v>
          </cell>
          <cell r="D82">
            <v>19705.46</v>
          </cell>
          <cell r="E82">
            <v>16366.97</v>
          </cell>
          <cell r="F82">
            <v>18873.91</v>
          </cell>
          <cell r="G82">
            <v>18864.690000000002</v>
          </cell>
          <cell r="H82">
            <v>18486.41</v>
          </cell>
        </row>
        <row r="83">
          <cell r="C83">
            <v>197785.25999999998</v>
          </cell>
          <cell r="D83">
            <v>132531.79000000004</v>
          </cell>
          <cell r="E83">
            <v>241000.5</v>
          </cell>
          <cell r="F83">
            <v>163110.41</v>
          </cell>
          <cell r="G83">
            <v>257903.08999999997</v>
          </cell>
          <cell r="H83">
            <v>143957.49</v>
          </cell>
        </row>
        <row r="84">
          <cell r="C84">
            <v>441.4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7500</v>
          </cell>
          <cell r="H85">
            <v>0</v>
          </cell>
        </row>
      </sheetData>
      <sheetData sheetId="3">
        <row r="109">
          <cell r="C109">
            <v>1669957.5100000002</v>
          </cell>
          <cell r="D109">
            <v>1669432.77</v>
          </cell>
          <cell r="E109">
            <v>1675464.78</v>
          </cell>
          <cell r="F109">
            <v>1687862.1</v>
          </cell>
          <cell r="G109">
            <v>1698141.52</v>
          </cell>
          <cell r="H109">
            <v>1711939.78</v>
          </cell>
        </row>
        <row r="110">
          <cell r="C110">
            <v>4093.11</v>
          </cell>
          <cell r="D110">
            <v>4093.11</v>
          </cell>
          <cell r="E110">
            <v>4093.11</v>
          </cell>
          <cell r="F110">
            <v>4093.11</v>
          </cell>
          <cell r="G110">
            <v>4093.11</v>
          </cell>
          <cell r="H110">
            <v>4093.11</v>
          </cell>
        </row>
        <row r="112">
          <cell r="C112">
            <v>566216.2699999999</v>
          </cell>
          <cell r="D112">
            <v>312504.24</v>
          </cell>
          <cell r="E112">
            <v>527772.14000000013</v>
          </cell>
          <cell r="F112">
            <v>552950.53</v>
          </cell>
          <cell r="G112">
            <v>656879.85999999987</v>
          </cell>
          <cell r="H112">
            <v>452393.76000000013</v>
          </cell>
        </row>
        <row r="129">
          <cell r="C129">
            <v>-18914907.850000001</v>
          </cell>
          <cell r="D129">
            <v>-17207259.700000003</v>
          </cell>
          <cell r="E129">
            <v>-12369455.85</v>
          </cell>
          <cell r="F129">
            <v>-11018917.73</v>
          </cell>
          <cell r="G129">
            <v>-6154175.7400000002</v>
          </cell>
          <cell r="H129">
            <v>-3781326.5299999993</v>
          </cell>
        </row>
        <row r="130">
          <cell r="C130">
            <v>405968.1</v>
          </cell>
          <cell r="D130">
            <v>3377819.57</v>
          </cell>
          <cell r="E130">
            <v>-677729.4</v>
          </cell>
          <cell r="F130">
            <v>1794375.08</v>
          </cell>
          <cell r="G130">
            <v>1963448</v>
          </cell>
          <cell r="H130">
            <v>45375</v>
          </cell>
        </row>
        <row r="131">
          <cell r="C131">
            <v>-8086207.9299999997</v>
          </cell>
          <cell r="D131">
            <v>-7415174.7999999998</v>
          </cell>
          <cell r="E131">
            <v>-5130721.6899999995</v>
          </cell>
          <cell r="F131">
            <v>-4548594.92</v>
          </cell>
          <cell r="G131">
            <v>-2633468.4799999995</v>
          </cell>
          <cell r="H131">
            <v>-1707133.54</v>
          </cell>
        </row>
        <row r="132">
          <cell r="C132">
            <v>-973706.71</v>
          </cell>
          <cell r="D132">
            <v>-1334353.76</v>
          </cell>
          <cell r="E132">
            <v>-899110.9</v>
          </cell>
          <cell r="F132">
            <v>-594159.13</v>
          </cell>
          <cell r="G132">
            <v>-355282.98</v>
          </cell>
          <cell r="H132">
            <v>-174114.03</v>
          </cell>
        </row>
        <row r="133">
          <cell r="C133">
            <v>87594.73</v>
          </cell>
          <cell r="D133">
            <v>1449165.56</v>
          </cell>
          <cell r="E133">
            <v>-170765.7</v>
          </cell>
          <cell r="F133">
            <v>667416.28</v>
          </cell>
          <cell r="G133">
            <v>568707</v>
          </cell>
          <cell r="H133">
            <v>44232</v>
          </cell>
        </row>
        <row r="134">
          <cell r="C134">
            <v>-505592.3</v>
          </cell>
          <cell r="D134">
            <v>248260.24000000002</v>
          </cell>
          <cell r="E134">
            <v>260988.22</v>
          </cell>
          <cell r="F134">
            <v>70106.89</v>
          </cell>
          <cell r="G134">
            <v>48981.37</v>
          </cell>
          <cell r="H134">
            <v>80943.959999999992</v>
          </cell>
        </row>
        <row r="135">
          <cell r="C135">
            <v>-1354829.99</v>
          </cell>
          <cell r="D135">
            <v>-1331272.1100000001</v>
          </cell>
          <cell r="E135">
            <v>-872594.26</v>
          </cell>
          <cell r="F135">
            <v>-783701.12000000011</v>
          </cell>
          <cell r="G135">
            <v>-441272.28000000009</v>
          </cell>
          <cell r="H135">
            <v>-251739.36</v>
          </cell>
        </row>
        <row r="136">
          <cell r="C136">
            <v>20773.28</v>
          </cell>
          <cell r="D136">
            <v>303343.87</v>
          </cell>
          <cell r="E136">
            <v>-75991.209999999992</v>
          </cell>
          <cell r="F136">
            <v>96466.27</v>
          </cell>
          <cell r="G136">
            <v>221124</v>
          </cell>
          <cell r="H136">
            <v>6068</v>
          </cell>
        </row>
        <row r="137">
          <cell r="C137">
            <v>-192879.14</v>
          </cell>
          <cell r="D137">
            <v>-230566.08</v>
          </cell>
          <cell r="E137">
            <v>-230342.12</v>
          </cell>
          <cell r="F137">
            <v>-151214.99</v>
          </cell>
          <cell r="G137">
            <v>-139652.79999999999</v>
          </cell>
          <cell r="H137">
            <v>-59470.85</v>
          </cell>
        </row>
        <row r="138">
          <cell r="C138">
            <v>-59320</v>
          </cell>
          <cell r="D138">
            <v>-48866</v>
          </cell>
          <cell r="E138">
            <v>-64491</v>
          </cell>
          <cell r="F138">
            <v>-54927</v>
          </cell>
          <cell r="G138">
            <v>-49757</v>
          </cell>
          <cell r="H138">
            <v>-54928</v>
          </cell>
        </row>
        <row r="139">
          <cell r="C139">
            <v>-2135654.7199999997</v>
          </cell>
          <cell r="D139">
            <v>-1772397.93</v>
          </cell>
          <cell r="E139">
            <v>-1770851.04</v>
          </cell>
          <cell r="F139">
            <v>-1589667.64</v>
          </cell>
          <cell r="G139">
            <v>-1412282.73</v>
          </cell>
          <cell r="H139">
            <v>-1232115.18</v>
          </cell>
        </row>
        <row r="140">
          <cell r="C140">
            <v>651059</v>
          </cell>
          <cell r="D140">
            <v>688493</v>
          </cell>
          <cell r="E140">
            <v>452336</v>
          </cell>
          <cell r="F140">
            <v>0</v>
          </cell>
          <cell r="G140">
            <v>0</v>
          </cell>
          <cell r="H140">
            <v>0</v>
          </cell>
        </row>
        <row r="141">
          <cell r="C141">
            <v>4142.43</v>
          </cell>
          <cell r="D141">
            <v>4390.79</v>
          </cell>
          <cell r="E141">
            <v>5052.87</v>
          </cell>
          <cell r="F141">
            <v>4211.0600000000004</v>
          </cell>
          <cell r="G141">
            <v>4530.34</v>
          </cell>
          <cell r="H141">
            <v>5322.71</v>
          </cell>
        </row>
        <row r="142">
          <cell r="C142">
            <v>6202228.0199999996</v>
          </cell>
          <cell r="D142">
            <v>6877704.7200000007</v>
          </cell>
          <cell r="E142">
            <v>2247878.71</v>
          </cell>
          <cell r="F142">
            <v>927969.08</v>
          </cell>
          <cell r="G142">
            <v>6008159.8899999997</v>
          </cell>
          <cell r="H142">
            <v>4785365.57</v>
          </cell>
        </row>
        <row r="143">
          <cell r="C143">
            <v>-1038.32</v>
          </cell>
          <cell r="D143">
            <v>-266.42</v>
          </cell>
          <cell r="E143">
            <v>-310.01</v>
          </cell>
          <cell r="F143">
            <v>-1325.87</v>
          </cell>
          <cell r="G143">
            <v>-63.36</v>
          </cell>
          <cell r="H143">
            <v>0</v>
          </cell>
        </row>
        <row r="144">
          <cell r="C144">
            <v>12247863.539999999</v>
          </cell>
          <cell r="D144">
            <v>10646486.09</v>
          </cell>
          <cell r="E144">
            <v>6624828.5599999996</v>
          </cell>
          <cell r="F144">
            <v>6433023.0899999999</v>
          </cell>
          <cell r="G144">
            <v>2509641.14</v>
          </cell>
          <cell r="H144">
            <v>813836.76</v>
          </cell>
        </row>
        <row r="145">
          <cell r="C145">
            <v>5664066.96</v>
          </cell>
          <cell r="D145">
            <v>4986155.1500000004</v>
          </cell>
          <cell r="E145">
            <v>3093000.9</v>
          </cell>
          <cell r="F145">
            <v>2940052.18</v>
          </cell>
          <cell r="G145">
            <v>1392501.77</v>
          </cell>
          <cell r="H145">
            <v>720018.14</v>
          </cell>
        </row>
        <row r="146">
          <cell r="C146">
            <v>839872.67</v>
          </cell>
          <cell r="D146">
            <v>1154836.7</v>
          </cell>
          <cell r="E146">
            <v>782933.51</v>
          </cell>
          <cell r="F146">
            <v>531775.71</v>
          </cell>
          <cell r="G146">
            <v>326707.57</v>
          </cell>
          <cell r="H146">
            <v>154525.03</v>
          </cell>
        </row>
        <row r="147">
          <cell r="C147">
            <v>1022753.76</v>
          </cell>
          <cell r="D147">
            <v>979168.91</v>
          </cell>
          <cell r="E147">
            <v>585698.86</v>
          </cell>
          <cell r="F147">
            <v>571222.75</v>
          </cell>
          <cell r="G147">
            <v>290609.27</v>
          </cell>
          <cell r="H147">
            <v>141188.26999999999</v>
          </cell>
        </row>
        <row r="148">
          <cell r="C148">
            <v>-125247.93</v>
          </cell>
          <cell r="D148">
            <v>-4775431.7300000004</v>
          </cell>
          <cell r="E148">
            <v>1386749.3599999999</v>
          </cell>
          <cell r="F148">
            <v>-2097362</v>
          </cell>
          <cell r="G148">
            <v>-2064133.79</v>
          </cell>
          <cell r="H148">
            <v>-132916.89000000001</v>
          </cell>
        </row>
        <row r="149">
          <cell r="C149">
            <v>-12305786.710000001</v>
          </cell>
          <cell r="D149">
            <v>-14904062.199999999</v>
          </cell>
          <cell r="E149">
            <v>-9380793.1899999995</v>
          </cell>
          <cell r="F149">
            <v>-8938833.0299999993</v>
          </cell>
          <cell r="G149">
            <v>-5948837.0899999999</v>
          </cell>
          <cell r="H149">
            <v>-3054463.42</v>
          </cell>
        </row>
        <row r="150">
          <cell r="C150">
            <v>2208043.6</v>
          </cell>
          <cell r="D150">
            <v>2687186.07</v>
          </cell>
          <cell r="E150">
            <v>1880162.88</v>
          </cell>
          <cell r="F150">
            <v>1445651.89</v>
          </cell>
          <cell r="G150">
            <v>-953989.42</v>
          </cell>
          <cell r="H150">
            <v>-1317365.48</v>
          </cell>
        </row>
        <row r="151">
          <cell r="C151">
            <v>2111350.42</v>
          </cell>
          <cell r="D151">
            <v>2831484.03</v>
          </cell>
          <cell r="E151">
            <v>3028402.48</v>
          </cell>
          <cell r="F151">
            <v>4186572.5</v>
          </cell>
          <cell r="G151">
            <v>93596.59</v>
          </cell>
          <cell r="H151">
            <v>0</v>
          </cell>
        </row>
        <row r="152">
          <cell r="C152">
            <v>-767259.71</v>
          </cell>
          <cell r="D152">
            <v>-82686.990000000005</v>
          </cell>
          <cell r="E152">
            <v>-93914.68</v>
          </cell>
          <cell r="F152">
            <v>-68390.820000000007</v>
          </cell>
          <cell r="G152">
            <v>-1292343.8</v>
          </cell>
          <cell r="H152">
            <v>-2081696.93</v>
          </cell>
        </row>
        <row r="153">
          <cell r="C153">
            <v>-3733.119999999999</v>
          </cell>
          <cell r="D153">
            <v>-4846.1900000000005</v>
          </cell>
          <cell r="E153">
            <v>-8115.1899999999987</v>
          </cell>
          <cell r="F153">
            <v>-3818.7199999999993</v>
          </cell>
          <cell r="G153">
            <v>-1045</v>
          </cell>
          <cell r="H153">
            <v>7015.07</v>
          </cell>
        </row>
        <row r="154">
          <cell r="C154">
            <v>17162.68</v>
          </cell>
          <cell r="D154">
            <v>8905.0399999999991</v>
          </cell>
          <cell r="E154">
            <v>2878.4</v>
          </cell>
          <cell r="F154">
            <v>3990.9499999999994</v>
          </cell>
          <cell r="G154">
            <v>33606.07</v>
          </cell>
          <cell r="H154">
            <v>124066.81999999999</v>
          </cell>
        </row>
        <row r="155">
          <cell r="C155">
            <v>5748.35</v>
          </cell>
          <cell r="D155">
            <v>1963.5899999999997</v>
          </cell>
          <cell r="E155">
            <v>613.67999999999995</v>
          </cell>
          <cell r="F155">
            <v>812.28000000000009</v>
          </cell>
          <cell r="G155">
            <v>1432.28</v>
          </cell>
          <cell r="H155">
            <v>1515.31</v>
          </cell>
        </row>
        <row r="156">
          <cell r="C156">
            <v>3767.84</v>
          </cell>
          <cell r="D156">
            <v>2066.5099999999998</v>
          </cell>
          <cell r="E156">
            <v>2175.2800000000002</v>
          </cell>
          <cell r="F156">
            <v>1614.34</v>
          </cell>
          <cell r="G156">
            <v>4831.5599999999995</v>
          </cell>
          <cell r="H156">
            <v>1735.18</v>
          </cell>
        </row>
        <row r="157">
          <cell r="C157">
            <v>94.86</v>
          </cell>
          <cell r="D157">
            <v>114.33</v>
          </cell>
          <cell r="E157">
            <v>104.41</v>
          </cell>
          <cell r="F157">
            <v>0</v>
          </cell>
          <cell r="G157">
            <v>100.72</v>
          </cell>
          <cell r="H157">
            <v>103.52</v>
          </cell>
        </row>
        <row r="158">
          <cell r="C158">
            <v>327.27999999999997</v>
          </cell>
          <cell r="D158">
            <v>1967.46</v>
          </cell>
          <cell r="E158">
            <v>796.03</v>
          </cell>
          <cell r="F158">
            <v>-61.56</v>
          </cell>
          <cell r="G158">
            <v>574.07999999999993</v>
          </cell>
          <cell r="H158">
            <v>278.54000000000002</v>
          </cell>
        </row>
        <row r="159">
          <cell r="C159">
            <v>16004.170000000002</v>
          </cell>
          <cell r="D159">
            <v>8232.48</v>
          </cell>
          <cell r="E159">
            <v>979.35999999999956</v>
          </cell>
          <cell r="F159">
            <v>-180.35</v>
          </cell>
          <cell r="G159">
            <v>1240.8499999999999</v>
          </cell>
          <cell r="H159">
            <v>3290.67</v>
          </cell>
        </row>
        <row r="160">
          <cell r="C160">
            <v>2637.08</v>
          </cell>
          <cell r="D160">
            <v>772.91000000000008</v>
          </cell>
          <cell r="E160">
            <v>854.21</v>
          </cell>
          <cell r="F160">
            <v>948.66000000000008</v>
          </cell>
          <cell r="G160">
            <v>406.31</v>
          </cell>
          <cell r="H160">
            <v>535.35</v>
          </cell>
        </row>
        <row r="161">
          <cell r="C161">
            <v>459.78</v>
          </cell>
          <cell r="D161">
            <v>1020</v>
          </cell>
          <cell r="E161">
            <v>824.38</v>
          </cell>
          <cell r="F161">
            <v>88</v>
          </cell>
          <cell r="G161">
            <v>2405</v>
          </cell>
          <cell r="H161">
            <v>3015.25</v>
          </cell>
        </row>
        <row r="162">
          <cell r="C162">
            <v>0</v>
          </cell>
          <cell r="D162">
            <v>31.29</v>
          </cell>
          <cell r="E162">
            <v>1242.82</v>
          </cell>
          <cell r="F162">
            <v>-177.55</v>
          </cell>
          <cell r="G162">
            <v>1034.3799999999999</v>
          </cell>
          <cell r="H162">
            <v>-318.56</v>
          </cell>
        </row>
        <row r="163">
          <cell r="C163">
            <v>19063.29</v>
          </cell>
          <cell r="D163">
            <v>-7360.12</v>
          </cell>
          <cell r="E163">
            <v>6379.6500000000005</v>
          </cell>
          <cell r="F163">
            <v>5083.41</v>
          </cell>
          <cell r="G163">
            <v>5229.17</v>
          </cell>
          <cell r="H163">
            <v>9242.4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28.57</v>
          </cell>
          <cell r="H164">
            <v>0</v>
          </cell>
        </row>
        <row r="165">
          <cell r="C165">
            <v>39.590000000000003</v>
          </cell>
          <cell r="D165">
            <v>34.520000000000003</v>
          </cell>
          <cell r="E165">
            <v>37.520000000000003</v>
          </cell>
          <cell r="F165">
            <v>34.909999999999997</v>
          </cell>
          <cell r="G165">
            <v>35.21</v>
          </cell>
          <cell r="H165">
            <v>35.22</v>
          </cell>
        </row>
        <row r="166">
          <cell r="C166">
            <v>12455.669999999998</v>
          </cell>
          <cell r="D166">
            <v>29430.539999999997</v>
          </cell>
          <cell r="E166">
            <v>47533.689999999988</v>
          </cell>
          <cell r="F166">
            <v>35350.81</v>
          </cell>
          <cell r="G166">
            <v>49826.01</v>
          </cell>
          <cell r="H166">
            <v>43467.520000000011</v>
          </cell>
        </row>
        <row r="167">
          <cell r="C167">
            <v>2184.08</v>
          </cell>
          <cell r="D167">
            <v>10618.989999999998</v>
          </cell>
          <cell r="E167">
            <v>-1840.6700000000005</v>
          </cell>
          <cell r="F167">
            <v>1397.6299999999999</v>
          </cell>
          <cell r="G167">
            <v>2143.36</v>
          </cell>
          <cell r="H167">
            <v>1419.27</v>
          </cell>
        </row>
        <row r="168">
          <cell r="C168">
            <v>2548320.27</v>
          </cell>
          <cell r="D168">
            <v>2586250</v>
          </cell>
          <cell r="E168">
            <v>2313520.94</v>
          </cell>
          <cell r="F168">
            <v>2444145.19</v>
          </cell>
          <cell r="G168">
            <v>2088946.8499999999</v>
          </cell>
          <cell r="H168">
            <v>1662837.5500000003</v>
          </cell>
        </row>
        <row r="169">
          <cell r="C169">
            <v>0</v>
          </cell>
          <cell r="D169">
            <v>4742.46</v>
          </cell>
          <cell r="E169">
            <v>1145.7</v>
          </cell>
          <cell r="F169">
            <v>774.21</v>
          </cell>
          <cell r="G169">
            <v>2447.31</v>
          </cell>
          <cell r="H169">
            <v>-617.11999999999989</v>
          </cell>
        </row>
        <row r="170">
          <cell r="C170">
            <v>161945.13000000003</v>
          </cell>
          <cell r="D170">
            <v>57921.109999999986</v>
          </cell>
          <cell r="E170">
            <v>123487.73999999977</v>
          </cell>
          <cell r="F170">
            <v>161656.09</v>
          </cell>
          <cell r="G170">
            <v>183227.56000000032</v>
          </cell>
          <cell r="H170">
            <v>205824.88000000012</v>
          </cell>
        </row>
        <row r="171">
          <cell r="C171">
            <v>69.58</v>
          </cell>
          <cell r="D171">
            <v>218.74</v>
          </cell>
          <cell r="E171">
            <v>43.39</v>
          </cell>
          <cell r="F171">
            <v>22.45</v>
          </cell>
          <cell r="G171">
            <v>22.2</v>
          </cell>
          <cell r="H171">
            <v>90.38</v>
          </cell>
        </row>
        <row r="172">
          <cell r="C172">
            <v>0</v>
          </cell>
          <cell r="D172">
            <v>0</v>
          </cell>
          <cell r="E172">
            <v>3088.43</v>
          </cell>
          <cell r="F172">
            <v>3033.77</v>
          </cell>
          <cell r="G172">
            <v>10112.4</v>
          </cell>
          <cell r="H172">
            <v>0</v>
          </cell>
        </row>
        <row r="173">
          <cell r="C173">
            <v>361665.04000000004</v>
          </cell>
          <cell r="D173">
            <v>388134.93</v>
          </cell>
          <cell r="E173">
            <v>427162.31999999977</v>
          </cell>
          <cell r="F173">
            <v>365967.21999999991</v>
          </cell>
          <cell r="G173">
            <v>433283.29000000027</v>
          </cell>
          <cell r="H173">
            <v>539226.75999999989</v>
          </cell>
        </row>
        <row r="174">
          <cell r="C174">
            <v>105325.39000000001</v>
          </cell>
          <cell r="D174">
            <v>39732.149999999994</v>
          </cell>
          <cell r="E174">
            <v>29160.480000000007</v>
          </cell>
          <cell r="F174">
            <v>41974.970000000008</v>
          </cell>
          <cell r="G174">
            <v>68724.280000000013</v>
          </cell>
          <cell r="H174">
            <v>49620.76</v>
          </cell>
        </row>
        <row r="175">
          <cell r="C175">
            <v>5807.1399999999994</v>
          </cell>
          <cell r="D175">
            <v>9697.42</v>
          </cell>
          <cell r="E175">
            <v>17156.93</v>
          </cell>
          <cell r="F175">
            <v>7738.0599999999986</v>
          </cell>
          <cell r="G175">
            <v>12852.27</v>
          </cell>
          <cell r="H175">
            <v>12595.01</v>
          </cell>
        </row>
        <row r="176">
          <cell r="C176">
            <v>665.18999999999994</v>
          </cell>
          <cell r="D176">
            <v>466.99</v>
          </cell>
          <cell r="E176">
            <v>206.28000000000003</v>
          </cell>
          <cell r="F176">
            <v>412.46</v>
          </cell>
          <cell r="G176">
            <v>14620.42</v>
          </cell>
          <cell r="H176">
            <v>10311.620000000001</v>
          </cell>
        </row>
        <row r="177">
          <cell r="C177">
            <v>123136.80000000002</v>
          </cell>
          <cell r="D177">
            <v>64566.010000000017</v>
          </cell>
          <cell r="E177">
            <v>51528.95</v>
          </cell>
          <cell r="F177">
            <v>67477.26999999999</v>
          </cell>
          <cell r="G177">
            <v>71004.609999999971</v>
          </cell>
          <cell r="H177">
            <v>67138.600000000006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1827.44</v>
          </cell>
          <cell r="G178">
            <v>0</v>
          </cell>
          <cell r="H178">
            <v>0</v>
          </cell>
        </row>
        <row r="179">
          <cell r="C179">
            <v>732.66</v>
          </cell>
          <cell r="D179">
            <v>123.07000000000001</v>
          </cell>
          <cell r="E179">
            <v>1232.1099999999999</v>
          </cell>
          <cell r="F179">
            <v>444.54</v>
          </cell>
          <cell r="G179">
            <v>325.12</v>
          </cell>
          <cell r="H179">
            <v>698.71</v>
          </cell>
        </row>
        <row r="180">
          <cell r="C180">
            <v>38427.110000000008</v>
          </cell>
          <cell r="D180">
            <v>45087.55000000001</v>
          </cell>
          <cell r="E180">
            <v>46694.98000000001</v>
          </cell>
          <cell r="F180">
            <v>54738.010000000017</v>
          </cell>
          <cell r="G180">
            <v>40066.099999999991</v>
          </cell>
          <cell r="H180">
            <v>36209.22</v>
          </cell>
        </row>
        <row r="181">
          <cell r="C181">
            <v>37.75</v>
          </cell>
          <cell r="D181">
            <v>168.29</v>
          </cell>
          <cell r="E181">
            <v>0</v>
          </cell>
          <cell r="F181">
            <v>20.89</v>
          </cell>
          <cell r="G181">
            <v>183.35000000000002</v>
          </cell>
          <cell r="H181">
            <v>8.3800000000000008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79.86</v>
          </cell>
          <cell r="H182">
            <v>0</v>
          </cell>
        </row>
        <row r="183">
          <cell r="C183">
            <v>3557.6</v>
          </cell>
          <cell r="D183">
            <v>2537.9399999999996</v>
          </cell>
          <cell r="E183">
            <v>2437.12</v>
          </cell>
          <cell r="F183">
            <v>1169.1400000000001</v>
          </cell>
          <cell r="G183">
            <v>2175.04</v>
          </cell>
          <cell r="H183">
            <v>4206.62</v>
          </cell>
        </row>
        <row r="184">
          <cell r="C184">
            <v>9671.44</v>
          </cell>
          <cell r="D184">
            <v>8890.89</v>
          </cell>
          <cell r="E184">
            <v>3151.4299999999994</v>
          </cell>
          <cell r="F184">
            <v>8057.46</v>
          </cell>
          <cell r="G184">
            <v>1172.2100000000003</v>
          </cell>
          <cell r="H184">
            <v>8114.9599999999991</v>
          </cell>
        </row>
        <row r="185">
          <cell r="C185">
            <v>567.77</v>
          </cell>
          <cell r="D185">
            <v>-223.67000000000002</v>
          </cell>
          <cell r="E185">
            <v>463.96</v>
          </cell>
          <cell r="F185">
            <v>0</v>
          </cell>
          <cell r="G185">
            <v>419.53</v>
          </cell>
          <cell r="H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560</v>
          </cell>
        </row>
        <row r="187">
          <cell r="C187">
            <v>1873.3599999999997</v>
          </cell>
          <cell r="D187">
            <v>303.95000000000005</v>
          </cell>
          <cell r="E187">
            <v>-33.83</v>
          </cell>
          <cell r="F187">
            <v>509.33999999999992</v>
          </cell>
          <cell r="G187">
            <v>172.07999999999998</v>
          </cell>
          <cell r="H187">
            <v>732.34999999999991</v>
          </cell>
        </row>
        <row r="188">
          <cell r="C188">
            <v>657.09</v>
          </cell>
          <cell r="D188">
            <v>430.48</v>
          </cell>
          <cell r="E188">
            <v>559.29</v>
          </cell>
          <cell r="F188">
            <v>1701.3700000000001</v>
          </cell>
          <cell r="G188">
            <v>1255.1400000000001</v>
          </cell>
          <cell r="H188">
            <v>161.74</v>
          </cell>
        </row>
        <row r="189">
          <cell r="C189">
            <v>101007.06999999999</v>
          </cell>
          <cell r="D189">
            <v>103317.64999999997</v>
          </cell>
          <cell r="E189">
            <v>108554.81999999999</v>
          </cell>
          <cell r="F189">
            <v>100537.97999999997</v>
          </cell>
          <cell r="G189">
            <v>125550.17</v>
          </cell>
          <cell r="H189">
            <v>81656.400000000009</v>
          </cell>
        </row>
        <row r="190">
          <cell r="C190">
            <v>97694.84</v>
          </cell>
          <cell r="D190">
            <v>100440.28</v>
          </cell>
          <cell r="E190">
            <v>127619.04</v>
          </cell>
          <cell r="F190">
            <v>120053.23</v>
          </cell>
          <cell r="G190">
            <v>127428.33000000003</v>
          </cell>
          <cell r="H190">
            <v>142633.01999999996</v>
          </cell>
        </row>
        <row r="191">
          <cell r="C191">
            <v>47272</v>
          </cell>
          <cell r="D191">
            <v>43913</v>
          </cell>
          <cell r="E191">
            <v>37532</v>
          </cell>
          <cell r="F191">
            <v>54899</v>
          </cell>
          <cell r="G191">
            <v>22112</v>
          </cell>
          <cell r="H191">
            <v>145471</v>
          </cell>
        </row>
        <row r="192">
          <cell r="C192">
            <v>12026.800000000001</v>
          </cell>
          <cell r="D192">
            <v>8468.51</v>
          </cell>
          <cell r="E192">
            <v>11705.92</v>
          </cell>
          <cell r="F192">
            <v>11387.3</v>
          </cell>
          <cell r="G192">
            <v>12611.04</v>
          </cell>
          <cell r="H192">
            <v>11147.93</v>
          </cell>
        </row>
        <row r="193">
          <cell r="C193">
            <v>19520.36</v>
          </cell>
          <cell r="D193">
            <v>21068.82</v>
          </cell>
          <cell r="E193">
            <v>25225.98</v>
          </cell>
          <cell r="F193">
            <v>21668.09</v>
          </cell>
          <cell r="G193">
            <v>22385.53</v>
          </cell>
          <cell r="H193">
            <v>21581.869999999995</v>
          </cell>
        </row>
        <row r="194">
          <cell r="C194">
            <v>14361.869999999999</v>
          </cell>
          <cell r="D194">
            <v>15310.52</v>
          </cell>
          <cell r="E194">
            <v>4892.2999999999993</v>
          </cell>
          <cell r="F194">
            <v>9360</v>
          </cell>
          <cell r="G194">
            <v>7556.7900000000009</v>
          </cell>
          <cell r="H194">
            <v>22228.080000000002</v>
          </cell>
        </row>
        <row r="195">
          <cell r="C195">
            <v>3358</v>
          </cell>
          <cell r="D195">
            <v>3434.5</v>
          </cell>
          <cell r="E195">
            <v>7296.82</v>
          </cell>
          <cell r="F195">
            <v>1606</v>
          </cell>
          <cell r="G195">
            <v>5853.73</v>
          </cell>
          <cell r="H195">
            <v>670.66</v>
          </cell>
        </row>
        <row r="196">
          <cell r="C196">
            <v>10060.35</v>
          </cell>
          <cell r="D196">
            <v>10881.92</v>
          </cell>
          <cell r="E196">
            <v>11970.02</v>
          </cell>
          <cell r="F196">
            <v>11635.840000000002</v>
          </cell>
          <cell r="G196">
            <v>12840.22</v>
          </cell>
          <cell r="H196">
            <v>11987.77</v>
          </cell>
        </row>
        <row r="197">
          <cell r="C197">
            <v>2618.4899999999998</v>
          </cell>
          <cell r="D197">
            <v>1092.6300000000001</v>
          </cell>
          <cell r="E197">
            <v>2815.3300000000004</v>
          </cell>
          <cell r="F197">
            <v>2162.7400000000002</v>
          </cell>
          <cell r="G197">
            <v>-50</v>
          </cell>
          <cell r="H197">
            <v>2570.1599999999994</v>
          </cell>
        </row>
        <row r="198">
          <cell r="C198">
            <v>1077087.21</v>
          </cell>
          <cell r="D198">
            <v>921577.6399999999</v>
          </cell>
          <cell r="E198">
            <v>1144943.74</v>
          </cell>
          <cell r="F198">
            <v>997870.45000000007</v>
          </cell>
          <cell r="G198">
            <v>1306075.25</v>
          </cell>
          <cell r="H198">
            <v>776411.64000000013</v>
          </cell>
        </row>
        <row r="199">
          <cell r="C199">
            <v>160</v>
          </cell>
          <cell r="D199">
            <v>0</v>
          </cell>
          <cell r="E199">
            <v>15003.95</v>
          </cell>
          <cell r="F199">
            <v>6064.95</v>
          </cell>
          <cell r="G199">
            <v>256.70999999999998</v>
          </cell>
          <cell r="H199">
            <v>185986.05</v>
          </cell>
        </row>
        <row r="200">
          <cell r="C200">
            <v>14262.050000000001</v>
          </cell>
          <cell r="D200">
            <v>14560.55</v>
          </cell>
          <cell r="E200">
            <v>13925.159999999996</v>
          </cell>
          <cell r="F200">
            <v>13180.759999999998</v>
          </cell>
          <cell r="G200">
            <v>14464.279999999999</v>
          </cell>
          <cell r="H200">
            <v>14123.289999999997</v>
          </cell>
        </row>
        <row r="201">
          <cell r="C201">
            <v>2590.35</v>
          </cell>
          <cell r="D201">
            <v>3244.3199999999997</v>
          </cell>
          <cell r="E201">
            <v>7378.8200000000006</v>
          </cell>
          <cell r="F201">
            <v>4033.83</v>
          </cell>
          <cell r="G201">
            <v>26251.22</v>
          </cell>
          <cell r="H201">
            <v>1996.4799999999998</v>
          </cell>
        </row>
        <row r="202">
          <cell r="C202">
            <v>186990.49999999994</v>
          </cell>
          <cell r="D202">
            <v>142600.23000000004</v>
          </cell>
          <cell r="E202">
            <v>136940.19000000003</v>
          </cell>
          <cell r="F202">
            <v>137078.23000000004</v>
          </cell>
          <cell r="G202">
            <v>173568.5800000001</v>
          </cell>
          <cell r="H202">
            <v>139491.36999999994</v>
          </cell>
        </row>
        <row r="203">
          <cell r="C203">
            <v>0</v>
          </cell>
          <cell r="D203">
            <v>408.39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C204">
            <v>-5239.2</v>
          </cell>
          <cell r="D204">
            <v>5750.21</v>
          </cell>
          <cell r="E204">
            <v>22134.719999999998</v>
          </cell>
          <cell r="F204">
            <v>21252.720000000001</v>
          </cell>
          <cell r="G204">
            <v>-139296.40000000002</v>
          </cell>
          <cell r="H204">
            <v>20951.13</v>
          </cell>
        </row>
        <row r="205">
          <cell r="C205">
            <v>20219.580000000002</v>
          </cell>
          <cell r="D205">
            <v>4981.92</v>
          </cell>
          <cell r="E205">
            <v>4023.58</v>
          </cell>
          <cell r="F205">
            <v>13198.58</v>
          </cell>
          <cell r="G205">
            <v>3648.58</v>
          </cell>
          <cell r="H205">
            <v>5221.66</v>
          </cell>
        </row>
        <row r="206">
          <cell r="C206">
            <v>1304.52</v>
          </cell>
          <cell r="D206">
            <v>1304.52</v>
          </cell>
          <cell r="E206">
            <v>1304.52</v>
          </cell>
          <cell r="F206">
            <v>1304.52</v>
          </cell>
          <cell r="G206">
            <v>1299.57</v>
          </cell>
          <cell r="H206">
            <v>1299.57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11000</v>
          </cell>
        </row>
      </sheetData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"/>
      <sheetName val="Div 12 history "/>
      <sheetName val="Div 9 history "/>
      <sheetName val="Div 91 history"/>
      <sheetName val="Div 002 FY19 Budget "/>
      <sheetName val="Div 012 FY19 Budget"/>
      <sheetName val="Div 009 FY19 Budget"/>
      <sheetName val="Div 091 FY19 Budget"/>
      <sheetName val="incent comp w cap credits"/>
      <sheetName val="final summary"/>
      <sheetName val="adjustment"/>
      <sheetName val="CPI Index"/>
      <sheetName val="Escalation"/>
      <sheetName val="SS Controller 1903"/>
    </sheetNames>
    <sheetDataSet>
      <sheetData sheetId="0"/>
      <sheetData sheetId="1">
        <row r="6">
          <cell r="C6">
            <v>5297266.2966</v>
          </cell>
          <cell r="D6">
            <v>5117357.1447500009</v>
          </cell>
        </row>
        <row r="7">
          <cell r="C7">
            <v>1713543.0034999999</v>
          </cell>
          <cell r="D7">
            <v>1696574.2489777708</v>
          </cell>
        </row>
        <row r="10">
          <cell r="C10">
            <v>630786.51000000013</v>
          </cell>
          <cell r="D10">
            <v>527796.22000000009</v>
          </cell>
        </row>
        <row r="22">
          <cell r="C22">
            <v>549343.45279999997</v>
          </cell>
          <cell r="D22">
            <v>341050.48677183327</v>
          </cell>
        </row>
        <row r="25">
          <cell r="C25">
            <v>15500391.191800002</v>
          </cell>
          <cell r="D25">
            <v>14516369.008199604</v>
          </cell>
          <cell r="G25">
            <v>8195675.8383012088</v>
          </cell>
          <cell r="H25">
            <v>8531812.7415558957</v>
          </cell>
          <cell r="K25">
            <v>4835070.1853499217</v>
          </cell>
          <cell r="L25">
            <v>5966951.4463564577</v>
          </cell>
        </row>
      </sheetData>
      <sheetData sheetId="2">
        <row r="68">
          <cell r="AH68"/>
          <cell r="AI68"/>
        </row>
        <row r="288">
          <cell r="F288">
            <v>654790.25</v>
          </cell>
          <cell r="G288">
            <v>771585.18</v>
          </cell>
          <cell r="H288">
            <v>905914.93</v>
          </cell>
          <cell r="I288">
            <v>1123320.44</v>
          </cell>
          <cell r="J288">
            <v>1011710.79</v>
          </cell>
          <cell r="K288">
            <v>1185665.95</v>
          </cell>
          <cell r="L288">
            <v>787089.95504507073</v>
          </cell>
          <cell r="M288">
            <v>751607.82571424555</v>
          </cell>
          <cell r="N288">
            <v>854401.69536207069</v>
          </cell>
          <cell r="O288">
            <v>841987.79190015409</v>
          </cell>
          <cell r="P288">
            <v>823628.58748140291</v>
          </cell>
          <cell r="Q288">
            <v>863518.65708287887</v>
          </cell>
          <cell r="U288">
            <v>869228.52323220449</v>
          </cell>
          <cell r="V288">
            <v>859808.08735269704</v>
          </cell>
          <cell r="W288">
            <v>933319.57742681482</v>
          </cell>
          <cell r="X288">
            <v>897944.27353523683</v>
          </cell>
          <cell r="Y288">
            <v>870140.21479703253</v>
          </cell>
          <cell r="Z288">
            <v>965004.98000358918</v>
          </cell>
          <cell r="AA288">
            <v>841987.79190015409</v>
          </cell>
          <cell r="AB288">
            <v>823628.58748140291</v>
          </cell>
          <cell r="AC288">
            <v>863518.65708287887</v>
          </cell>
          <cell r="AD288">
            <v>836586.40694623964</v>
          </cell>
          <cell r="AE288">
            <v>883953.34980582818</v>
          </cell>
          <cell r="AF288">
            <v>950182.60909210274</v>
          </cell>
        </row>
        <row r="295">
          <cell r="F295">
            <v>21707.73</v>
          </cell>
          <cell r="G295">
            <v>30830.6</v>
          </cell>
          <cell r="H295">
            <v>24817.19</v>
          </cell>
          <cell r="I295">
            <v>6351.47</v>
          </cell>
          <cell r="J295">
            <v>20985.72</v>
          </cell>
          <cell r="K295">
            <v>138061.47</v>
          </cell>
          <cell r="L295">
            <v>33799.716569550939</v>
          </cell>
          <cell r="M295">
            <v>32276.020444376314</v>
          </cell>
          <cell r="N295">
            <v>36690.260058176122</v>
          </cell>
          <cell r="O295">
            <v>36157.17433418092</v>
          </cell>
          <cell r="P295">
            <v>35368.78172185149</v>
          </cell>
          <cell r="Q295">
            <v>37081.766416710598</v>
          </cell>
          <cell r="U295">
            <v>37326.963114064238</v>
          </cell>
          <cell r="V295">
            <v>36922.424775532461</v>
          </cell>
          <cell r="W295">
            <v>40079.201854422085</v>
          </cell>
          <cell r="X295">
            <v>38560.093095082622</v>
          </cell>
          <cell r="Y295">
            <v>37366.113552070114</v>
          </cell>
          <cell r="Z295">
            <v>41439.856528798875</v>
          </cell>
          <cell r="AA295">
            <v>36157.17433418092</v>
          </cell>
          <cell r="AB295">
            <v>35368.78172185149</v>
          </cell>
          <cell r="AC295">
            <v>37081.766416710598</v>
          </cell>
          <cell r="AD295">
            <v>35925.224632173995</v>
          </cell>
          <cell r="AE295">
            <v>37959.285965517447</v>
          </cell>
          <cell r="AF295">
            <v>40803.34486645869</v>
          </cell>
        </row>
        <row r="305">
          <cell r="F305">
            <v>8770578.3100000042</v>
          </cell>
          <cell r="G305">
            <v>7954340.8500000015</v>
          </cell>
          <cell r="H305">
            <v>34126267.530000001</v>
          </cell>
          <cell r="I305">
            <v>10526128.850000001</v>
          </cell>
          <cell r="J305">
            <v>13403531.380000001</v>
          </cell>
          <cell r="K305">
            <v>4270159.1500000004</v>
          </cell>
          <cell r="L305">
            <v>9656779.6600000001</v>
          </cell>
          <cell r="M305">
            <v>8022888.8999999994</v>
          </cell>
          <cell r="N305">
            <v>7941749.2700000005</v>
          </cell>
          <cell r="O305">
            <v>8813418.5976</v>
          </cell>
          <cell r="P305">
            <v>8811470.5757999998</v>
          </cell>
          <cell r="Q305">
            <v>8957491.959499998</v>
          </cell>
          <cell r="U305">
            <v>8659767.842000002</v>
          </cell>
          <cell r="V305">
            <v>11774277.6075</v>
          </cell>
          <cell r="W305">
            <v>8664345.8818999995</v>
          </cell>
          <cell r="X305">
            <v>11298399.4224</v>
          </cell>
          <cell r="Y305">
            <v>8041712.6802000012</v>
          </cell>
          <cell r="Z305">
            <v>7958612.8927999996</v>
          </cell>
          <cell r="AA305">
            <v>9028379.4567189235</v>
          </cell>
          <cell r="AB305">
            <v>9016519.9665654879</v>
          </cell>
          <cell r="AC305">
            <v>9152629.8825470675</v>
          </cell>
          <cell r="AD305">
            <v>9354525.3936645426</v>
          </cell>
          <cell r="AE305">
            <v>8848780.1148692351</v>
          </cell>
          <cell r="AF305">
            <v>11046378.697175985</v>
          </cell>
        </row>
        <row r="316">
          <cell r="D316">
            <v>8140</v>
          </cell>
          <cell r="E316"/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8150</v>
          </cell>
          <cell r="E317"/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D318">
            <v>8160</v>
          </cell>
          <cell r="E318"/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D319">
            <v>8170</v>
          </cell>
          <cell r="E319"/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D320">
            <v>8180</v>
          </cell>
          <cell r="E320"/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D321">
            <v>8190</v>
          </cell>
          <cell r="E321"/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8200</v>
          </cell>
          <cell r="E322"/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8210</v>
          </cell>
          <cell r="E323"/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8240</v>
          </cell>
          <cell r="E324"/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D325">
            <v>8250</v>
          </cell>
          <cell r="E325"/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D326">
            <v>8310</v>
          </cell>
          <cell r="E326"/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D327">
            <v>8320</v>
          </cell>
          <cell r="E327"/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D328">
            <v>8340</v>
          </cell>
          <cell r="E328"/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D329">
            <v>8350</v>
          </cell>
          <cell r="E329"/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D330">
            <v>8360</v>
          </cell>
          <cell r="E330"/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D331">
            <v>8400</v>
          </cell>
          <cell r="E331"/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D332">
            <v>8410</v>
          </cell>
          <cell r="E332"/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3">
          <cell r="D333">
            <v>8470</v>
          </cell>
          <cell r="E333"/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D334">
            <v>8500</v>
          </cell>
          <cell r="E334"/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</row>
        <row r="335">
          <cell r="D335">
            <v>8560</v>
          </cell>
          <cell r="E335"/>
          <cell r="F335">
            <v>0</v>
          </cell>
          <cell r="G335">
            <v>0</v>
          </cell>
          <cell r="H335">
            <v>11697.349999999999</v>
          </cell>
          <cell r="I335">
            <v>-5627.96</v>
          </cell>
          <cell r="J335">
            <v>913.13</v>
          </cell>
          <cell r="K335">
            <v>0</v>
          </cell>
          <cell r="L335">
            <v>1251.1502839575282</v>
          </cell>
          <cell r="M335">
            <v>1307.9262575422924</v>
          </cell>
          <cell r="N335">
            <v>1137.3703620299625</v>
          </cell>
          <cell r="O335">
            <v>1355.403785149804</v>
          </cell>
          <cell r="P335">
            <v>1296.5753999793653</v>
          </cell>
          <cell r="Q335">
            <v>1237.7470150847839</v>
          </cell>
          <cell r="R335">
            <v>1349.1734457064617</v>
          </cell>
          <cell r="S335">
            <v>1173.5006288270752</v>
          </cell>
          <cell r="T335">
            <v>1232.0584413568702</v>
          </cell>
          <cell r="U335">
            <v>1290.6159433937373</v>
          </cell>
          <cell r="V335">
            <v>1349.1734457064617</v>
          </cell>
          <cell r="W335">
            <v>1173.5006288270752</v>
          </cell>
          <cell r="X335">
            <v>1349.1734457064617</v>
          </cell>
          <cell r="Y335">
            <v>1290.6159433937373</v>
          </cell>
          <cell r="Z335">
            <v>1232.1450728683544</v>
          </cell>
          <cell r="AA335">
            <v>1396.0658987042982</v>
          </cell>
          <cell r="AB335">
            <v>1335.4726619787464</v>
          </cell>
          <cell r="AC335">
            <v>1274.8794255373275</v>
          </cell>
          <cell r="AD335">
            <v>1389.6486490776556</v>
          </cell>
          <cell r="AE335">
            <v>1208.7056476918874</v>
          </cell>
          <cell r="AF335">
            <v>1269.0201945975764</v>
          </cell>
        </row>
        <row r="336">
          <cell r="D336">
            <v>8570</v>
          </cell>
          <cell r="E336"/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D337">
            <v>8580</v>
          </cell>
          <cell r="E337"/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</row>
        <row r="338">
          <cell r="D338">
            <v>8590</v>
          </cell>
          <cell r="E338"/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</row>
        <row r="339">
          <cell r="D339">
            <v>8600</v>
          </cell>
          <cell r="E339"/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D340">
            <v>8620</v>
          </cell>
          <cell r="E340"/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</row>
        <row r="341">
          <cell r="D341">
            <v>8630</v>
          </cell>
          <cell r="E341"/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</row>
        <row r="342">
          <cell r="D342">
            <v>8640</v>
          </cell>
          <cell r="E342"/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</row>
        <row r="343">
          <cell r="D343">
            <v>8650</v>
          </cell>
          <cell r="E343"/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</row>
        <row r="344">
          <cell r="D344">
            <v>8670</v>
          </cell>
          <cell r="E344"/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</row>
        <row r="345">
          <cell r="D345">
            <v>8700</v>
          </cell>
          <cell r="E345"/>
          <cell r="F345">
            <v>105093.06</v>
          </cell>
          <cell r="G345">
            <v>437.56999999999994</v>
          </cell>
          <cell r="H345">
            <v>61169.62</v>
          </cell>
          <cell r="I345">
            <v>1554.5600000000004</v>
          </cell>
          <cell r="J345">
            <v>605.96999999999991</v>
          </cell>
          <cell r="K345">
            <v>425.95000000000005</v>
          </cell>
          <cell r="L345">
            <v>38642.594294187787</v>
          </cell>
          <cell r="M345">
            <v>37284.435460113811</v>
          </cell>
          <cell r="N345">
            <v>41646.382363016877</v>
          </cell>
          <cell r="O345">
            <v>43123.109068778911</v>
          </cell>
          <cell r="P345">
            <v>41579.684456368952</v>
          </cell>
          <cell r="Q345">
            <v>40013.009654285685</v>
          </cell>
          <cell r="R345">
            <v>40684.835361031648</v>
          </cell>
          <cell r="S345">
            <v>39359.595837531204</v>
          </cell>
          <cell r="T345">
            <v>40828.087762710056</v>
          </cell>
          <cell r="U345">
            <v>40289.426297724953</v>
          </cell>
          <cell r="V345">
            <v>42175.929027634367</v>
          </cell>
          <cell r="W345">
            <v>40147.8091295083</v>
          </cell>
          <cell r="X345">
            <v>42878.108573457001</v>
          </cell>
          <cell r="Y345">
            <v>40507.934885857401</v>
          </cell>
          <cell r="Z345">
            <v>43399.814599081648</v>
          </cell>
          <cell r="AA345">
            <v>43509.859721459892</v>
          </cell>
          <cell r="AB345">
            <v>41949.649029056571</v>
          </cell>
          <cell r="AC345">
            <v>40366.188147058652</v>
          </cell>
          <cell r="AD345">
            <v>41069.80824986651</v>
          </cell>
          <cell r="AE345">
            <v>39694.442278933348</v>
          </cell>
          <cell r="AF345">
            <v>41179.643078960864</v>
          </cell>
        </row>
        <row r="346">
          <cell r="D346">
            <v>8710</v>
          </cell>
          <cell r="E346"/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</row>
        <row r="347">
          <cell r="D347">
            <v>8711</v>
          </cell>
          <cell r="E347"/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8720</v>
          </cell>
          <cell r="E348"/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</row>
        <row r="349">
          <cell r="D349">
            <v>8740</v>
          </cell>
          <cell r="E349"/>
          <cell r="F349">
            <v>6615.1800000000012</v>
          </cell>
          <cell r="G349">
            <v>3692.97</v>
          </cell>
          <cell r="H349">
            <v>4171.82</v>
          </cell>
          <cell r="I349">
            <v>-6957.86</v>
          </cell>
          <cell r="J349">
            <v>5773.13</v>
          </cell>
          <cell r="K349">
            <v>3329.45</v>
          </cell>
          <cell r="L349">
            <v>6080.2000638087602</v>
          </cell>
          <cell r="M349">
            <v>6080.2000638087602</v>
          </cell>
          <cell r="N349">
            <v>6084.1805548488965</v>
          </cell>
          <cell r="O349">
            <v>6227.4782322938163</v>
          </cell>
          <cell r="P349">
            <v>6227.4782322938163</v>
          </cell>
          <cell r="Q349">
            <v>6227.4782322938163</v>
          </cell>
          <cell r="R349">
            <v>6227.4782322938163</v>
          </cell>
          <cell r="S349">
            <v>6227.4782322938163</v>
          </cell>
          <cell r="T349">
            <v>6227.4782322938163</v>
          </cell>
          <cell r="U349">
            <v>6227.4782322938163</v>
          </cell>
          <cell r="V349">
            <v>6227.4782322938163</v>
          </cell>
          <cell r="W349">
            <v>6227.4782322938163</v>
          </cell>
          <cell r="X349">
            <v>6227.4782322938163</v>
          </cell>
          <cell r="Y349">
            <v>6227.4782322938163</v>
          </cell>
          <cell r="Z349">
            <v>6231.4587233339525</v>
          </cell>
          <cell r="AA349">
            <v>6227.4782322938163</v>
          </cell>
          <cell r="AB349">
            <v>6227.4782322938163</v>
          </cell>
          <cell r="AC349">
            <v>6227.4782322938163</v>
          </cell>
          <cell r="AD349">
            <v>6227.4782322938163</v>
          </cell>
          <cell r="AE349">
            <v>6227.4782322938163</v>
          </cell>
          <cell r="AF349">
            <v>6227.4782322938163</v>
          </cell>
        </row>
        <row r="350">
          <cell r="D350">
            <v>8750</v>
          </cell>
          <cell r="E350"/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</row>
        <row r="351">
          <cell r="D351">
            <v>8760</v>
          </cell>
          <cell r="E351"/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</row>
        <row r="352">
          <cell r="D352">
            <v>8770</v>
          </cell>
          <cell r="E352"/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</row>
        <row r="353">
          <cell r="D353">
            <v>8780</v>
          </cell>
          <cell r="E353"/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</row>
        <row r="354">
          <cell r="D354">
            <v>8790</v>
          </cell>
          <cell r="E354"/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</row>
        <row r="355">
          <cell r="D355">
            <v>8800</v>
          </cell>
          <cell r="E355"/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D356">
            <v>8810</v>
          </cell>
          <cell r="E356"/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D357">
            <v>8850</v>
          </cell>
          <cell r="E357"/>
          <cell r="F357">
            <v>0</v>
          </cell>
          <cell r="G357">
            <v>0</v>
          </cell>
          <cell r="H357">
            <v>22774820.939999998</v>
          </cell>
          <cell r="I357">
            <v>2090628.03</v>
          </cell>
          <cell r="J357">
            <v>51305.329999999994</v>
          </cell>
          <cell r="K357">
            <v>-237350.62</v>
          </cell>
          <cell r="L357">
            <v>17861545.543989062</v>
          </cell>
          <cell r="M357">
            <v>16440371.644552551</v>
          </cell>
          <cell r="N357">
            <v>16012005.44674883</v>
          </cell>
          <cell r="O357">
            <v>16712709.838847796</v>
          </cell>
          <cell r="P357">
            <v>16588628.948105497</v>
          </cell>
          <cell r="Q357">
            <v>16696240.615405273</v>
          </cell>
          <cell r="R357">
            <v>17593151.365926098</v>
          </cell>
          <cell r="S357">
            <v>16611592.710551493</v>
          </cell>
          <cell r="T357">
            <v>19213246.06601375</v>
          </cell>
          <cell r="U357">
            <v>16990315.082228947</v>
          </cell>
          <cell r="V357">
            <v>21798984.801061392</v>
          </cell>
          <cell r="W357">
            <v>16389216.032275878</v>
          </cell>
          <cell r="X357">
            <v>20381248.888622656</v>
          </cell>
          <cell r="Y357">
            <v>15192472.588887028</v>
          </cell>
          <cell r="Z357">
            <v>15531582.211373955</v>
          </cell>
          <cell r="AA357">
            <v>16712709.838847796</v>
          </cell>
          <cell r="AB357">
            <v>16588628.948105497</v>
          </cell>
          <cell r="AC357">
            <v>16696240.615405273</v>
          </cell>
          <cell r="AD357">
            <v>17593151.365926098</v>
          </cell>
          <cell r="AE357">
            <v>16611592.710551493</v>
          </cell>
          <cell r="AF357">
            <v>19213246.06601375</v>
          </cell>
        </row>
        <row r="358">
          <cell r="D358">
            <v>8860</v>
          </cell>
          <cell r="E358"/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</row>
        <row r="359">
          <cell r="D359">
            <v>8870</v>
          </cell>
          <cell r="E359"/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</row>
        <row r="360">
          <cell r="D360">
            <v>8890</v>
          </cell>
          <cell r="E360"/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</row>
        <row r="361">
          <cell r="D361">
            <v>8900</v>
          </cell>
          <cell r="E361"/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</row>
        <row r="362">
          <cell r="D362">
            <v>8910</v>
          </cell>
          <cell r="E362"/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</row>
        <row r="363">
          <cell r="D363">
            <v>8920</v>
          </cell>
          <cell r="E363"/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</row>
        <row r="364">
          <cell r="D364">
            <v>8930</v>
          </cell>
          <cell r="E364"/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</row>
        <row r="365">
          <cell r="D365">
            <v>8940</v>
          </cell>
          <cell r="E365"/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</row>
        <row r="366">
          <cell r="D366">
            <v>8950</v>
          </cell>
          <cell r="E366"/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</row>
        <row r="367">
          <cell r="D367">
            <v>9010</v>
          </cell>
          <cell r="E367"/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</row>
        <row r="368">
          <cell r="D368">
            <v>9020</v>
          </cell>
          <cell r="E368"/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</row>
        <row r="369">
          <cell r="D369">
            <v>9030</v>
          </cell>
          <cell r="E369"/>
          <cell r="F369">
            <v>5314.14</v>
          </cell>
          <cell r="G369">
            <v>4451.7900000000009</v>
          </cell>
          <cell r="H369">
            <v>11757.279999999999</v>
          </cell>
          <cell r="I369">
            <v>9548.5999999999985</v>
          </cell>
          <cell r="J369">
            <v>10028.460000000001</v>
          </cell>
          <cell r="K369">
            <v>9467.9600000000009</v>
          </cell>
          <cell r="L369">
            <v>9034.4977460613172</v>
          </cell>
          <cell r="M369">
            <v>9443.8705384486675</v>
          </cell>
          <cell r="N369">
            <v>8222.4023610399545</v>
          </cell>
          <cell r="O369">
            <v>9785.5032919504702</v>
          </cell>
          <cell r="P369">
            <v>9360.6198530089114</v>
          </cell>
          <cell r="Q369">
            <v>8948.3590208724509</v>
          </cell>
          <cell r="R369">
            <v>9745.7877772450702</v>
          </cell>
          <cell r="S369">
            <v>8478.5816051455295</v>
          </cell>
          <cell r="T369">
            <v>9036.524822575926</v>
          </cell>
          <cell r="U369">
            <v>9321.2297276054069</v>
          </cell>
          <cell r="V369">
            <v>9741.2337841680583</v>
          </cell>
          <cell r="W369">
            <v>8487.9423924360635</v>
          </cell>
          <cell r="X369">
            <v>9741.5112018101463</v>
          </cell>
          <cell r="Y369">
            <v>9319.0161184232184</v>
          </cell>
          <cell r="Z369">
            <v>8906.9002666200031</v>
          </cell>
          <cell r="AA369">
            <v>10078.787663758831</v>
          </cell>
          <cell r="AB369">
            <v>9641.174847654358</v>
          </cell>
          <cell r="AC369">
            <v>9216.1846384146756</v>
          </cell>
          <cell r="AD369">
            <v>10037.724018548106</v>
          </cell>
          <cell r="AE369">
            <v>8732.5054900520663</v>
          </cell>
          <cell r="AF369">
            <v>9303.1195377180284</v>
          </cell>
        </row>
        <row r="370">
          <cell r="D370">
            <v>9040</v>
          </cell>
          <cell r="E370"/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</row>
        <row r="371">
          <cell r="D371">
            <v>9070</v>
          </cell>
          <cell r="E371"/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</row>
        <row r="372">
          <cell r="D372">
            <v>9080</v>
          </cell>
          <cell r="E372"/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D373">
            <v>9090</v>
          </cell>
          <cell r="E373"/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D374">
            <v>9100</v>
          </cell>
          <cell r="E374"/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D375">
            <v>9110</v>
          </cell>
          <cell r="E375"/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</row>
        <row r="376">
          <cell r="D376">
            <v>9120</v>
          </cell>
          <cell r="E376"/>
          <cell r="F376">
            <v>8288.11</v>
          </cell>
          <cell r="G376">
            <v>0</v>
          </cell>
          <cell r="H376">
            <v>346.65999999999997</v>
          </cell>
          <cell r="I376">
            <v>0</v>
          </cell>
          <cell r="J376">
            <v>0</v>
          </cell>
          <cell r="K376">
            <v>19.329999999999998</v>
          </cell>
          <cell r="L376">
            <v>1658.6494379315238</v>
          </cell>
          <cell r="M376">
            <v>1658.6494379315238</v>
          </cell>
          <cell r="N376">
            <v>1962.3632121776618</v>
          </cell>
          <cell r="O376">
            <v>2004.527380402722</v>
          </cell>
          <cell r="P376">
            <v>1757.4717072090091</v>
          </cell>
          <cell r="Q376">
            <v>2642.7545361531475</v>
          </cell>
          <cell r="R376">
            <v>1979.8218130833507</v>
          </cell>
          <cell r="S376">
            <v>1753.3541126557807</v>
          </cell>
          <cell r="T376">
            <v>1716.2957616767235</v>
          </cell>
          <cell r="U376">
            <v>1592.7679250798669</v>
          </cell>
          <cell r="V376">
            <v>1798.6476527412945</v>
          </cell>
          <cell r="W376">
            <v>1675.1198161444379</v>
          </cell>
          <cell r="X376">
            <v>1592.7679250798669</v>
          </cell>
          <cell r="Y376">
            <v>2498.6387267901478</v>
          </cell>
          <cell r="Z376">
            <v>1674.1315934516631</v>
          </cell>
          <cell r="AA376">
            <v>2004.527380402722</v>
          </cell>
          <cell r="AB376">
            <v>1757.4717072090091</v>
          </cell>
          <cell r="AC376">
            <v>2642.7545361531475</v>
          </cell>
          <cell r="AD376">
            <v>1979.8218130833507</v>
          </cell>
          <cell r="AE376">
            <v>1753.3541126557807</v>
          </cell>
          <cell r="AF376">
            <v>1716.2957616767235</v>
          </cell>
        </row>
        <row r="377">
          <cell r="D377">
            <v>9130</v>
          </cell>
          <cell r="E377"/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</row>
        <row r="378">
          <cell r="D378">
            <v>9160</v>
          </cell>
          <cell r="E378"/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1009.4100000000001</v>
          </cell>
          <cell r="K378">
            <v>590.86</v>
          </cell>
          <cell r="L378">
            <v>414.41647504638718</v>
          </cell>
          <cell r="M378">
            <v>384.72042385077884</v>
          </cell>
          <cell r="N378">
            <v>478.55780548637415</v>
          </cell>
          <cell r="O378">
            <v>470.03580058955606</v>
          </cell>
          <cell r="P378">
            <v>454.48042641391157</v>
          </cell>
          <cell r="Q378">
            <v>438.68271256977442</v>
          </cell>
          <cell r="R378">
            <v>432.55812822059806</v>
          </cell>
          <cell r="S378">
            <v>437.99660805378244</v>
          </cell>
          <cell r="T378">
            <v>452.33084208169805</v>
          </cell>
          <cell r="U378">
            <v>435.09010566608231</v>
          </cell>
          <cell r="V378">
            <v>455.90141810643627</v>
          </cell>
          <cell r="W378">
            <v>450.39684563639025</v>
          </cell>
          <cell r="X378">
            <v>466.91056304652824</v>
          </cell>
          <cell r="Y378">
            <v>438.60088359080288</v>
          </cell>
          <cell r="Z378">
            <v>492.69613322782425</v>
          </cell>
          <cell r="AA378">
            <v>470.03580058955606</v>
          </cell>
          <cell r="AB378">
            <v>454.48042641391157</v>
          </cell>
          <cell r="AC378">
            <v>438.68271256977442</v>
          </cell>
          <cell r="AD378">
            <v>432.55812822059806</v>
          </cell>
          <cell r="AE378">
            <v>437.99660805378244</v>
          </cell>
          <cell r="AF378">
            <v>452.33084208169805</v>
          </cell>
        </row>
        <row r="379">
          <cell r="D379">
            <v>9200</v>
          </cell>
          <cell r="E379"/>
          <cell r="F379">
            <v>205452.0299999998</v>
          </cell>
          <cell r="G379">
            <v>-627908.3599999994</v>
          </cell>
          <cell r="H379">
            <v>-2192440.3899999992</v>
          </cell>
          <cell r="I379">
            <v>-401667.03999999911</v>
          </cell>
          <cell r="J379">
            <v>-899220.39999999944</v>
          </cell>
          <cell r="K379">
            <v>-5306855.2699999996</v>
          </cell>
          <cell r="L379">
            <v>-19561056.065618351</v>
          </cell>
          <cell r="M379">
            <v>-17493190.580157496</v>
          </cell>
          <cell r="N379">
            <v>-17457760.963170577</v>
          </cell>
          <cell r="O379">
            <v>-17685819.005585607</v>
          </cell>
          <cell r="P379">
            <v>-17715212.440171465</v>
          </cell>
          <cell r="Q379">
            <v>-18042504.776857302</v>
          </cell>
          <cell r="R379">
            <v>-18877763.147110768</v>
          </cell>
          <cell r="S379">
            <v>-18135140.621873155</v>
          </cell>
          <cell r="T379">
            <v>-21393545.929939967</v>
          </cell>
          <cell r="U379">
            <v>-18260637.829005595</v>
          </cell>
          <cell r="V379">
            <v>-24467023.112529147</v>
          </cell>
          <cell r="W379">
            <v>-17831030.382756699</v>
          </cell>
          <cell r="X379">
            <v>-22575206.610118631</v>
          </cell>
          <cell r="Y379">
            <v>-15870303.825682504</v>
          </cell>
          <cell r="Z379">
            <v>-16493102.772796918</v>
          </cell>
          <cell r="AA379">
            <v>-17553877.354137652</v>
          </cell>
          <cell r="AB379">
            <v>-17588997.432234794</v>
          </cell>
          <cell r="AC379">
            <v>-17922016.41240507</v>
          </cell>
          <cell r="AD379">
            <v>-18746427.987458277</v>
          </cell>
          <cell r="AE379">
            <v>-18020906.315728329</v>
          </cell>
          <cell r="AF379">
            <v>-21273611.319151603</v>
          </cell>
        </row>
        <row r="380">
          <cell r="D380">
            <v>9210</v>
          </cell>
          <cell r="E380"/>
          <cell r="F380">
            <v>2142789.8900000006</v>
          </cell>
          <cell r="G380">
            <v>1771425.9999999991</v>
          </cell>
          <cell r="H380">
            <v>1682549.0900000003</v>
          </cell>
          <cell r="I380">
            <v>2041980.02</v>
          </cell>
          <cell r="J380">
            <v>1933264.6700000004</v>
          </cell>
          <cell r="K380">
            <v>2210856.0799999996</v>
          </cell>
          <cell r="L380">
            <v>2521098.9709735257</v>
          </cell>
          <cell r="M380">
            <v>2498874.7890390232</v>
          </cell>
          <cell r="N380">
            <v>2668458.4234368834</v>
          </cell>
          <cell r="O380">
            <v>2925306.7005633302</v>
          </cell>
          <cell r="P380">
            <v>2709077.1102262349</v>
          </cell>
          <cell r="Q380">
            <v>2859362.9128975086</v>
          </cell>
          <cell r="R380">
            <v>2807136.9017923241</v>
          </cell>
          <cell r="S380">
            <v>2789646.7136545661</v>
          </cell>
          <cell r="T380">
            <v>2896749.3328193137</v>
          </cell>
          <cell r="U380">
            <v>2961646.1162524079</v>
          </cell>
          <cell r="V380">
            <v>2919576.2442315826</v>
          </cell>
          <cell r="W380">
            <v>2878833.7252094275</v>
          </cell>
          <cell r="X380">
            <v>3089374.5900166109</v>
          </cell>
          <cell r="Y380">
            <v>3095164.0861845738</v>
          </cell>
          <cell r="Z380">
            <v>3165939.175366187</v>
          </cell>
          <cell r="AA380">
            <v>2925306.7005633302</v>
          </cell>
          <cell r="AB380">
            <v>2709077.1102262349</v>
          </cell>
          <cell r="AC380">
            <v>2859362.9128975086</v>
          </cell>
          <cell r="AD380">
            <v>2807136.9017923241</v>
          </cell>
          <cell r="AE380">
            <v>2789646.7136545661</v>
          </cell>
          <cell r="AF380">
            <v>2896749.3328193137</v>
          </cell>
        </row>
        <row r="381">
          <cell r="D381">
            <v>9220</v>
          </cell>
          <cell r="E381"/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</row>
        <row r="382">
          <cell r="D382">
            <v>9230</v>
          </cell>
          <cell r="E382"/>
          <cell r="F382">
            <v>689943.08</v>
          </cell>
          <cell r="G382">
            <v>802488.29</v>
          </cell>
          <cell r="H382">
            <v>1004663.39</v>
          </cell>
          <cell r="I382">
            <v>1133846.0699999998</v>
          </cell>
          <cell r="J382">
            <v>1038731.66</v>
          </cell>
          <cell r="K382">
            <v>1348513.2</v>
          </cell>
          <cell r="L382">
            <v>843364.55307996424</v>
          </cell>
          <cell r="M382">
            <v>804370.74365660711</v>
          </cell>
          <cell r="N382">
            <v>921592.14476675098</v>
          </cell>
          <cell r="O382">
            <v>903706.85312850692</v>
          </cell>
          <cell r="P382">
            <v>881820.04260078259</v>
          </cell>
          <cell r="Q382">
            <v>924837.86126786133</v>
          </cell>
          <cell r="R382">
            <v>897384.72202411178</v>
          </cell>
          <cell r="S382">
            <v>945742.11150782683</v>
          </cell>
          <cell r="T382">
            <v>1016812.3957529952</v>
          </cell>
          <cell r="U382">
            <v>932826.26809255197</v>
          </cell>
          <cell r="V382">
            <v>921309.41317626636</v>
          </cell>
          <cell r="W382">
            <v>998989.40471776179</v>
          </cell>
          <cell r="X382">
            <v>963270.54238017055</v>
          </cell>
          <cell r="Y382">
            <v>932153.32183036208</v>
          </cell>
          <cell r="Z382">
            <v>1040509.507270138</v>
          </cell>
          <cell r="AA382">
            <v>903706.85312850692</v>
          </cell>
          <cell r="AB382">
            <v>881820.04260078259</v>
          </cell>
          <cell r="AC382">
            <v>924837.86126786133</v>
          </cell>
          <cell r="AD382">
            <v>897384.72202411178</v>
          </cell>
          <cell r="AE382">
            <v>945742.11150782683</v>
          </cell>
          <cell r="AF382">
            <v>1016812.3957529952</v>
          </cell>
        </row>
        <row r="383">
          <cell r="D383">
            <v>9240</v>
          </cell>
          <cell r="E383"/>
          <cell r="F383">
            <v>11426.37</v>
          </cell>
          <cell r="G383">
            <v>11426.37</v>
          </cell>
          <cell r="H383">
            <v>10818.54</v>
          </cell>
          <cell r="I383">
            <v>10818.54</v>
          </cell>
          <cell r="J383">
            <v>10818.54</v>
          </cell>
          <cell r="K383">
            <v>10818.54</v>
          </cell>
          <cell r="L383">
            <v>12394.447543773815</v>
          </cell>
          <cell r="M383">
            <v>12394.447543773815</v>
          </cell>
          <cell r="N383">
            <v>12394.447543773815</v>
          </cell>
          <cell r="O383">
            <v>11862.783070920941</v>
          </cell>
          <cell r="P383">
            <v>11969.080473871165</v>
          </cell>
          <cell r="Q383">
            <v>11969.080473871165</v>
          </cell>
          <cell r="R383">
            <v>11969.080473871165</v>
          </cell>
          <cell r="S383">
            <v>11969.080473871165</v>
          </cell>
          <cell r="T383">
            <v>11976.256879506069</v>
          </cell>
          <cell r="U383">
            <v>11976.413042635611</v>
          </cell>
          <cell r="V383">
            <v>11976.413042635611</v>
          </cell>
          <cell r="W383">
            <v>11976.413042635611</v>
          </cell>
          <cell r="X383">
            <v>11976.413042635611</v>
          </cell>
          <cell r="Y383">
            <v>12106.837649100213</v>
          </cell>
          <cell r="Z383">
            <v>11976.413042635611</v>
          </cell>
          <cell r="AA383">
            <v>11862.783070920941</v>
          </cell>
          <cell r="AB383">
            <v>11969.080473871165</v>
          </cell>
          <cell r="AC383">
            <v>11969.080473871165</v>
          </cell>
          <cell r="AD383">
            <v>11969.080473871165</v>
          </cell>
          <cell r="AE383">
            <v>11969.080473871165</v>
          </cell>
          <cell r="AF383">
            <v>11976.256879506069</v>
          </cell>
        </row>
        <row r="384">
          <cell r="D384">
            <v>9250</v>
          </cell>
          <cell r="E384"/>
          <cell r="F384">
            <v>1587462.79</v>
          </cell>
          <cell r="G384">
            <v>1587212.5</v>
          </cell>
          <cell r="H384">
            <v>1877081.03</v>
          </cell>
          <cell r="I384">
            <v>1587312.98</v>
          </cell>
          <cell r="J384">
            <v>1587108.86</v>
          </cell>
          <cell r="K384">
            <v>1084488.76</v>
          </cell>
          <cell r="L384">
            <v>1745129.4516917898</v>
          </cell>
          <cell r="M384">
            <v>1745642.7077378915</v>
          </cell>
          <cell r="N384">
            <v>1744100.8520364882</v>
          </cell>
          <cell r="O384">
            <v>1671403.0849176818</v>
          </cell>
          <cell r="P384">
            <v>1685752.7062109997</v>
          </cell>
          <cell r="Q384">
            <v>1685233.7418968389</v>
          </cell>
          <cell r="R384">
            <v>1686216.7085554923</v>
          </cell>
          <cell r="S384">
            <v>1684666.9817974544</v>
          </cell>
          <cell r="T384">
            <v>1686187.3748985962</v>
          </cell>
          <cell r="U384">
            <v>1686725.7932429584</v>
          </cell>
          <cell r="V384">
            <v>1687242.3679164215</v>
          </cell>
          <cell r="W384">
            <v>1685692.6411583833</v>
          </cell>
          <cell r="X384">
            <v>1687242.3679164215</v>
          </cell>
          <cell r="Y384">
            <v>1704969.2250897246</v>
          </cell>
          <cell r="Z384">
            <v>1686210.0080988137</v>
          </cell>
          <cell r="AA384">
            <v>1672097.1837121707</v>
          </cell>
          <cell r="AB384">
            <v>1686411.7743562721</v>
          </cell>
          <cell r="AC384">
            <v>1685857.7793980229</v>
          </cell>
          <cell r="AD384">
            <v>1686907.0973572144</v>
          </cell>
          <cell r="AE384">
            <v>1685252.7623788361</v>
          </cell>
          <cell r="AF384">
            <v>1686808.0250159993</v>
          </cell>
        </row>
        <row r="385">
          <cell r="D385">
            <v>9260</v>
          </cell>
          <cell r="E385"/>
          <cell r="F385">
            <v>2898621.8100000005</v>
          </cell>
          <cell r="G385">
            <v>3461897.6800000006</v>
          </cell>
          <cell r="H385">
            <v>5497584.4900000002</v>
          </cell>
          <cell r="I385">
            <v>3538375.3599999989</v>
          </cell>
          <cell r="J385">
            <v>9024586.9700000007</v>
          </cell>
          <cell r="K385">
            <v>4392184.01</v>
          </cell>
          <cell r="L385">
            <v>5377761.3954458954</v>
          </cell>
          <cell r="M385">
            <v>3157123.1841811757</v>
          </cell>
          <cell r="N385">
            <v>2979917.7938350714</v>
          </cell>
          <cell r="O385">
            <v>3372566.911502487</v>
          </cell>
          <cell r="P385">
            <v>3772917.2047713022</v>
          </cell>
          <cell r="Q385">
            <v>3709118.7164591928</v>
          </cell>
          <cell r="R385">
            <v>4045531.6769653503</v>
          </cell>
          <cell r="S385">
            <v>3786514.4468141617</v>
          </cell>
          <cell r="T385">
            <v>3468598.500337916</v>
          </cell>
          <cell r="U385">
            <v>3402368.9567482574</v>
          </cell>
          <cell r="V385">
            <v>8016561.5784550719</v>
          </cell>
          <cell r="W385">
            <v>3349039.1885633888</v>
          </cell>
          <cell r="X385">
            <v>6845160.0148082478</v>
          </cell>
          <cell r="Y385">
            <v>2080045.775415756</v>
          </cell>
          <cell r="Z385">
            <v>1901296.9416221301</v>
          </cell>
          <cell r="AA385">
            <v>3454171.323240919</v>
          </cell>
          <cell r="AB385">
            <v>3850403.1026255158</v>
          </cell>
          <cell r="AC385">
            <v>3782486.1010320759</v>
          </cell>
          <cell r="AD385">
            <v>4126699.9090421721</v>
          </cell>
          <cell r="AE385">
            <v>3855384.0085120164</v>
          </cell>
          <cell r="AF385">
            <v>3541567.6340234973</v>
          </cell>
        </row>
        <row r="386">
          <cell r="D386">
            <v>9270</v>
          </cell>
          <cell r="E386"/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</row>
        <row r="387">
          <cell r="D387">
            <v>9280</v>
          </cell>
          <cell r="E387"/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</row>
        <row r="388">
          <cell r="D388">
            <v>9290</v>
          </cell>
          <cell r="E388"/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D389">
            <v>9301</v>
          </cell>
          <cell r="E389"/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</row>
        <row r="390">
          <cell r="D390">
            <v>9302</v>
          </cell>
          <cell r="E390"/>
          <cell r="F390">
            <v>579195.31999999983</v>
          </cell>
          <cell r="G390">
            <v>377496.01000000007</v>
          </cell>
          <cell r="H390">
            <v>2956335.5599999996</v>
          </cell>
          <cell r="I390">
            <v>386905.63000000006</v>
          </cell>
          <cell r="J390">
            <v>186525.19000000003</v>
          </cell>
          <cell r="K390">
            <v>263397.26</v>
          </cell>
          <cell r="L390">
            <v>271775.12158514454</v>
          </cell>
          <cell r="M390">
            <v>276564.64916083479</v>
          </cell>
          <cell r="N390">
            <v>463356.04425063042</v>
          </cell>
          <cell r="O390">
            <v>261298.79200083192</v>
          </cell>
          <cell r="P390">
            <v>243627.54279626772</v>
          </cell>
          <cell r="Q390">
            <v>509151.37894264434</v>
          </cell>
          <cell r="R390">
            <v>372134.23579678428</v>
          </cell>
          <cell r="S390">
            <v>368288.75968148687</v>
          </cell>
          <cell r="T390">
            <v>3345371.7997412262</v>
          </cell>
          <cell r="U390">
            <v>327410.1846858018</v>
          </cell>
          <cell r="V390">
            <v>278765.49182960705</v>
          </cell>
          <cell r="W390">
            <v>576119.73005964293</v>
          </cell>
          <cell r="X390">
            <v>282922.57653009443</v>
          </cell>
          <cell r="Y390">
            <v>287542.09244580485</v>
          </cell>
          <cell r="Z390">
            <v>492583.32524524449</v>
          </cell>
          <cell r="AA390">
            <v>261298.79200083192</v>
          </cell>
          <cell r="AB390">
            <v>243627.54279626772</v>
          </cell>
          <cell r="AC390">
            <v>509151.37894264434</v>
          </cell>
          <cell r="AD390">
            <v>372134.23579678428</v>
          </cell>
          <cell r="AE390">
            <v>368288.75968148687</v>
          </cell>
          <cell r="AF390">
            <v>3345371.7997412262</v>
          </cell>
        </row>
        <row r="391">
          <cell r="D391">
            <v>9310</v>
          </cell>
          <cell r="E391"/>
          <cell r="F391">
            <v>506336.29999999993</v>
          </cell>
          <cell r="G391">
            <v>515892.06</v>
          </cell>
          <cell r="H391">
            <v>421345.3</v>
          </cell>
          <cell r="I391">
            <v>109296.61000000002</v>
          </cell>
          <cell r="J391">
            <v>405037.73</v>
          </cell>
          <cell r="K391">
            <v>456119.72000000003</v>
          </cell>
          <cell r="L391">
            <v>491302.80259861227</v>
          </cell>
          <cell r="M391">
            <v>488913.27692903561</v>
          </cell>
          <cell r="N391">
            <v>501304.87205635774</v>
          </cell>
          <cell r="O391">
            <v>534952.50604392355</v>
          </cell>
          <cell r="P391">
            <v>532113.20683688927</v>
          </cell>
          <cell r="Q391">
            <v>502560.56753564719</v>
          </cell>
          <cell r="R391">
            <v>503530.86299928214</v>
          </cell>
          <cell r="S391">
            <v>502362.45131757471</v>
          </cell>
          <cell r="T391">
            <v>504955.77263368253</v>
          </cell>
          <cell r="U391">
            <v>504803.37827339716</v>
          </cell>
          <cell r="V391">
            <v>503215.78049159347</v>
          </cell>
          <cell r="W391">
            <v>504763.03949788969</v>
          </cell>
          <cell r="X391">
            <v>505291.66624201986</v>
          </cell>
          <cell r="Y391">
            <v>502614.87712421443</v>
          </cell>
          <cell r="Z391">
            <v>514624.05521363049</v>
          </cell>
          <cell r="AA391">
            <v>534952.50604392355</v>
          </cell>
          <cell r="AB391">
            <v>532113.20683688927</v>
          </cell>
          <cell r="AC391">
            <v>502560.56753564719</v>
          </cell>
          <cell r="AD391">
            <v>503530.86299928214</v>
          </cell>
          <cell r="AE391">
            <v>502362.45131757471</v>
          </cell>
          <cell r="AF391">
            <v>504955.77263368253</v>
          </cell>
        </row>
        <row r="392">
          <cell r="D392">
            <v>9320</v>
          </cell>
          <cell r="E392"/>
          <cell r="F392">
            <v>24040.23</v>
          </cell>
          <cell r="G392">
            <v>45827.969999999994</v>
          </cell>
          <cell r="H392">
            <v>4366.8500000000004</v>
          </cell>
          <cell r="I392">
            <v>30115.31</v>
          </cell>
          <cell r="J392">
            <v>47042.729999999996</v>
          </cell>
          <cell r="K392">
            <v>34153.920000000006</v>
          </cell>
          <cell r="L392">
            <v>36381.930409589862</v>
          </cell>
          <cell r="M392">
            <v>35664.235174906345</v>
          </cell>
          <cell r="N392">
            <v>36848.95183719066</v>
          </cell>
          <cell r="O392">
            <v>42464.075550967755</v>
          </cell>
          <cell r="P392">
            <v>40100.863874347968</v>
          </cell>
          <cell r="Q392">
            <v>42013.830307207092</v>
          </cell>
          <cell r="R392">
            <v>40902.166619874122</v>
          </cell>
          <cell r="S392">
            <v>41393.350150214494</v>
          </cell>
          <cell r="T392">
            <v>42354.845800287447</v>
          </cell>
          <cell r="U392">
            <v>43176.870206876614</v>
          </cell>
          <cell r="V392">
            <v>41920.266263927675</v>
          </cell>
          <cell r="W392">
            <v>42583.843086847868</v>
          </cell>
          <cell r="X392">
            <v>44863.023018383581</v>
          </cell>
          <cell r="Y392">
            <v>44665.416465591188</v>
          </cell>
          <cell r="Z392">
            <v>45056.881975605487</v>
          </cell>
          <cell r="AA392">
            <v>42464.075550967755</v>
          </cell>
          <cell r="AB392">
            <v>40100.863874347968</v>
          </cell>
          <cell r="AC392">
            <v>42013.830307207092</v>
          </cell>
          <cell r="AD392">
            <v>40902.166619874122</v>
          </cell>
          <cell r="AE392">
            <v>41393.350150214494</v>
          </cell>
          <cell r="AF392">
            <v>42354.845800287447</v>
          </cell>
        </row>
      </sheetData>
      <sheetData sheetId="3">
        <row r="34">
          <cell r="F34">
            <v>3068.46</v>
          </cell>
          <cell r="G34">
            <v>3558.4</v>
          </cell>
          <cell r="H34">
            <v>5080.62</v>
          </cell>
          <cell r="I34">
            <v>5150.95</v>
          </cell>
          <cell r="J34">
            <v>6867.34</v>
          </cell>
          <cell r="K34">
            <v>5458.83</v>
          </cell>
          <cell r="L34">
            <v>22741.688565812623</v>
          </cell>
          <cell r="M34">
            <v>22741.688565812623</v>
          </cell>
          <cell r="N34">
            <v>32027.247601384093</v>
          </cell>
          <cell r="O34">
            <v>17362.044406630077</v>
          </cell>
          <cell r="P34">
            <v>27600.711018413847</v>
          </cell>
          <cell r="Q34">
            <v>23459.746087043168</v>
          </cell>
          <cell r="U34">
            <v>17828.913350067083</v>
          </cell>
          <cell r="V34">
            <v>45674.252524237643</v>
          </cell>
          <cell r="W34">
            <v>19160.373216711134</v>
          </cell>
          <cell r="X34">
            <v>68772.5753254718</v>
          </cell>
          <cell r="Y34">
            <v>9840.0560612189474</v>
          </cell>
          <cell r="Z34">
            <v>13037.756934402682</v>
          </cell>
          <cell r="AA34">
            <v>17362.044406630077</v>
          </cell>
          <cell r="AB34">
            <v>27600.711018413847</v>
          </cell>
          <cell r="AC34">
            <v>23459.746087043168</v>
          </cell>
          <cell r="AD34">
            <v>21983.754987681004</v>
          </cell>
          <cell r="AE34">
            <v>18070.206480373236</v>
          </cell>
          <cell r="AF34">
            <v>18141.015186825261</v>
          </cell>
        </row>
        <row r="158">
          <cell r="F158">
            <v>59703.47</v>
          </cell>
          <cell r="G158">
            <v>57129.81</v>
          </cell>
          <cell r="H158">
            <v>52402.36</v>
          </cell>
          <cell r="I158">
            <v>56610.59</v>
          </cell>
          <cell r="J158">
            <v>103506.25</v>
          </cell>
          <cell r="K158">
            <v>59967.73</v>
          </cell>
          <cell r="L158">
            <v>46742.127906252819</v>
          </cell>
          <cell r="M158">
            <v>44934.317723905195</v>
          </cell>
          <cell r="N158">
            <v>42665.850724722324</v>
          </cell>
          <cell r="O158">
            <v>30021.89239751768</v>
          </cell>
          <cell r="P158">
            <v>31598.22635545889</v>
          </cell>
          <cell r="Q158">
            <v>28737.103700729676</v>
          </cell>
          <cell r="U158">
            <v>62199.000616657402</v>
          </cell>
          <cell r="V158">
            <v>26239.838714447571</v>
          </cell>
          <cell r="W158">
            <v>24709.417396058048</v>
          </cell>
          <cell r="X158">
            <v>31793.355073553554</v>
          </cell>
          <cell r="Y158">
            <v>37765.824268568664</v>
          </cell>
          <cell r="Z158">
            <v>90208.388980492862</v>
          </cell>
          <cell r="AA158">
            <v>30021.89239751768</v>
          </cell>
          <cell r="AB158">
            <v>31598.22635545889</v>
          </cell>
          <cell r="AC158">
            <v>28737.103700729676</v>
          </cell>
          <cell r="AD158">
            <v>22624.218349752322</v>
          </cell>
          <cell r="AE158">
            <v>27433.567342791397</v>
          </cell>
          <cell r="AF158">
            <v>35667.616641056629</v>
          </cell>
        </row>
        <row r="160">
          <cell r="F160">
            <v>25628.04</v>
          </cell>
          <cell r="G160">
            <v>0</v>
          </cell>
          <cell r="H160">
            <v>0</v>
          </cell>
          <cell r="I160">
            <v>5023.1000000000004</v>
          </cell>
          <cell r="J160">
            <v>0</v>
          </cell>
          <cell r="K160">
            <v>0</v>
          </cell>
          <cell r="L160">
            <v>3680.0029116198771</v>
          </cell>
          <cell r="M160">
            <v>3537.6742023228117</v>
          </cell>
          <cell r="N160">
            <v>3359.0780293233825</v>
          </cell>
          <cell r="O160">
            <v>2363.6204936323497</v>
          </cell>
          <cell r="P160">
            <v>2487.7251036437592</v>
          </cell>
          <cell r="Q160">
            <v>2262.469211977419</v>
          </cell>
          <cell r="U160">
            <v>4896.9209067293286</v>
          </cell>
          <cell r="V160">
            <v>2065.8597970394408</v>
          </cell>
          <cell r="W160">
            <v>1945.3698844070043</v>
          </cell>
          <cell r="X160">
            <v>2503.0875675043949</v>
          </cell>
          <cell r="Y160">
            <v>2973.2994515524788</v>
          </cell>
          <cell r="Z160">
            <v>7102.0971652500239</v>
          </cell>
          <cell r="AA160">
            <v>2363.6204936323497</v>
          </cell>
          <cell r="AB160">
            <v>2487.7251036437592</v>
          </cell>
          <cell r="AC160">
            <v>2262.469211977419</v>
          </cell>
          <cell r="AD160">
            <v>1781.2023784453095</v>
          </cell>
          <cell r="AE160">
            <v>2159.8419288927416</v>
          </cell>
          <cell r="AF160">
            <v>2808.1077813334082</v>
          </cell>
        </row>
        <row r="171">
          <cell r="U171">
            <v>4068862.3713000002</v>
          </cell>
          <cell r="V171">
            <v>4142197.1993</v>
          </cell>
          <cell r="W171">
            <v>3661549.6502999999</v>
          </cell>
          <cell r="X171">
            <v>4151580.2653000001</v>
          </cell>
          <cell r="Y171">
            <v>3862146.4332999997</v>
          </cell>
          <cell r="Z171">
            <v>3852219.4767000005</v>
          </cell>
          <cell r="AA171">
            <v>4175633.4619124783</v>
          </cell>
          <cell r="AB171">
            <v>3999217.2294098814</v>
          </cell>
          <cell r="AC171">
            <v>3831816.5589072849</v>
          </cell>
          <cell r="AD171">
            <v>4264249.5678520519</v>
          </cell>
          <cell r="AE171">
            <v>3741712.5513172923</v>
          </cell>
          <cell r="AF171">
            <v>3928702.5008468581</v>
          </cell>
        </row>
        <row r="176">
          <cell r="D176">
            <v>8140</v>
          </cell>
          <cell r="E176"/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D177">
            <v>8150</v>
          </cell>
          <cell r="E177"/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D178">
            <v>8160</v>
          </cell>
          <cell r="E178"/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D179">
            <v>8170</v>
          </cell>
          <cell r="E179"/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D180">
            <v>8180</v>
          </cell>
          <cell r="E180"/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D181">
            <v>8190</v>
          </cell>
          <cell r="E181"/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D182">
            <v>8200</v>
          </cell>
          <cell r="E182"/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D183">
            <v>8210</v>
          </cell>
          <cell r="E183"/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D184">
            <v>8240</v>
          </cell>
          <cell r="E184"/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D185">
            <v>8250</v>
          </cell>
          <cell r="E185"/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D186">
            <v>8310</v>
          </cell>
          <cell r="E186"/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D187">
            <v>8320</v>
          </cell>
          <cell r="E187"/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D188">
            <v>8340</v>
          </cell>
          <cell r="E188"/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D189">
            <v>8350</v>
          </cell>
          <cell r="E189"/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D190">
            <v>8360</v>
          </cell>
          <cell r="E190"/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D191">
            <v>8400</v>
          </cell>
          <cell r="E191"/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D192">
            <v>8410</v>
          </cell>
          <cell r="E192"/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D193">
            <v>8470</v>
          </cell>
          <cell r="E193"/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D194">
            <v>8500</v>
          </cell>
          <cell r="E194"/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D195">
            <v>8560</v>
          </cell>
          <cell r="E195"/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D196">
            <v>8570</v>
          </cell>
          <cell r="E196"/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D197">
            <v>8580</v>
          </cell>
          <cell r="E197"/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D198">
            <v>8590</v>
          </cell>
          <cell r="E198"/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D199">
            <v>8600</v>
          </cell>
          <cell r="E199"/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D200">
            <v>8620</v>
          </cell>
          <cell r="E200"/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D201">
            <v>8630</v>
          </cell>
          <cell r="E201"/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D202">
            <v>8640</v>
          </cell>
          <cell r="E202"/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</row>
        <row r="203">
          <cell r="D203">
            <v>8650</v>
          </cell>
          <cell r="E203"/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D204">
            <v>8670</v>
          </cell>
          <cell r="E204"/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D205">
            <v>8700</v>
          </cell>
          <cell r="E205"/>
          <cell r="F205">
            <v>0</v>
          </cell>
          <cell r="G205">
            <v>395</v>
          </cell>
          <cell r="H205">
            <v>0</v>
          </cell>
          <cell r="I205">
            <v>0</v>
          </cell>
          <cell r="J205">
            <v>1136.92</v>
          </cell>
          <cell r="K205">
            <v>3315.76</v>
          </cell>
          <cell r="L205">
            <v>1030.5779431271044</v>
          </cell>
          <cell r="M205">
            <v>1092.1255720496281</v>
          </cell>
          <cell r="N205">
            <v>1088.5112857554543</v>
          </cell>
          <cell r="O205">
            <v>851.17315243804569</v>
          </cell>
          <cell r="P205">
            <v>851.17315243804569</v>
          </cell>
          <cell r="Q205">
            <v>985.18111044666125</v>
          </cell>
          <cell r="R205">
            <v>816.25251191462792</v>
          </cell>
          <cell r="S205">
            <v>798.79219165291909</v>
          </cell>
          <cell r="T205">
            <v>819.30806796042702</v>
          </cell>
          <cell r="U205">
            <v>877.36363283060894</v>
          </cell>
          <cell r="V205">
            <v>877.36363283060894</v>
          </cell>
          <cell r="W205">
            <v>897.87950913811699</v>
          </cell>
          <cell r="X205">
            <v>1060.6969955785521</v>
          </cell>
          <cell r="Y205">
            <v>925.03030714507418</v>
          </cell>
          <cell r="Z205">
            <v>933.00967350467522</v>
          </cell>
          <cell r="AA205">
            <v>851.17315243804569</v>
          </cell>
          <cell r="AB205">
            <v>851.17315243804569</v>
          </cell>
          <cell r="AC205">
            <v>985.18111044666125</v>
          </cell>
          <cell r="AD205">
            <v>816.25251191462792</v>
          </cell>
          <cell r="AE205">
            <v>798.79219165291909</v>
          </cell>
          <cell r="AF205">
            <v>819.30806796042702</v>
          </cell>
        </row>
        <row r="206">
          <cell r="D206">
            <v>8710</v>
          </cell>
          <cell r="E206"/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D207">
            <v>8711</v>
          </cell>
          <cell r="E207"/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D208">
            <v>8720</v>
          </cell>
          <cell r="E208"/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D209">
            <v>8740</v>
          </cell>
          <cell r="E209"/>
          <cell r="F209">
            <v>1599.32</v>
          </cell>
          <cell r="G209">
            <v>1400.53</v>
          </cell>
          <cell r="H209">
            <v>1614.3</v>
          </cell>
          <cell r="I209">
            <v>1672.3899999999999</v>
          </cell>
          <cell r="J209">
            <v>1408.5</v>
          </cell>
          <cell r="K209">
            <v>1470.71</v>
          </cell>
          <cell r="L209">
            <v>1687.1943024105185</v>
          </cell>
          <cell r="M209">
            <v>1687.1943024105185</v>
          </cell>
          <cell r="N209">
            <v>1687.1943024105185</v>
          </cell>
          <cell r="O209">
            <v>1723.8940021102183</v>
          </cell>
          <cell r="P209">
            <v>1723.8940021102183</v>
          </cell>
          <cell r="Q209">
            <v>1723.8940021102183</v>
          </cell>
          <cell r="R209">
            <v>1723.8940021102183</v>
          </cell>
          <cell r="S209">
            <v>1723.8940021102183</v>
          </cell>
          <cell r="T209">
            <v>1723.8940021102183</v>
          </cell>
          <cell r="U209">
            <v>1723.8940021102183</v>
          </cell>
          <cell r="V209">
            <v>1723.8940021102183</v>
          </cell>
          <cell r="W209">
            <v>1723.8940021102183</v>
          </cell>
          <cell r="X209">
            <v>1723.8940021102183</v>
          </cell>
          <cell r="Y209">
            <v>1723.8940021102183</v>
          </cell>
          <cell r="Z209">
            <v>1727.8615372128884</v>
          </cell>
          <cell r="AA209">
            <v>1723.8940021102183</v>
          </cell>
          <cell r="AB209">
            <v>1723.8940021102183</v>
          </cell>
          <cell r="AC209">
            <v>1723.8940021102183</v>
          </cell>
          <cell r="AD209">
            <v>1723.8940021102183</v>
          </cell>
          <cell r="AE209">
            <v>1723.8940021102183</v>
          </cell>
          <cell r="AF209">
            <v>1723.8940021102183</v>
          </cell>
        </row>
        <row r="210">
          <cell r="D210">
            <v>8750</v>
          </cell>
          <cell r="E210"/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D211">
            <v>8760</v>
          </cell>
          <cell r="E211"/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D212">
            <v>8770</v>
          </cell>
          <cell r="E212"/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D213">
            <v>8780</v>
          </cell>
          <cell r="E213"/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D214">
            <v>8790</v>
          </cell>
          <cell r="E214"/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D215">
            <v>8800</v>
          </cell>
          <cell r="E215"/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D216">
            <v>8810</v>
          </cell>
          <cell r="E216"/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D217">
            <v>8850</v>
          </cell>
          <cell r="E217"/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D218">
            <v>8860</v>
          </cell>
          <cell r="E218"/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D219">
            <v>8870</v>
          </cell>
          <cell r="E219"/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D220">
            <v>8890</v>
          </cell>
          <cell r="E220"/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D221">
            <v>8900</v>
          </cell>
          <cell r="E221"/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D222">
            <v>8910</v>
          </cell>
          <cell r="E222"/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D223">
            <v>8920</v>
          </cell>
          <cell r="E223"/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D224">
            <v>8930</v>
          </cell>
          <cell r="E224"/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D225">
            <v>8940</v>
          </cell>
          <cell r="E225"/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D226">
            <v>8950</v>
          </cell>
          <cell r="E226"/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D227">
            <v>9010</v>
          </cell>
          <cell r="E227"/>
          <cell r="F227">
            <v>357987.95999999996</v>
          </cell>
          <cell r="G227">
            <v>317143.95999999996</v>
          </cell>
          <cell r="H227">
            <v>355126.45</v>
          </cell>
          <cell r="I227">
            <v>335391.1399999999</v>
          </cell>
          <cell r="J227">
            <v>367011.37</v>
          </cell>
          <cell r="K227">
            <v>323297.92000000004</v>
          </cell>
          <cell r="L227">
            <v>428394.14571558073</v>
          </cell>
          <cell r="M227">
            <v>444161.29946831573</v>
          </cell>
          <cell r="N227">
            <v>408993.01514091447</v>
          </cell>
          <cell r="O227">
            <v>434598.29878748546</v>
          </cell>
          <cell r="P227">
            <v>432744.33587342472</v>
          </cell>
          <cell r="Q227">
            <v>412755.17005839758</v>
          </cell>
          <cell r="R227">
            <v>451369.22032088827</v>
          </cell>
          <cell r="S227">
            <v>393039.74793170003</v>
          </cell>
          <cell r="T227">
            <v>410363.27258513117</v>
          </cell>
          <cell r="U227">
            <v>429246.01646863128</v>
          </cell>
          <cell r="V227">
            <v>488642.38504268869</v>
          </cell>
          <cell r="W227">
            <v>397439.4943155027</v>
          </cell>
          <cell r="X227">
            <v>520252.66818237613</v>
          </cell>
          <cell r="Y227">
            <v>406721.16455940832</v>
          </cell>
          <cell r="Z227">
            <v>395229.03936622158</v>
          </cell>
          <cell r="AA227">
            <v>446161.91149875498</v>
          </cell>
          <cell r="AB227">
            <v>443806.64916003024</v>
          </cell>
          <cell r="AC227">
            <v>423316.18392033927</v>
          </cell>
          <cell r="AD227">
            <v>463228.65870570525</v>
          </cell>
          <cell r="AE227">
            <v>403395.29222634545</v>
          </cell>
          <cell r="AF227">
            <v>421220.11212062027</v>
          </cell>
        </row>
        <row r="228">
          <cell r="D228">
            <v>9020</v>
          </cell>
          <cell r="E228"/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9030</v>
          </cell>
          <cell r="E229"/>
          <cell r="F229">
            <v>1741679.51</v>
          </cell>
          <cell r="G229">
            <v>1492515.8699999996</v>
          </cell>
          <cell r="H229">
            <v>1708357.4500000002</v>
          </cell>
          <cell r="I229">
            <v>1522186.2400000002</v>
          </cell>
          <cell r="J229">
            <v>1617145.7899999998</v>
          </cell>
          <cell r="K229">
            <v>1504396.5099999993</v>
          </cell>
          <cell r="L229">
            <v>1914208.3014894365</v>
          </cell>
          <cell r="M229">
            <v>1944277.1127340696</v>
          </cell>
          <cell r="N229">
            <v>1703896.4118278087</v>
          </cell>
          <cell r="O229">
            <v>1986287.098250078</v>
          </cell>
          <cell r="P229">
            <v>1880332.0047753695</v>
          </cell>
          <cell r="Q229">
            <v>1794672.0841757173</v>
          </cell>
          <cell r="R229">
            <v>2038918.6386659788</v>
          </cell>
          <cell r="S229">
            <v>1753215.3833171069</v>
          </cell>
          <cell r="T229">
            <v>1836703.7200125314</v>
          </cell>
          <cell r="U229">
            <v>1953200.1379290866</v>
          </cell>
          <cell r="V229">
            <v>2024086.037393216</v>
          </cell>
          <cell r="W229">
            <v>1758262.677921674</v>
          </cell>
          <cell r="X229">
            <v>2023939.503513241</v>
          </cell>
          <cell r="Y229">
            <v>1868748.8079969157</v>
          </cell>
          <cell r="Z229">
            <v>1789055.9970529932</v>
          </cell>
          <cell r="AA229">
            <v>2043758.8230451408</v>
          </cell>
          <cell r="AB229">
            <v>1935312.2467359952</v>
          </cell>
          <cell r="AC229">
            <v>1847160.8433019056</v>
          </cell>
          <cell r="AD229">
            <v>2097860.6316308561</v>
          </cell>
          <cell r="AE229">
            <v>1804682.9485724645</v>
          </cell>
          <cell r="AF229">
            <v>1890662.7473085336</v>
          </cell>
        </row>
        <row r="230">
          <cell r="D230">
            <v>9040</v>
          </cell>
          <cell r="E230"/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9070</v>
          </cell>
          <cell r="E231"/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9080</v>
          </cell>
          <cell r="E232"/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D233">
            <v>9090</v>
          </cell>
          <cell r="E233"/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D234">
            <v>9100</v>
          </cell>
          <cell r="E234"/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D235">
            <v>9110</v>
          </cell>
          <cell r="E235"/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D236">
            <v>9120</v>
          </cell>
          <cell r="E236"/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9130</v>
          </cell>
          <cell r="E237"/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9160</v>
          </cell>
          <cell r="E238"/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D239">
            <v>9200</v>
          </cell>
          <cell r="E239"/>
          <cell r="F239">
            <v>372337.50000000006</v>
          </cell>
          <cell r="G239">
            <v>306657.80999999994</v>
          </cell>
          <cell r="H239">
            <v>349705.97000000003</v>
          </cell>
          <cell r="I239">
            <v>390956.49000000005</v>
          </cell>
          <cell r="J239">
            <v>367637.87999999995</v>
          </cell>
          <cell r="K239">
            <v>345350.60000000009</v>
          </cell>
          <cell r="L239">
            <v>413870.56484457385</v>
          </cell>
          <cell r="M239">
            <v>432534.08410683239</v>
          </cell>
          <cell r="N239">
            <v>377113.85549855884</v>
          </cell>
          <cell r="O239">
            <v>436138.12074621447</v>
          </cell>
          <cell r="P239">
            <v>417906.00648276997</v>
          </cell>
          <cell r="Q239">
            <v>398790.66969390755</v>
          </cell>
          <cell r="R239">
            <v>447552.19964526792</v>
          </cell>
          <cell r="S239">
            <v>390729.00586365792</v>
          </cell>
          <cell r="T239">
            <v>409594.18901064445</v>
          </cell>
          <cell r="U239">
            <v>428436.01052444585</v>
          </cell>
          <cell r="V239">
            <v>449007.31210763182</v>
          </cell>
          <cell r="W239">
            <v>390795.96584209031</v>
          </cell>
          <cell r="X239">
            <v>439295.84692403383</v>
          </cell>
          <cell r="Y239">
            <v>416815.11549037608</v>
          </cell>
          <cell r="Z239">
            <v>398150.53259779012</v>
          </cell>
          <cell r="AA239">
            <v>449190.27213988232</v>
          </cell>
          <cell r="AB239">
            <v>430392.32813553908</v>
          </cell>
          <cell r="AC239">
            <v>410711.16160577774</v>
          </cell>
          <cell r="AD239">
            <v>460938.25719557435</v>
          </cell>
          <cell r="AE239">
            <v>402417.57891365484</v>
          </cell>
          <cell r="AF239">
            <v>421848.58707915316</v>
          </cell>
        </row>
        <row r="240">
          <cell r="D240">
            <v>9210</v>
          </cell>
          <cell r="E240"/>
          <cell r="F240">
            <v>583637.42999999993</v>
          </cell>
          <cell r="G240">
            <v>595842.85999999987</v>
          </cell>
          <cell r="H240">
            <v>709396.22000000009</v>
          </cell>
          <cell r="I240">
            <v>698910.06</v>
          </cell>
          <cell r="J240">
            <v>638917.2200000002</v>
          </cell>
          <cell r="K240">
            <v>624267.52000000002</v>
          </cell>
          <cell r="L240">
            <v>191855.05396996925</v>
          </cell>
          <cell r="M240">
            <v>180789.54480166081</v>
          </cell>
          <cell r="N240">
            <v>179691.6683881772</v>
          </cell>
          <cell r="O240">
            <v>153089.65398182583</v>
          </cell>
          <cell r="P240">
            <v>150561.90957695534</v>
          </cell>
          <cell r="Q240">
            <v>151915.91380028042</v>
          </cell>
          <cell r="R240">
            <v>145722.73816118803</v>
          </cell>
          <cell r="S240">
            <v>147840.07678317462</v>
          </cell>
          <cell r="T240">
            <v>162220.25410780965</v>
          </cell>
          <cell r="U240">
            <v>205079.412112316</v>
          </cell>
          <cell r="V240">
            <v>144141.80872034363</v>
          </cell>
          <cell r="W240">
            <v>178979.41125071948</v>
          </cell>
          <cell r="X240">
            <v>161164.06230037767</v>
          </cell>
          <cell r="Y240">
            <v>161172.73086159045</v>
          </cell>
          <cell r="Z240">
            <v>244022.43016772455</v>
          </cell>
          <cell r="AA240">
            <v>153089.65398182583</v>
          </cell>
          <cell r="AB240">
            <v>150561.90957695534</v>
          </cell>
          <cell r="AC240">
            <v>151915.91380028042</v>
          </cell>
          <cell r="AD240">
            <v>145722.73816118803</v>
          </cell>
          <cell r="AE240">
            <v>147840.07678317462</v>
          </cell>
          <cell r="AF240">
            <v>162220.25410780965</v>
          </cell>
        </row>
        <row r="241">
          <cell r="D241">
            <v>9220</v>
          </cell>
          <cell r="E241"/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9230</v>
          </cell>
          <cell r="E242"/>
          <cell r="F242">
            <v>85331.510000000009</v>
          </cell>
          <cell r="G242">
            <v>57129.81</v>
          </cell>
          <cell r="H242">
            <v>52402.36</v>
          </cell>
          <cell r="I242">
            <v>61633.689999999995</v>
          </cell>
          <cell r="J242">
            <v>103506.25</v>
          </cell>
          <cell r="K242">
            <v>59967.73</v>
          </cell>
          <cell r="L242">
            <v>50422.130817872698</v>
          </cell>
          <cell r="M242">
            <v>48471.991926228009</v>
          </cell>
          <cell r="N242">
            <v>46024.928754045708</v>
          </cell>
          <cell r="O242">
            <v>32385.512891150029</v>
          </cell>
          <cell r="P242">
            <v>34085.951459102653</v>
          </cell>
          <cell r="Q242">
            <v>30999.572912707095</v>
          </cell>
          <cell r="R242">
            <v>24405.420728197631</v>
          </cell>
          <cell r="S242">
            <v>29593.409271684141</v>
          </cell>
          <cell r="T242">
            <v>38475.724422390034</v>
          </cell>
          <cell r="U242">
            <v>67095.921523386729</v>
          </cell>
          <cell r="V242">
            <v>28305.698511487011</v>
          </cell>
          <cell r="W242">
            <v>26654.787280465054</v>
          </cell>
          <cell r="X242">
            <v>34296.442641057947</v>
          </cell>
          <cell r="Y242">
            <v>40739.123720121141</v>
          </cell>
          <cell r="Z242">
            <v>97310.486145742892</v>
          </cell>
          <cell r="AA242">
            <v>32385.512891150029</v>
          </cell>
          <cell r="AB242">
            <v>34085.951459102653</v>
          </cell>
          <cell r="AC242">
            <v>30999.572912707095</v>
          </cell>
          <cell r="AD242">
            <v>24405.420728197631</v>
          </cell>
          <cell r="AE242">
            <v>29593.409271684141</v>
          </cell>
          <cell r="AF242">
            <v>38475.724422390034</v>
          </cell>
        </row>
        <row r="243">
          <cell r="D243">
            <v>9240</v>
          </cell>
          <cell r="E243"/>
          <cell r="F243">
            <v>8105.89</v>
          </cell>
          <cell r="G243">
            <v>8105.89</v>
          </cell>
          <cell r="H243">
            <v>7660.39</v>
          </cell>
          <cell r="I243">
            <v>7660.39</v>
          </cell>
          <cell r="J243">
            <v>7660.39</v>
          </cell>
          <cell r="K243">
            <v>7660.39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9250</v>
          </cell>
          <cell r="E244"/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D245">
            <v>9260</v>
          </cell>
          <cell r="E245"/>
          <cell r="F245">
            <v>823774.28000000014</v>
          </cell>
          <cell r="G245">
            <v>704864.38</v>
          </cell>
          <cell r="H245">
            <v>579503.46999999986</v>
          </cell>
          <cell r="I245">
            <v>731729.78</v>
          </cell>
          <cell r="J245">
            <v>834566.24999999988</v>
          </cell>
          <cell r="K245">
            <v>715361.59</v>
          </cell>
          <cell r="L245">
            <v>839343.06625238399</v>
          </cell>
          <cell r="M245">
            <v>877906.09625238425</v>
          </cell>
          <cell r="N245">
            <v>756941.22059230646</v>
          </cell>
          <cell r="O245">
            <v>867377.20759058255</v>
          </cell>
          <cell r="P245">
            <v>823530.30407971423</v>
          </cell>
          <cell r="Q245">
            <v>787853.33520255669</v>
          </cell>
          <cell r="R245">
            <v>887193.33529317204</v>
          </cell>
          <cell r="S245">
            <v>775328.0750407984</v>
          </cell>
          <cell r="T245">
            <v>813317.22674754576</v>
          </cell>
          <cell r="U245">
            <v>851524.25120907789</v>
          </cell>
          <cell r="V245">
            <v>873733.33599157655</v>
          </cell>
          <cell r="W245">
            <v>774708.68562159804</v>
          </cell>
          <cell r="X245">
            <v>838167.78684310953</v>
          </cell>
          <cell r="Y245">
            <v>833621.20246421755</v>
          </cell>
          <cell r="Z245">
            <v>793774.6952963795</v>
          </cell>
          <cell r="AA245">
            <v>916792.85730306082</v>
          </cell>
          <cell r="AB245">
            <v>870803.71328959556</v>
          </cell>
          <cell r="AC245">
            <v>832984.50450984121</v>
          </cell>
          <cell r="AD245">
            <v>937873.15894522355</v>
          </cell>
          <cell r="AE245">
            <v>819581.19545809063</v>
          </cell>
          <cell r="AF245">
            <v>859712.56999440386</v>
          </cell>
        </row>
        <row r="246">
          <cell r="D246">
            <v>9270</v>
          </cell>
          <cell r="E246"/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D247">
            <v>9280</v>
          </cell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D248">
            <v>9290</v>
          </cell>
          <cell r="E248"/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9301</v>
          </cell>
          <cell r="E249"/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9302</v>
          </cell>
          <cell r="E250"/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D251">
            <v>9310</v>
          </cell>
          <cell r="E251"/>
          <cell r="F251">
            <v>131073.48000000001</v>
          </cell>
          <cell r="G251">
            <v>131911.15</v>
          </cell>
          <cell r="H251">
            <v>131577.41</v>
          </cell>
          <cell r="I251">
            <v>134295.28</v>
          </cell>
          <cell r="J251">
            <v>131229.86000000002</v>
          </cell>
          <cell r="K251">
            <v>131089.64000000001</v>
          </cell>
          <cell r="L251">
            <v>136839.07250001791</v>
          </cell>
          <cell r="M251">
            <v>136377.63867142188</v>
          </cell>
          <cell r="N251">
            <v>136377.63867142188</v>
          </cell>
          <cell r="O251">
            <v>131675.40025483278</v>
          </cell>
          <cell r="P251">
            <v>131675.40025483278</v>
          </cell>
          <cell r="Q251">
            <v>132010.25789532339</v>
          </cell>
          <cell r="R251">
            <v>131675.40025483278</v>
          </cell>
          <cell r="S251">
            <v>131675.40025483278</v>
          </cell>
          <cell r="T251">
            <v>132010.25789532339</v>
          </cell>
          <cell r="U251">
            <v>131675.40025483278</v>
          </cell>
          <cell r="V251">
            <v>131675.40025483278</v>
          </cell>
          <cell r="W251">
            <v>132010.25789532339</v>
          </cell>
          <cell r="X251">
            <v>131675.40025483278</v>
          </cell>
          <cell r="Y251">
            <v>131675.40025483278</v>
          </cell>
          <cell r="Z251">
            <v>132007.57903419944</v>
          </cell>
          <cell r="AA251">
            <v>131675.40025483278</v>
          </cell>
          <cell r="AB251">
            <v>131675.40025483278</v>
          </cell>
          <cell r="AC251">
            <v>132010.25789532339</v>
          </cell>
          <cell r="AD251">
            <v>131675.40025483278</v>
          </cell>
          <cell r="AE251">
            <v>131675.40025483278</v>
          </cell>
          <cell r="AF251">
            <v>132010.25789532339</v>
          </cell>
        </row>
        <row r="252">
          <cell r="D252">
            <v>9320</v>
          </cell>
          <cell r="E252"/>
          <cell r="F252">
            <v>2008.94</v>
          </cell>
          <cell r="G252">
            <v>56.08</v>
          </cell>
          <cell r="H252">
            <v>934.83999999999992</v>
          </cell>
          <cell r="I252">
            <v>0</v>
          </cell>
          <cell r="J252">
            <v>0</v>
          </cell>
          <cell r="K252">
            <v>968.25</v>
          </cell>
          <cell r="L252">
            <v>2.6821646268993282</v>
          </cell>
          <cell r="M252">
            <v>2.6821646268993282</v>
          </cell>
          <cell r="N252">
            <v>6.3855386006329189</v>
          </cell>
          <cell r="O252">
            <v>3.9636432819734515</v>
          </cell>
          <cell r="P252">
            <v>3.9636432819734515</v>
          </cell>
          <cell r="Q252">
            <v>9.0458485527945491</v>
          </cell>
          <cell r="R252">
            <v>5.155716449484264</v>
          </cell>
          <cell r="S252">
            <v>3.9636432819734515</v>
          </cell>
          <cell r="T252">
            <v>9.0458485527945491</v>
          </cell>
          <cell r="U252">
            <v>3.9636432819734515</v>
          </cell>
          <cell r="V252">
            <v>3.9636432819734515</v>
          </cell>
          <cell r="W252">
            <v>76.596661378407248</v>
          </cell>
          <cell r="X252">
            <v>3.9636432819734515</v>
          </cell>
          <cell r="Y252">
            <v>3.9636432819734515</v>
          </cell>
          <cell r="Z252">
            <v>7.8458282308336642</v>
          </cell>
          <cell r="AA252">
            <v>3.9636432819734515</v>
          </cell>
          <cell r="AB252">
            <v>3.9636432819734515</v>
          </cell>
          <cell r="AC252">
            <v>9.0458485527945491</v>
          </cell>
          <cell r="AD252">
            <v>5.155716449484264</v>
          </cell>
          <cell r="AE252">
            <v>3.9636432819734515</v>
          </cell>
          <cell r="AF252">
            <v>9.0458485527945491</v>
          </cell>
        </row>
      </sheetData>
      <sheetData sheetId="4">
        <row r="9">
          <cell r="C9" t="str">
            <v>8870</v>
          </cell>
          <cell r="AL9">
            <v>-738.4214153461071</v>
          </cell>
        </row>
        <row r="10">
          <cell r="C10" t="str">
            <v>8890</v>
          </cell>
          <cell r="AL10">
            <v>-1683.1889262638797</v>
          </cell>
        </row>
        <row r="11">
          <cell r="C11" t="str">
            <v>8900</v>
          </cell>
          <cell r="AL11">
            <v>-22.396662593276005</v>
          </cell>
        </row>
        <row r="12">
          <cell r="C12" t="str">
            <v>8920</v>
          </cell>
          <cell r="AL12">
            <v>-248.11219385553704</v>
          </cell>
        </row>
        <row r="13">
          <cell r="C13" t="str">
            <v>8930</v>
          </cell>
          <cell r="AL13">
            <v>0</v>
          </cell>
        </row>
        <row r="14">
          <cell r="C14" t="str">
            <v>9010</v>
          </cell>
          <cell r="AL14">
            <v>0</v>
          </cell>
        </row>
        <row r="15">
          <cell r="C15" t="str">
            <v>9020</v>
          </cell>
          <cell r="AL15">
            <v>-16263.644732160843</v>
          </cell>
        </row>
        <row r="16">
          <cell r="C16" t="str">
            <v>9030</v>
          </cell>
          <cell r="AL16">
            <v>-14057.829912089626</v>
          </cell>
        </row>
        <row r="17">
          <cell r="C17" t="str">
            <v>9090</v>
          </cell>
          <cell r="AL17">
            <v>-3582.776085765523</v>
          </cell>
        </row>
        <row r="18">
          <cell r="C18" t="str">
            <v>9110</v>
          </cell>
          <cell r="AL18">
            <v>-6380.8879288886383</v>
          </cell>
        </row>
        <row r="19">
          <cell r="C19" t="str">
            <v>9200</v>
          </cell>
          <cell r="AL19">
            <v>-4660.5228858756018</v>
          </cell>
        </row>
        <row r="20">
          <cell r="C20" t="str">
            <v>8160</v>
          </cell>
          <cell r="AL20">
            <v>-1086.5355863639852</v>
          </cell>
        </row>
        <row r="21">
          <cell r="C21" t="str">
            <v>8170</v>
          </cell>
          <cell r="AL21">
            <v>-626.27603411510063</v>
          </cell>
        </row>
        <row r="22">
          <cell r="C22" t="str">
            <v>8180</v>
          </cell>
          <cell r="AL22">
            <v>-501.55571765299646</v>
          </cell>
        </row>
        <row r="23">
          <cell r="C23" t="str">
            <v>8200</v>
          </cell>
          <cell r="AL23">
            <v>-64.670444597655433</v>
          </cell>
        </row>
        <row r="24">
          <cell r="C24" t="str">
            <v>8210</v>
          </cell>
          <cell r="AL24">
            <v>-1431.3895166689981</v>
          </cell>
        </row>
        <row r="25">
          <cell r="C25" t="str">
            <v>8340</v>
          </cell>
          <cell r="AL25">
            <v>-115.4121307095179</v>
          </cell>
        </row>
        <row r="26">
          <cell r="C26" t="str">
            <v>8350</v>
          </cell>
          <cell r="AL26">
            <v>0</v>
          </cell>
        </row>
        <row r="27">
          <cell r="C27" t="str">
            <v>8360</v>
          </cell>
          <cell r="AL27">
            <v>0</v>
          </cell>
        </row>
        <row r="28">
          <cell r="C28" t="str">
            <v>8410</v>
          </cell>
          <cell r="AL28">
            <v>-2277.7692243050333</v>
          </cell>
        </row>
        <row r="29">
          <cell r="C29" t="str">
            <v>8560</v>
          </cell>
          <cell r="AL29">
            <v>-7094.9802291207016</v>
          </cell>
        </row>
        <row r="30">
          <cell r="C30" t="str">
            <v>8570</v>
          </cell>
          <cell r="AL30">
            <v>-761.82758749131244</v>
          </cell>
        </row>
        <row r="31">
          <cell r="C31" t="str">
            <v>8630</v>
          </cell>
          <cell r="AL31">
            <v>-529.15418575180956</v>
          </cell>
        </row>
        <row r="32">
          <cell r="C32" t="str">
            <v>8650</v>
          </cell>
          <cell r="AL32">
            <v>0</v>
          </cell>
        </row>
        <row r="33">
          <cell r="C33" t="str">
            <v>8700</v>
          </cell>
          <cell r="AL33">
            <v>-14597.644805095566</v>
          </cell>
        </row>
        <row r="34">
          <cell r="C34" t="str">
            <v>8740</v>
          </cell>
          <cell r="AL34">
            <v>-57944.949420679593</v>
          </cell>
        </row>
        <row r="35">
          <cell r="C35" t="str">
            <v>8750</v>
          </cell>
          <cell r="AL35">
            <v>-15008.851045041578</v>
          </cell>
        </row>
        <row r="36">
          <cell r="C36" t="str">
            <v>8760</v>
          </cell>
          <cell r="AL36">
            <v>-3831.7721699960093</v>
          </cell>
        </row>
        <row r="37">
          <cell r="C37" t="str">
            <v>8770</v>
          </cell>
          <cell r="AL37">
            <v>0</v>
          </cell>
        </row>
        <row r="38">
          <cell r="C38" t="str">
            <v>8780</v>
          </cell>
          <cell r="AL38">
            <v>-27510.224857667577</v>
          </cell>
        </row>
        <row r="39">
          <cell r="C39" t="str">
            <v>8800</v>
          </cell>
          <cell r="AL39">
            <v>0</v>
          </cell>
        </row>
        <row r="40">
          <cell r="C40" t="str">
            <v>8700</v>
          </cell>
          <cell r="AL40">
            <v>-223468.16187879071</v>
          </cell>
        </row>
        <row r="41">
          <cell r="C41" t="str">
            <v>8700</v>
          </cell>
          <cell r="AL41">
            <v>219532.76234916598</v>
          </cell>
        </row>
        <row r="42">
          <cell r="C42" t="str">
            <v>8560</v>
          </cell>
          <cell r="AL42">
            <v>0</v>
          </cell>
        </row>
        <row r="43">
          <cell r="C43" t="str">
            <v>8700</v>
          </cell>
          <cell r="AL43">
            <v>-45.046516170242739</v>
          </cell>
        </row>
        <row r="44">
          <cell r="C44" t="str">
            <v>8870</v>
          </cell>
          <cell r="AL44">
            <v>-44.40605363052191</v>
          </cell>
        </row>
        <row r="45">
          <cell r="C45" t="str">
            <v>8920</v>
          </cell>
          <cell r="AL45">
            <v>22.148678622103716</v>
          </cell>
        </row>
        <row r="46">
          <cell r="C46" t="str">
            <v>8930</v>
          </cell>
          <cell r="AL46">
            <v>0</v>
          </cell>
        </row>
        <row r="47">
          <cell r="C47" t="str">
            <v>9020</v>
          </cell>
          <cell r="AL47">
            <v>315.52803580333421</v>
          </cell>
        </row>
        <row r="48">
          <cell r="C48" t="str">
            <v>9030</v>
          </cell>
          <cell r="AL48">
            <v>-624.06630817775294</v>
          </cell>
        </row>
        <row r="49">
          <cell r="C49" t="str">
            <v>9090</v>
          </cell>
          <cell r="AL49">
            <v>5.6843418860808015E-14</v>
          </cell>
        </row>
        <row r="50">
          <cell r="C50" t="str">
            <v>9110</v>
          </cell>
          <cell r="AL50">
            <v>2.5898378511666351</v>
          </cell>
        </row>
        <row r="51">
          <cell r="C51" t="str">
            <v>9200</v>
          </cell>
          <cell r="AL51">
            <v>144.99381970114337</v>
          </cell>
        </row>
        <row r="52">
          <cell r="C52" t="str">
            <v>8160</v>
          </cell>
          <cell r="AL52">
            <v>-3.7926577428369654</v>
          </cell>
        </row>
        <row r="53">
          <cell r="C53" t="str">
            <v>8170</v>
          </cell>
          <cell r="AL53">
            <v>-21.466559982238891</v>
          </cell>
        </row>
        <row r="54">
          <cell r="C54" t="str">
            <v>8180</v>
          </cell>
          <cell r="AL54">
            <v>-21.19058831878192</v>
          </cell>
        </row>
        <row r="55">
          <cell r="C55" t="str">
            <v>8200</v>
          </cell>
          <cell r="AL55">
            <v>-4.3472045760096165</v>
          </cell>
        </row>
        <row r="56">
          <cell r="C56" t="str">
            <v>8210</v>
          </cell>
          <cell r="AL56">
            <v>60.970862203578463</v>
          </cell>
        </row>
        <row r="57">
          <cell r="C57" t="str">
            <v>8340</v>
          </cell>
          <cell r="AL57">
            <v>0</v>
          </cell>
        </row>
        <row r="58">
          <cell r="C58" t="str">
            <v>8350</v>
          </cell>
          <cell r="AL58">
            <v>0</v>
          </cell>
        </row>
        <row r="59">
          <cell r="C59" t="str">
            <v>8360</v>
          </cell>
          <cell r="AL59">
            <v>0</v>
          </cell>
        </row>
        <row r="60">
          <cell r="C60" t="str">
            <v>8410</v>
          </cell>
          <cell r="AL60">
            <v>51.168661138343396</v>
          </cell>
        </row>
        <row r="61">
          <cell r="C61" t="str">
            <v>8560</v>
          </cell>
          <cell r="AL61">
            <v>188.09421494276194</v>
          </cell>
        </row>
        <row r="62">
          <cell r="C62" t="str">
            <v>8570</v>
          </cell>
          <cell r="AL62">
            <v>38.158289485422983</v>
          </cell>
        </row>
        <row r="63">
          <cell r="C63" t="str">
            <v>8630</v>
          </cell>
          <cell r="AL63">
            <v>-4.936247867114389</v>
          </cell>
        </row>
        <row r="64">
          <cell r="C64" t="str">
            <v>8650</v>
          </cell>
          <cell r="AL64">
            <v>0</v>
          </cell>
        </row>
        <row r="65">
          <cell r="C65" t="str">
            <v>8700</v>
          </cell>
          <cell r="AL65">
            <v>194.62771389978934</v>
          </cell>
        </row>
        <row r="66">
          <cell r="C66" t="str">
            <v>8740</v>
          </cell>
          <cell r="AL66">
            <v>-454.43160348805213</v>
          </cell>
        </row>
        <row r="67">
          <cell r="C67" t="str">
            <v>8750</v>
          </cell>
          <cell r="AL67">
            <v>211.12678393980605</v>
          </cell>
        </row>
        <row r="68">
          <cell r="C68" t="str">
            <v>8760</v>
          </cell>
          <cell r="AL68">
            <v>-302.62570966016392</v>
          </cell>
        </row>
        <row r="69">
          <cell r="C69" t="str">
            <v>8770</v>
          </cell>
          <cell r="AL69">
            <v>0</v>
          </cell>
        </row>
        <row r="70">
          <cell r="C70" t="str">
            <v>8780</v>
          </cell>
          <cell r="AL70">
            <v>1424.8410475509809</v>
          </cell>
        </row>
        <row r="71">
          <cell r="C71" t="str">
            <v>8800</v>
          </cell>
          <cell r="AL71">
            <v>2.3457591393829347</v>
          </cell>
        </row>
        <row r="72">
          <cell r="C72" t="str">
            <v>8890</v>
          </cell>
          <cell r="AL72">
            <v>-63.688922738002248</v>
          </cell>
        </row>
        <row r="73">
          <cell r="C73" t="str">
            <v>9010</v>
          </cell>
          <cell r="AL73">
            <v>0</v>
          </cell>
        </row>
        <row r="74">
          <cell r="C74" t="str">
            <v>8900</v>
          </cell>
          <cell r="AL74">
            <v>0</v>
          </cell>
        </row>
        <row r="75">
          <cell r="C75" t="str">
            <v>8700</v>
          </cell>
          <cell r="AL75">
            <v>-138368.19046812691</v>
          </cell>
        </row>
        <row r="76">
          <cell r="C76" t="str">
            <v>8700</v>
          </cell>
          <cell r="AL76">
            <v>142303.5899977521</v>
          </cell>
        </row>
        <row r="77">
          <cell r="C77" t="str">
            <v>8700</v>
          </cell>
          <cell r="AL77">
            <v>0</v>
          </cell>
        </row>
        <row r="78">
          <cell r="C78" t="str">
            <v>8560</v>
          </cell>
          <cell r="AL78">
            <v>0</v>
          </cell>
        </row>
        <row r="79">
          <cell r="C79" t="str">
            <v>8700</v>
          </cell>
          <cell r="AL79">
            <v>45.046516170242739</v>
          </cell>
        </row>
        <row r="80">
          <cell r="C80" t="str">
            <v>8560</v>
          </cell>
          <cell r="AL80">
            <v>0</v>
          </cell>
        </row>
        <row r="81">
          <cell r="C81"/>
          <cell r="AL81"/>
        </row>
        <row r="82">
          <cell r="C82"/>
          <cell r="AL82"/>
        </row>
        <row r="83">
          <cell r="C83" t="str">
            <v>9260</v>
          </cell>
          <cell r="AL83">
            <v>-3087.3044802735094</v>
          </cell>
        </row>
        <row r="84">
          <cell r="C84" t="str">
            <v>9260</v>
          </cell>
          <cell r="AL84">
            <v>486.25760159448691</v>
          </cell>
        </row>
        <row r="85">
          <cell r="C85" t="str">
            <v>9260</v>
          </cell>
          <cell r="AL85">
            <v>-11316.757341038669</v>
          </cell>
        </row>
        <row r="86">
          <cell r="C86" t="str">
            <v>9260</v>
          </cell>
          <cell r="AL86">
            <v>0</v>
          </cell>
        </row>
        <row r="87">
          <cell r="C87" t="str">
            <v>9260</v>
          </cell>
          <cell r="AL87">
            <v>-2281.2411619229824</v>
          </cell>
        </row>
        <row r="88">
          <cell r="C88" t="str">
            <v>9260</v>
          </cell>
          <cell r="AL88">
            <v>0</v>
          </cell>
        </row>
        <row r="89">
          <cell r="C89" t="str">
            <v>9260</v>
          </cell>
          <cell r="AL89">
            <v>-54.481498260431181</v>
          </cell>
        </row>
        <row r="90">
          <cell r="C90" t="str">
            <v>9260</v>
          </cell>
          <cell r="AL90">
            <v>0</v>
          </cell>
        </row>
        <row r="91">
          <cell r="C91" t="str">
            <v>9260</v>
          </cell>
          <cell r="AL91">
            <v>-333.85715450478165</v>
          </cell>
        </row>
        <row r="92">
          <cell r="C92" t="str">
            <v>9260</v>
          </cell>
          <cell r="AL92">
            <v>0</v>
          </cell>
        </row>
        <row r="93">
          <cell r="C93" t="str">
            <v>9260</v>
          </cell>
          <cell r="AL93">
            <v>-108.96279941835564</v>
          </cell>
        </row>
        <row r="94">
          <cell r="C94" t="str">
            <v>9260</v>
          </cell>
          <cell r="AL94">
            <v>0</v>
          </cell>
        </row>
        <row r="95">
          <cell r="C95" t="str">
            <v>9260</v>
          </cell>
          <cell r="AL95">
            <v>-272.40768840466626</v>
          </cell>
        </row>
        <row r="96">
          <cell r="C96" t="str">
            <v>9260</v>
          </cell>
          <cell r="AL96">
            <v>0</v>
          </cell>
        </row>
        <row r="97">
          <cell r="C97" t="str">
            <v>9260</v>
          </cell>
          <cell r="AL97">
            <v>0</v>
          </cell>
        </row>
        <row r="98">
          <cell r="C98" t="str">
            <v>9260</v>
          </cell>
          <cell r="AL98">
            <v>0</v>
          </cell>
        </row>
        <row r="99">
          <cell r="C99" t="str">
            <v>9250</v>
          </cell>
          <cell r="AL99">
            <v>0</v>
          </cell>
          <cell r="AM99"/>
        </row>
        <row r="100">
          <cell r="C100"/>
          <cell r="AL100"/>
          <cell r="AM100"/>
        </row>
        <row r="101">
          <cell r="C101"/>
          <cell r="AM101"/>
        </row>
        <row r="102">
          <cell r="C102" t="str">
            <v>8560</v>
          </cell>
          <cell r="AM102"/>
          <cell r="AN102">
            <v>-246.34012519627868</v>
          </cell>
        </row>
        <row r="103">
          <cell r="C103" t="str">
            <v>8700</v>
          </cell>
          <cell r="AM103"/>
          <cell r="AN103">
            <v>-123.64980787848651</v>
          </cell>
        </row>
        <row r="104">
          <cell r="C104" t="str">
            <v>8740</v>
          </cell>
          <cell r="AM104"/>
          <cell r="AN104">
            <v>-1449.2482547036379</v>
          </cell>
        </row>
        <row r="105">
          <cell r="C105" t="str">
            <v>8750</v>
          </cell>
          <cell r="AM105"/>
          <cell r="AN105">
            <v>-223.66243613337497</v>
          </cell>
        </row>
        <row r="106">
          <cell r="C106" t="str">
            <v>8780</v>
          </cell>
          <cell r="AM106"/>
          <cell r="AN106">
            <v>-458.4575559885393</v>
          </cell>
        </row>
        <row r="107">
          <cell r="C107" t="str">
            <v>9020</v>
          </cell>
          <cell r="AM107"/>
          <cell r="AN107">
            <v>-584.83542892067544</v>
          </cell>
        </row>
        <row r="108">
          <cell r="C108" t="str">
            <v>9030</v>
          </cell>
          <cell r="AM108"/>
          <cell r="AN108">
            <v>0</v>
          </cell>
        </row>
        <row r="109">
          <cell r="C109" t="str">
            <v>9260</v>
          </cell>
          <cell r="AM109"/>
          <cell r="AN109">
            <v>-6251.0395114416242</v>
          </cell>
        </row>
        <row r="110">
          <cell r="C110" t="str">
            <v>9030</v>
          </cell>
          <cell r="AM110"/>
          <cell r="AN110">
            <v>0</v>
          </cell>
        </row>
        <row r="111">
          <cell r="C111" t="str">
            <v>9260</v>
          </cell>
          <cell r="AM111"/>
          <cell r="AN111">
            <v>3477.0693175061242</v>
          </cell>
        </row>
        <row r="112">
          <cell r="C112" t="str">
            <v>8560</v>
          </cell>
          <cell r="AM112"/>
          <cell r="AN112">
            <v>12.89866499701337</v>
          </cell>
        </row>
        <row r="113">
          <cell r="C113" t="str">
            <v>8700</v>
          </cell>
          <cell r="AM113"/>
          <cell r="AN113">
            <v>64.480358896408916</v>
          </cell>
        </row>
        <row r="114">
          <cell r="C114" t="str">
            <v>8740</v>
          </cell>
          <cell r="AM114"/>
          <cell r="AN114">
            <v>782.74980619692542</v>
          </cell>
        </row>
        <row r="115">
          <cell r="C115" t="str">
            <v>9280</v>
          </cell>
          <cell r="AM115"/>
          <cell r="AN115">
            <v>-71.541690779574765</v>
          </cell>
        </row>
        <row r="116">
          <cell r="C116" t="str">
            <v>9280</v>
          </cell>
          <cell r="AM116"/>
          <cell r="AN116">
            <v>28.341276588733223</v>
          </cell>
        </row>
        <row r="117">
          <cell r="C117" t="str">
            <v>9250</v>
          </cell>
          <cell r="AM117"/>
          <cell r="AN117">
            <v>-18.951235182584227</v>
          </cell>
        </row>
        <row r="118">
          <cell r="C118" t="str">
            <v>9250</v>
          </cell>
          <cell r="AM118"/>
          <cell r="AN118">
            <v>12.968681875766791</v>
          </cell>
        </row>
        <row r="119">
          <cell r="C119" t="str">
            <v>8750</v>
          </cell>
          <cell r="AM119"/>
          <cell r="AN119">
            <v>116.62737426129479</v>
          </cell>
        </row>
        <row r="120">
          <cell r="C120" t="str">
            <v>8780</v>
          </cell>
          <cell r="AM120"/>
          <cell r="AN120">
            <v>249.84615556941094</v>
          </cell>
        </row>
        <row r="121">
          <cell r="C121" t="str">
            <v>9020</v>
          </cell>
          <cell r="AM121"/>
          <cell r="AN121">
            <v>312.26490636919289</v>
          </cell>
        </row>
        <row r="122">
          <cell r="C122" t="str">
            <v>9260</v>
          </cell>
          <cell r="AM122"/>
          <cell r="AN122">
            <v>-2446.6594382875282</v>
          </cell>
        </row>
        <row r="123">
          <cell r="C123" t="str">
            <v>9260</v>
          </cell>
          <cell r="AM123"/>
          <cell r="AN123">
            <v>-2922.141468684069</v>
          </cell>
        </row>
        <row r="124">
          <cell r="C124" t="str">
            <v>9260</v>
          </cell>
          <cell r="AM124"/>
          <cell r="AN124">
            <v>0</v>
          </cell>
        </row>
        <row r="125">
          <cell r="C125" t="str">
            <v>9020</v>
          </cell>
          <cell r="AM125"/>
          <cell r="AN125">
            <v>0</v>
          </cell>
        </row>
        <row r="126">
          <cell r="C126" t="str">
            <v>9030</v>
          </cell>
          <cell r="AM126"/>
          <cell r="AN126">
            <v>-115.42930766929226</v>
          </cell>
        </row>
        <row r="127">
          <cell r="C127" t="str">
            <v>9250</v>
          </cell>
          <cell r="AM127"/>
          <cell r="AN127">
            <v>-772.46510467337157</v>
          </cell>
        </row>
        <row r="128">
          <cell r="C128" t="str">
            <v>9260</v>
          </cell>
          <cell r="AM128"/>
          <cell r="AN128">
            <v>-5463.6270997632673</v>
          </cell>
        </row>
        <row r="129">
          <cell r="C129" t="str">
            <v>9302</v>
          </cell>
          <cell r="AM129"/>
          <cell r="AN129">
            <v>-13.832223380391909</v>
          </cell>
        </row>
        <row r="130">
          <cell r="C130" t="str">
            <v>9270</v>
          </cell>
          <cell r="AM130"/>
          <cell r="AN130">
            <v>0</v>
          </cell>
        </row>
        <row r="131">
          <cell r="C131" t="str">
            <v>8560</v>
          </cell>
          <cell r="AM131"/>
          <cell r="AN131">
            <v>0</v>
          </cell>
        </row>
        <row r="132">
          <cell r="C132" t="str">
            <v>8700</v>
          </cell>
          <cell r="AM132"/>
          <cell r="AN132">
            <v>-707.55427163351487</v>
          </cell>
        </row>
        <row r="133">
          <cell r="C133" t="str">
            <v>8740</v>
          </cell>
          <cell r="AM133"/>
          <cell r="AN133">
            <v>-28.071581944646141</v>
          </cell>
        </row>
        <row r="134">
          <cell r="C134" t="str">
            <v>8750</v>
          </cell>
          <cell r="AM134"/>
          <cell r="AN134">
            <v>0</v>
          </cell>
        </row>
        <row r="135">
          <cell r="C135" t="str">
            <v>8800</v>
          </cell>
          <cell r="AM135"/>
          <cell r="AN135">
            <v>0</v>
          </cell>
        </row>
        <row r="136">
          <cell r="C136" t="str">
            <v>9230</v>
          </cell>
          <cell r="AM136"/>
          <cell r="AN136">
            <v>0</v>
          </cell>
        </row>
        <row r="137">
          <cell r="C137" t="str">
            <v>8810</v>
          </cell>
          <cell r="AM137"/>
          <cell r="AN137">
            <v>0</v>
          </cell>
        </row>
        <row r="138">
          <cell r="C138"/>
          <cell r="AM138"/>
          <cell r="AN138"/>
        </row>
        <row r="139">
          <cell r="C139"/>
          <cell r="AM139"/>
          <cell r="AN139">
            <v>0</v>
          </cell>
        </row>
        <row r="140">
          <cell r="C140" t="str">
            <v>9240</v>
          </cell>
          <cell r="AM140"/>
          <cell r="AN140">
            <v>-199289.10849235122</v>
          </cell>
        </row>
        <row r="141">
          <cell r="C141" t="str">
            <v>9210</v>
          </cell>
          <cell r="AM141"/>
          <cell r="AN141">
            <v>-3787.4070752021235</v>
          </cell>
        </row>
        <row r="142">
          <cell r="C142" t="str">
            <v>9240</v>
          </cell>
          <cell r="AM142"/>
          <cell r="AN142">
            <v>114649.50140951957</v>
          </cell>
        </row>
        <row r="143">
          <cell r="C143" t="str">
            <v>8700</v>
          </cell>
          <cell r="AM143"/>
          <cell r="AN143">
            <v>0</v>
          </cell>
        </row>
        <row r="144">
          <cell r="C144" t="str">
            <v>9250</v>
          </cell>
          <cell r="AM144"/>
          <cell r="AN144"/>
        </row>
        <row r="145">
          <cell r="C145" t="str">
            <v>8740</v>
          </cell>
          <cell r="AM145"/>
          <cell r="AN145"/>
        </row>
        <row r="146">
          <cell r="C146" t="str">
            <v>8410</v>
          </cell>
          <cell r="AM146"/>
          <cell r="AN146">
            <v>0</v>
          </cell>
        </row>
        <row r="147">
          <cell r="C147" t="str">
            <v>8740</v>
          </cell>
          <cell r="AM147"/>
          <cell r="AN147">
            <v>-371.54220252889775</v>
          </cell>
        </row>
        <row r="148">
          <cell r="C148" t="str">
            <v>8800</v>
          </cell>
          <cell r="AM148"/>
          <cell r="AN148">
            <v>-159.23237251238473</v>
          </cell>
        </row>
        <row r="149">
          <cell r="C149" t="str">
            <v>8700</v>
          </cell>
          <cell r="AM149"/>
          <cell r="AN149">
            <v>-2570.5412669249304</v>
          </cell>
        </row>
        <row r="150">
          <cell r="C150"/>
          <cell r="AM150"/>
        </row>
        <row r="151">
          <cell r="C151"/>
          <cell r="AM151"/>
        </row>
        <row r="152">
          <cell r="C152" t="str">
            <v>8250</v>
          </cell>
          <cell r="AM152">
            <v>20.731266221882294</v>
          </cell>
        </row>
        <row r="153">
          <cell r="C153" t="str">
            <v>8700</v>
          </cell>
          <cell r="AM153">
            <v>0</v>
          </cell>
        </row>
        <row r="154">
          <cell r="C154" t="str">
            <v>8810</v>
          </cell>
          <cell r="AM154">
            <v>61589.782334954478</v>
          </cell>
        </row>
        <row r="155">
          <cell r="C155" t="str">
            <v>8250</v>
          </cell>
          <cell r="AM155">
            <v>-246.32579084808003</v>
          </cell>
        </row>
        <row r="156">
          <cell r="C156" t="str">
            <v>8700</v>
          </cell>
          <cell r="AM156">
            <v>0</v>
          </cell>
        </row>
        <row r="157">
          <cell r="C157" t="str">
            <v>8810</v>
          </cell>
          <cell r="AM157">
            <v>-106499.69548178557</v>
          </cell>
        </row>
        <row r="158">
          <cell r="C158" t="str">
            <v>9310</v>
          </cell>
          <cell r="AM158">
            <v>-2166.01000982388</v>
          </cell>
        </row>
        <row r="159">
          <cell r="C159" t="str">
            <v>8700</v>
          </cell>
          <cell r="AM159">
            <v>-9597.246267710063</v>
          </cell>
        </row>
        <row r="160">
          <cell r="C160" t="str">
            <v>8710</v>
          </cell>
          <cell r="AM160">
            <v>0</v>
          </cell>
        </row>
        <row r="161">
          <cell r="C161" t="str">
            <v>8780</v>
          </cell>
          <cell r="AM161">
            <v>-173.28700742001047</v>
          </cell>
        </row>
        <row r="162">
          <cell r="C162" t="str">
            <v>8740</v>
          </cell>
          <cell r="AM162">
            <v>-534.66827789886293</v>
          </cell>
        </row>
        <row r="163">
          <cell r="C163" t="str">
            <v>8750</v>
          </cell>
          <cell r="AM163">
            <v>0</v>
          </cell>
        </row>
        <row r="164">
          <cell r="C164" t="str">
            <v>8800</v>
          </cell>
          <cell r="AM164">
            <v>0</v>
          </cell>
        </row>
        <row r="165">
          <cell r="C165" t="str">
            <v>8810</v>
          </cell>
          <cell r="AM165">
            <v>-56766.482288913918</v>
          </cell>
        </row>
        <row r="166">
          <cell r="C166" t="str">
            <v>9120</v>
          </cell>
          <cell r="AM166">
            <v>0</v>
          </cell>
        </row>
        <row r="167">
          <cell r="C167" t="str">
            <v>8860</v>
          </cell>
          <cell r="AM167">
            <v>0</v>
          </cell>
        </row>
        <row r="168">
          <cell r="C168" t="str">
            <v>8910</v>
          </cell>
          <cell r="AM168">
            <v>-155.1658525027276</v>
          </cell>
        </row>
        <row r="169">
          <cell r="C169" t="str">
            <v>8890</v>
          </cell>
          <cell r="AM169">
            <v>-1203.6436844140171</v>
          </cell>
        </row>
        <row r="170">
          <cell r="C170" t="str">
            <v>8870</v>
          </cell>
          <cell r="AM170">
            <v>-5.3310553609865678</v>
          </cell>
        </row>
        <row r="171">
          <cell r="C171" t="str">
            <v>8810</v>
          </cell>
          <cell r="AM171">
            <v>-3.3249825536298765</v>
          </cell>
        </row>
        <row r="172">
          <cell r="C172" t="str">
            <v>8740</v>
          </cell>
          <cell r="AM172">
            <v>-35.18939869258287</v>
          </cell>
        </row>
        <row r="173">
          <cell r="C173" t="str">
            <v>8810</v>
          </cell>
          <cell r="AM173">
            <v>-932.02308878919666</v>
          </cell>
        </row>
        <row r="174">
          <cell r="C174" t="str">
            <v>8700</v>
          </cell>
          <cell r="AM174">
            <v>-11600.237924567038</v>
          </cell>
        </row>
        <row r="175">
          <cell r="C175" t="str">
            <v>8710</v>
          </cell>
          <cell r="AM175">
            <v>-129.32519642343414</v>
          </cell>
        </row>
        <row r="176">
          <cell r="C176" t="str">
            <v>8740</v>
          </cell>
          <cell r="AM176">
            <v>-8534.5402812880202</v>
          </cell>
        </row>
        <row r="177">
          <cell r="C177" t="str">
            <v>8750</v>
          </cell>
          <cell r="AM177">
            <v>-204.25644908827826</v>
          </cell>
        </row>
        <row r="178">
          <cell r="C178" t="str">
            <v>8770</v>
          </cell>
          <cell r="AM178">
            <v>-678.54027299442805</v>
          </cell>
        </row>
        <row r="179">
          <cell r="C179" t="str">
            <v>8780</v>
          </cell>
          <cell r="AM179">
            <v>-2031.9771922682667</v>
          </cell>
        </row>
        <row r="180">
          <cell r="C180" t="str">
            <v>8800</v>
          </cell>
          <cell r="AM180">
            <v>0</v>
          </cell>
        </row>
        <row r="181">
          <cell r="C181" t="str">
            <v>8240</v>
          </cell>
          <cell r="AM181">
            <v>0</v>
          </cell>
        </row>
        <row r="182">
          <cell r="C182" t="str">
            <v>8250</v>
          </cell>
          <cell r="AM182">
            <v>-1480.3321076143257</v>
          </cell>
        </row>
        <row r="183">
          <cell r="C183" t="str">
            <v>9030</v>
          </cell>
          <cell r="AM183">
            <v>-29.897134794721978</v>
          </cell>
        </row>
        <row r="184">
          <cell r="C184" t="str">
            <v>9020</v>
          </cell>
          <cell r="AM184">
            <v>-701.12244617116539</v>
          </cell>
        </row>
        <row r="185">
          <cell r="C185" t="str">
            <v>8560</v>
          </cell>
          <cell r="AM185">
            <v>-3744.3542906628354</v>
          </cell>
        </row>
        <row r="186">
          <cell r="C186" t="str">
            <v>8570</v>
          </cell>
          <cell r="AM186">
            <v>-1145.1849494836142</v>
          </cell>
        </row>
        <row r="187">
          <cell r="C187" t="str">
            <v>8170</v>
          </cell>
          <cell r="AM187">
            <v>-296.682651622805</v>
          </cell>
        </row>
        <row r="188">
          <cell r="C188" t="str">
            <v>8180</v>
          </cell>
          <cell r="AM188">
            <v>-153.76658901140854</v>
          </cell>
        </row>
        <row r="189">
          <cell r="C189" t="str">
            <v>8190</v>
          </cell>
          <cell r="AM189">
            <v>-143.48408046430802</v>
          </cell>
        </row>
        <row r="190">
          <cell r="C190" t="str">
            <v>8200</v>
          </cell>
          <cell r="AM190">
            <v>-220.34382301025767</v>
          </cell>
        </row>
        <row r="191">
          <cell r="C191" t="str">
            <v>8210</v>
          </cell>
          <cell r="AM191">
            <v>-334.81465987534943</v>
          </cell>
        </row>
        <row r="192">
          <cell r="C192" t="str">
            <v>8860</v>
          </cell>
          <cell r="AM192">
            <v>0</v>
          </cell>
        </row>
        <row r="193">
          <cell r="C193" t="str">
            <v>8180</v>
          </cell>
          <cell r="AM193">
            <v>132.03228638584778</v>
          </cell>
        </row>
        <row r="194">
          <cell r="C194" t="str">
            <v>8810</v>
          </cell>
          <cell r="AM194">
            <v>30645.469222335902</v>
          </cell>
        </row>
        <row r="195">
          <cell r="C195" t="str">
            <v>8700</v>
          </cell>
          <cell r="AM195">
            <v>12652.600444428484</v>
          </cell>
        </row>
        <row r="196">
          <cell r="C196" t="str">
            <v>8800</v>
          </cell>
          <cell r="AM196">
            <v>0</v>
          </cell>
        </row>
        <row r="197">
          <cell r="C197" t="str">
            <v>8560</v>
          </cell>
          <cell r="AM197">
            <v>1881.3139203069113</v>
          </cell>
        </row>
        <row r="198">
          <cell r="C198" t="str">
            <v>8550</v>
          </cell>
          <cell r="AM198">
            <v>-60.118455388422888</v>
          </cell>
        </row>
        <row r="199">
          <cell r="C199" t="str">
            <v>8800</v>
          </cell>
          <cell r="AM199">
            <v>0</v>
          </cell>
        </row>
        <row r="200">
          <cell r="C200" t="str">
            <v>8810</v>
          </cell>
          <cell r="AM200">
            <v>-104.84778319112888</v>
          </cell>
        </row>
        <row r="201">
          <cell r="C201"/>
          <cell r="AM201"/>
        </row>
        <row r="202">
          <cell r="C202"/>
        </row>
        <row r="203">
          <cell r="C203" t="str">
            <v>8740</v>
          </cell>
          <cell r="AN203">
            <v>-14692.491184995277</v>
          </cell>
        </row>
        <row r="204">
          <cell r="C204" t="str">
            <v>8160</v>
          </cell>
          <cell r="AN204">
            <v>0</v>
          </cell>
        </row>
        <row r="205">
          <cell r="C205" t="str">
            <v>8760</v>
          </cell>
          <cell r="AN205">
            <v>0</v>
          </cell>
        </row>
        <row r="206">
          <cell r="C206" t="str">
            <v>7560</v>
          </cell>
          <cell r="AN206">
            <v>0</v>
          </cell>
        </row>
        <row r="207">
          <cell r="C207" t="str">
            <v>8210</v>
          </cell>
          <cell r="AN207">
            <v>8.5617497999296077E-2</v>
          </cell>
        </row>
        <row r="208">
          <cell r="C208" t="str">
            <v>8560</v>
          </cell>
          <cell r="AN208">
            <v>3.9746965041344424</v>
          </cell>
        </row>
        <row r="209">
          <cell r="C209" t="str">
            <v>8810</v>
          </cell>
          <cell r="AN209">
            <v>0.50680447323164657</v>
          </cell>
        </row>
        <row r="210">
          <cell r="C210" t="str">
            <v>8650</v>
          </cell>
          <cell r="AN210">
            <v>0</v>
          </cell>
        </row>
        <row r="211">
          <cell r="C211" t="str">
            <v>8700</v>
          </cell>
          <cell r="AN211">
            <v>67.332411747475817</v>
          </cell>
        </row>
        <row r="212">
          <cell r="C212" t="str">
            <v>8740</v>
          </cell>
          <cell r="AN212">
            <v>16460.449070995208</v>
          </cell>
        </row>
        <row r="213">
          <cell r="C213" t="str">
            <v>8750</v>
          </cell>
          <cell r="AN213">
            <v>8.5464153226761255</v>
          </cell>
        </row>
        <row r="214">
          <cell r="C214" t="str">
            <v>8780</v>
          </cell>
          <cell r="AN214">
            <v>30.866002539919009</v>
          </cell>
        </row>
        <row r="215">
          <cell r="C215" t="str">
            <v>8800</v>
          </cell>
          <cell r="AN215">
            <v>0</v>
          </cell>
        </row>
        <row r="216">
          <cell r="C216" t="str">
            <v>9020</v>
          </cell>
          <cell r="AN216">
            <v>7.9409590457794366</v>
          </cell>
        </row>
        <row r="217">
          <cell r="C217" t="str">
            <v>8810</v>
          </cell>
          <cell r="AN217">
            <v>-0.77413552668615893</v>
          </cell>
        </row>
        <row r="218">
          <cell r="C218" t="str">
            <v>8160</v>
          </cell>
          <cell r="AN218">
            <v>0</v>
          </cell>
        </row>
        <row r="219">
          <cell r="C219" t="str">
            <v>9020</v>
          </cell>
          <cell r="AN219">
            <v>-13.274290234583304</v>
          </cell>
        </row>
        <row r="220">
          <cell r="C220" t="str">
            <v>7560</v>
          </cell>
          <cell r="AN220">
            <v>0</v>
          </cell>
        </row>
        <row r="221">
          <cell r="C221" t="str">
            <v>8210</v>
          </cell>
          <cell r="AN221">
            <v>-1.0056861332156188</v>
          </cell>
        </row>
        <row r="222">
          <cell r="C222" t="str">
            <v>8800</v>
          </cell>
          <cell r="AN222">
            <v>0</v>
          </cell>
        </row>
        <row r="223">
          <cell r="C223" t="str">
            <v>8560</v>
          </cell>
          <cell r="AN223">
            <v>-64.811423686983289</v>
          </cell>
        </row>
        <row r="224">
          <cell r="C224" t="str">
            <v>8650</v>
          </cell>
          <cell r="AN224">
            <v>0</v>
          </cell>
        </row>
        <row r="225">
          <cell r="C225" t="str">
            <v>8760</v>
          </cell>
          <cell r="AN225">
            <v>0</v>
          </cell>
        </row>
        <row r="226">
          <cell r="C226" t="str">
            <v>8700</v>
          </cell>
          <cell r="AN226">
            <v>-117.07515578658422</v>
          </cell>
        </row>
        <row r="227">
          <cell r="C227" t="str">
            <v>8740</v>
          </cell>
          <cell r="AN227">
            <v>-15799.289283176186</v>
          </cell>
        </row>
        <row r="228">
          <cell r="C228" t="str">
            <v>8750</v>
          </cell>
          <cell r="AN228">
            <v>-15.364890633491541</v>
          </cell>
        </row>
        <row r="229">
          <cell r="C229" t="str">
            <v>8780</v>
          </cell>
          <cell r="AN229">
            <v>-50.096459314424465</v>
          </cell>
        </row>
        <row r="230">
          <cell r="C230" t="str">
            <v>8740</v>
          </cell>
          <cell r="AN230">
            <v>-6494.397235261742</v>
          </cell>
        </row>
        <row r="231">
          <cell r="C231" t="str">
            <v>8740</v>
          </cell>
          <cell r="AN231">
            <v>-2989.477553283883</v>
          </cell>
        </row>
        <row r="232">
          <cell r="C232" t="str">
            <v>8560</v>
          </cell>
          <cell r="AN232">
            <v>-104.75901480572884</v>
          </cell>
        </row>
        <row r="233">
          <cell r="C233" t="str">
            <v>8780</v>
          </cell>
          <cell r="AN233">
            <v>-5.8150893491879287</v>
          </cell>
        </row>
        <row r="234">
          <cell r="C234" t="str">
            <v>8810</v>
          </cell>
          <cell r="AN234">
            <v>-16.356775737178623</v>
          </cell>
        </row>
        <row r="235">
          <cell r="C235" t="str">
            <v>8890</v>
          </cell>
          <cell r="AN235">
            <v>-70.949814931603214</v>
          </cell>
        </row>
        <row r="236">
          <cell r="C236" t="str">
            <v>8890</v>
          </cell>
          <cell r="AN236">
            <v>69.53086463640193</v>
          </cell>
        </row>
        <row r="237">
          <cell r="C237" t="str">
            <v>8700</v>
          </cell>
          <cell r="AN237">
            <v>-1.1631200996859832</v>
          </cell>
        </row>
        <row r="238">
          <cell r="C238" t="str">
            <v>8560</v>
          </cell>
          <cell r="AN238">
            <v>102.66381406364417</v>
          </cell>
        </row>
        <row r="239">
          <cell r="C239" t="str">
            <v>8780</v>
          </cell>
          <cell r="AN239">
            <v>5.6988028966814568</v>
          </cell>
        </row>
        <row r="240">
          <cell r="C240" t="str">
            <v>8810</v>
          </cell>
          <cell r="AN240">
            <v>16.029640222435091</v>
          </cell>
        </row>
        <row r="241">
          <cell r="C241" t="str">
            <v>8700</v>
          </cell>
          <cell r="AN241">
            <v>1.1398628091846632</v>
          </cell>
        </row>
        <row r="242">
          <cell r="C242" t="str">
            <v>8740</v>
          </cell>
          <cell r="AN242">
            <v>9294.198550201836</v>
          </cell>
        </row>
        <row r="243">
          <cell r="C243"/>
        </row>
        <row r="244">
          <cell r="C244"/>
        </row>
        <row r="245">
          <cell r="C245" t="str">
            <v>8900</v>
          </cell>
          <cell r="AN245">
            <v>0</v>
          </cell>
        </row>
        <row r="246">
          <cell r="C246" t="str">
            <v>8740</v>
          </cell>
          <cell r="AN246">
            <v>-46786.455162939063</v>
          </cell>
        </row>
        <row r="247">
          <cell r="C247" t="str">
            <v>8750</v>
          </cell>
          <cell r="AN247">
            <v>-131.54570717460155</v>
          </cell>
        </row>
        <row r="248">
          <cell r="C248" t="str">
            <v>8760</v>
          </cell>
          <cell r="AN248">
            <v>0</v>
          </cell>
        </row>
        <row r="249">
          <cell r="C249" t="str">
            <v>8160</v>
          </cell>
          <cell r="AN249">
            <v>-405.70701520258558</v>
          </cell>
        </row>
        <row r="250">
          <cell r="C250" t="str">
            <v>9260</v>
          </cell>
          <cell r="AN250">
            <v>-35.136693425037862</v>
          </cell>
        </row>
        <row r="251">
          <cell r="C251" t="str">
            <v>8940</v>
          </cell>
          <cell r="AN251">
            <v>0</v>
          </cell>
        </row>
        <row r="252">
          <cell r="C252" t="str">
            <v>8890</v>
          </cell>
          <cell r="AN252">
            <v>0</v>
          </cell>
        </row>
        <row r="253">
          <cell r="C253" t="str">
            <v>8770</v>
          </cell>
          <cell r="AN253">
            <v>0</v>
          </cell>
        </row>
        <row r="254">
          <cell r="C254" t="str">
            <v>8560</v>
          </cell>
          <cell r="AN254">
            <v>-1670.8198455383217</v>
          </cell>
        </row>
        <row r="255">
          <cell r="C255" t="str">
            <v>8700</v>
          </cell>
          <cell r="AN255">
            <v>-32913.029575068344</v>
          </cell>
        </row>
        <row r="256">
          <cell r="C256" t="str">
            <v>8700</v>
          </cell>
          <cell r="AN256">
            <v>-3291.3037917113361</v>
          </cell>
        </row>
        <row r="257">
          <cell r="C257" t="str">
            <v>8160</v>
          </cell>
          <cell r="AN257">
            <v>-40.57153572475589</v>
          </cell>
        </row>
        <row r="258">
          <cell r="C258" t="str">
            <v>9260</v>
          </cell>
          <cell r="AN258">
            <v>-3.5120009335092455</v>
          </cell>
        </row>
        <row r="259">
          <cell r="C259" t="str">
            <v>8900</v>
          </cell>
          <cell r="AN259">
            <v>0</v>
          </cell>
        </row>
        <row r="260">
          <cell r="C260" t="str">
            <v>8740</v>
          </cell>
          <cell r="AN260">
            <v>-4678.6526070321361</v>
          </cell>
        </row>
        <row r="261">
          <cell r="C261" t="str">
            <v>8750</v>
          </cell>
          <cell r="AN261">
            <v>-13.159575944443802</v>
          </cell>
        </row>
        <row r="262">
          <cell r="C262" t="str">
            <v>8940</v>
          </cell>
          <cell r="AN262">
            <v>0</v>
          </cell>
        </row>
        <row r="263">
          <cell r="C263" t="str">
            <v>8890</v>
          </cell>
          <cell r="AN263">
            <v>0</v>
          </cell>
        </row>
        <row r="264">
          <cell r="C264" t="str">
            <v>8760</v>
          </cell>
          <cell r="AN264">
            <v>0</v>
          </cell>
        </row>
        <row r="265">
          <cell r="C265" t="str">
            <v>8770</v>
          </cell>
          <cell r="AN265">
            <v>0</v>
          </cell>
        </row>
        <row r="266">
          <cell r="C266" t="str">
            <v>8560</v>
          </cell>
          <cell r="AN266">
            <v>-167.08281875832938</v>
          </cell>
        </row>
        <row r="267">
          <cell r="C267" t="str">
            <v>8210</v>
          </cell>
          <cell r="AN267">
            <v>-2868.7667007763157</v>
          </cell>
        </row>
        <row r="268">
          <cell r="C268" t="str">
            <v>8310</v>
          </cell>
          <cell r="AN268">
            <v>-56.89691773634155</v>
          </cell>
        </row>
        <row r="269">
          <cell r="C269" t="str">
            <v>8240</v>
          </cell>
          <cell r="AN269">
            <v>0</v>
          </cell>
        </row>
        <row r="270">
          <cell r="C270" t="str">
            <v>8340</v>
          </cell>
          <cell r="AN270">
            <v>-16.350408146503852</v>
          </cell>
        </row>
        <row r="271">
          <cell r="C271" t="str">
            <v>8350</v>
          </cell>
          <cell r="AN271">
            <v>0</v>
          </cell>
        </row>
        <row r="272">
          <cell r="C272" t="str">
            <v>8160</v>
          </cell>
          <cell r="AN272">
            <v>-1908.5806403279012</v>
          </cell>
        </row>
        <row r="273">
          <cell r="C273" t="str">
            <v>8170</v>
          </cell>
          <cell r="AN273">
            <v>-443.3379800744633</v>
          </cell>
        </row>
        <row r="274">
          <cell r="C274" t="str">
            <v>8180</v>
          </cell>
          <cell r="AN274">
            <v>-3220.3838963758753</v>
          </cell>
        </row>
        <row r="275">
          <cell r="C275" t="str">
            <v>8860</v>
          </cell>
          <cell r="AN275">
            <v>-33.309785576015258</v>
          </cell>
        </row>
        <row r="276">
          <cell r="C276" t="str">
            <v>8870</v>
          </cell>
          <cell r="AN276">
            <v>-52.946959441765301</v>
          </cell>
        </row>
        <row r="277">
          <cell r="C277" t="str">
            <v>8890</v>
          </cell>
          <cell r="AN277">
            <v>-3261.7479263730347</v>
          </cell>
        </row>
        <row r="278">
          <cell r="C278" t="str">
            <v>8900</v>
          </cell>
          <cell r="AN278">
            <v>-368.50566564680344</v>
          </cell>
        </row>
        <row r="279">
          <cell r="C279" t="str">
            <v>8910</v>
          </cell>
          <cell r="AN279">
            <v>0</v>
          </cell>
        </row>
        <row r="280">
          <cell r="C280" t="str">
            <v>8920</v>
          </cell>
          <cell r="AN280">
            <v>-35.691439415722812</v>
          </cell>
        </row>
        <row r="281">
          <cell r="C281" t="str">
            <v>8930</v>
          </cell>
          <cell r="AN281">
            <v>0</v>
          </cell>
        </row>
        <row r="282">
          <cell r="C282" t="str">
            <v>8940</v>
          </cell>
          <cell r="AN282">
            <v>-1982.2992917517076</v>
          </cell>
        </row>
        <row r="283">
          <cell r="C283" t="str">
            <v>9020</v>
          </cell>
          <cell r="AN283">
            <v>-59.366163048262564</v>
          </cell>
        </row>
        <row r="284">
          <cell r="C284" t="str">
            <v>9030</v>
          </cell>
          <cell r="AN284">
            <v>-11.345181162880223</v>
          </cell>
        </row>
        <row r="285">
          <cell r="C285" t="str">
            <v>9260</v>
          </cell>
          <cell r="AN285">
            <v>-3.7122100128541895</v>
          </cell>
        </row>
        <row r="286">
          <cell r="C286" t="str">
            <v>9110</v>
          </cell>
          <cell r="AN286">
            <v>0</v>
          </cell>
        </row>
        <row r="287">
          <cell r="C287" t="str">
            <v>8711</v>
          </cell>
          <cell r="AN287">
            <v>-6771.4881656946818</v>
          </cell>
        </row>
        <row r="288">
          <cell r="C288" t="str">
            <v>8740</v>
          </cell>
          <cell r="AN288">
            <v>-44454.123664132581</v>
          </cell>
        </row>
        <row r="289">
          <cell r="C289" t="str">
            <v>8750</v>
          </cell>
          <cell r="AN289">
            <v>-27238.687164183983</v>
          </cell>
        </row>
        <row r="290">
          <cell r="C290" t="str">
            <v>8760</v>
          </cell>
          <cell r="AN290">
            <v>-893.98776256750307</v>
          </cell>
        </row>
        <row r="291">
          <cell r="C291" t="str">
            <v>8770</v>
          </cell>
          <cell r="AN291">
            <v>-4977.7316033935931</v>
          </cell>
        </row>
        <row r="292">
          <cell r="C292" t="str">
            <v>8780</v>
          </cell>
          <cell r="AN292">
            <v>-1666.9950179183352</v>
          </cell>
        </row>
        <row r="293">
          <cell r="C293" t="str">
            <v>8790</v>
          </cell>
          <cell r="AN293">
            <v>-762.2293332460963</v>
          </cell>
        </row>
        <row r="294">
          <cell r="C294" t="str">
            <v>8800</v>
          </cell>
          <cell r="AN294">
            <v>-372.00515351285367</v>
          </cell>
        </row>
        <row r="295">
          <cell r="C295" t="str">
            <v>8810</v>
          </cell>
          <cell r="AN295">
            <v>0</v>
          </cell>
        </row>
        <row r="296">
          <cell r="C296" t="str">
            <v>8560</v>
          </cell>
          <cell r="AN296">
            <v>-11216.008767500367</v>
          </cell>
        </row>
        <row r="297">
          <cell r="C297" t="str">
            <v>8570</v>
          </cell>
          <cell r="AN297">
            <v>-279.98405541893283</v>
          </cell>
        </row>
        <row r="298">
          <cell r="C298" t="str">
            <v>8650</v>
          </cell>
          <cell r="AN298">
            <v>0</v>
          </cell>
        </row>
        <row r="299">
          <cell r="C299" t="str">
            <v>8500</v>
          </cell>
          <cell r="AN299">
            <v>-11.91661124351058</v>
          </cell>
        </row>
        <row r="300">
          <cell r="C300" t="str">
            <v>8200</v>
          </cell>
          <cell r="AN300">
            <v>-234.08612397910451</v>
          </cell>
        </row>
        <row r="301">
          <cell r="C301" t="str">
            <v>8410</v>
          </cell>
          <cell r="AN301">
            <v>-642.77959128191947</v>
          </cell>
        </row>
        <row r="302">
          <cell r="C302" t="str">
            <v>8700</v>
          </cell>
          <cell r="AN302">
            <v>-3150.8112413035087</v>
          </cell>
        </row>
        <row r="303">
          <cell r="C303" t="str">
            <v>8780</v>
          </cell>
          <cell r="AN303">
            <v>0</v>
          </cell>
        </row>
        <row r="304">
          <cell r="C304" t="str">
            <v>8740</v>
          </cell>
          <cell r="AN304">
            <v>0</v>
          </cell>
        </row>
        <row r="305">
          <cell r="C305" t="str">
            <v>8740</v>
          </cell>
          <cell r="AN305">
            <v>568.50202284494389</v>
          </cell>
        </row>
        <row r="306">
          <cell r="C306" t="str">
            <v>8780</v>
          </cell>
          <cell r="AN306">
            <v>-62.565337295295365</v>
          </cell>
        </row>
        <row r="307">
          <cell r="C307" t="str">
            <v>9280</v>
          </cell>
          <cell r="AN307">
            <v>569.64488300620519</v>
          </cell>
        </row>
        <row r="308">
          <cell r="C308" t="str">
            <v>8940</v>
          </cell>
          <cell r="AN308">
            <v>0</v>
          </cell>
        </row>
        <row r="309">
          <cell r="C309" t="str">
            <v>9020</v>
          </cell>
          <cell r="AN309">
            <v>0</v>
          </cell>
        </row>
        <row r="310">
          <cell r="C310" t="str">
            <v>9030</v>
          </cell>
          <cell r="AN310">
            <v>-1275.2275598651408</v>
          </cell>
        </row>
        <row r="311">
          <cell r="C311" t="str">
            <v>9090</v>
          </cell>
          <cell r="AN311">
            <v>0</v>
          </cell>
        </row>
        <row r="312">
          <cell r="C312" t="str">
            <v>9110</v>
          </cell>
          <cell r="AN312">
            <v>-23.495369665626569</v>
          </cell>
        </row>
        <row r="313">
          <cell r="C313" t="str">
            <v>8560</v>
          </cell>
          <cell r="AN313">
            <v>0</v>
          </cell>
        </row>
        <row r="314">
          <cell r="C314" t="str">
            <v>8700</v>
          </cell>
          <cell r="AN314">
            <v>-16995.093895062033</v>
          </cell>
        </row>
        <row r="315">
          <cell r="C315" t="str">
            <v>9010</v>
          </cell>
          <cell r="AN315">
            <v>0</v>
          </cell>
        </row>
        <row r="316">
          <cell r="C316" t="str">
            <v>8740</v>
          </cell>
          <cell r="AN316">
            <v>-2132.4477592154426</v>
          </cell>
        </row>
        <row r="317">
          <cell r="C317" t="str">
            <v>8750</v>
          </cell>
          <cell r="AN317">
            <v>-64.300482649618232</v>
          </cell>
        </row>
        <row r="318">
          <cell r="C318" t="str">
            <v>8780</v>
          </cell>
          <cell r="AN318">
            <v>-1424.295732504911</v>
          </cell>
        </row>
        <row r="319">
          <cell r="C319" t="str">
            <v>8800</v>
          </cell>
          <cell r="AN319">
            <v>-427.94273607733408</v>
          </cell>
        </row>
        <row r="320">
          <cell r="C320" t="str">
            <v>8810</v>
          </cell>
          <cell r="AN320">
            <v>-81.026282819893794</v>
          </cell>
        </row>
        <row r="321">
          <cell r="C321"/>
        </row>
        <row r="322">
          <cell r="C322"/>
        </row>
        <row r="323">
          <cell r="C323" t="str">
            <v>8140</v>
          </cell>
          <cell r="AN323">
            <v>0</v>
          </cell>
        </row>
        <row r="324">
          <cell r="C324" t="str">
            <v>8700</v>
          </cell>
          <cell r="AN324">
            <v>-20.14</v>
          </cell>
        </row>
        <row r="325">
          <cell r="C325" t="str">
            <v>8700</v>
          </cell>
          <cell r="AN325">
            <v>-2295.8500000000004</v>
          </cell>
        </row>
        <row r="326">
          <cell r="C326" t="str">
            <v>0000</v>
          </cell>
          <cell r="AN326">
            <v>0</v>
          </cell>
        </row>
        <row r="327">
          <cell r="C327"/>
        </row>
        <row r="328">
          <cell r="C328"/>
        </row>
        <row r="329">
          <cell r="C329" t="str">
            <v>8700</v>
          </cell>
          <cell r="AN329">
            <v>5396.1257231369236</v>
          </cell>
        </row>
        <row r="330">
          <cell r="C330" t="str">
            <v>8700</v>
          </cell>
          <cell r="AN330">
            <v>405.98031657624051</v>
          </cell>
        </row>
        <row r="331">
          <cell r="C331" t="str">
            <v>8700</v>
          </cell>
          <cell r="AN331">
            <v>3148.2224297766224</v>
          </cell>
        </row>
        <row r="332">
          <cell r="C332" t="str">
            <v>8700</v>
          </cell>
          <cell r="AN332">
            <v>0</v>
          </cell>
        </row>
        <row r="333">
          <cell r="C333" t="str">
            <v>8700</v>
          </cell>
          <cell r="AN333">
            <v>2558.3774525746267</v>
          </cell>
        </row>
        <row r="334">
          <cell r="C334" t="str">
            <v>9020</v>
          </cell>
          <cell r="AN334">
            <v>4603.516289306368</v>
          </cell>
        </row>
        <row r="335">
          <cell r="C335" t="str">
            <v>9020</v>
          </cell>
          <cell r="AN335">
            <v>14.788459799144619</v>
          </cell>
        </row>
        <row r="336">
          <cell r="C336" t="str">
            <v>8700</v>
          </cell>
          <cell r="AN336">
            <v>48.906375022402244</v>
          </cell>
        </row>
        <row r="337">
          <cell r="C337" t="str">
            <v>8700</v>
          </cell>
          <cell r="AN337">
            <v>5768.5047595026117</v>
          </cell>
        </row>
        <row r="338">
          <cell r="C338" t="str">
            <v>8740</v>
          </cell>
          <cell r="AN338">
            <v>0</v>
          </cell>
        </row>
        <row r="339">
          <cell r="C339" t="str">
            <v>8750</v>
          </cell>
          <cell r="AN339">
            <v>0</v>
          </cell>
        </row>
        <row r="340">
          <cell r="C340" t="str">
            <v>8940</v>
          </cell>
          <cell r="AN340">
            <v>2.5040272752889265</v>
          </cell>
        </row>
        <row r="341">
          <cell r="C341" t="str">
            <v>8700</v>
          </cell>
          <cell r="AN341">
            <v>2946.352082227284</v>
          </cell>
        </row>
        <row r="342">
          <cell r="C342" t="str">
            <v>8750</v>
          </cell>
          <cell r="AN342">
            <v>20.531458096724748</v>
          </cell>
        </row>
        <row r="343">
          <cell r="C343" t="str">
            <v>8780</v>
          </cell>
          <cell r="AN343">
            <v>14.835426618479858</v>
          </cell>
        </row>
        <row r="344">
          <cell r="C344" t="str">
            <v>8560</v>
          </cell>
          <cell r="AN344">
            <v>4.1487357079292195</v>
          </cell>
        </row>
        <row r="345">
          <cell r="C345" t="str">
            <v>8700</v>
          </cell>
          <cell r="AN345">
            <v>984.33842742715206</v>
          </cell>
        </row>
        <row r="346">
          <cell r="C346" t="str">
            <v>8740</v>
          </cell>
          <cell r="AN346">
            <v>56.466293423517754</v>
          </cell>
        </row>
        <row r="347">
          <cell r="C347" t="str">
            <v>9110</v>
          </cell>
          <cell r="AN347">
            <v>2.5214223935611813</v>
          </cell>
        </row>
        <row r="348">
          <cell r="C348" t="str">
            <v>9110</v>
          </cell>
          <cell r="AN348">
            <v>-1.4620596907817571</v>
          </cell>
        </row>
        <row r="349">
          <cell r="C349" t="str">
            <v>8940</v>
          </cell>
          <cell r="AN349">
            <v>-1.4116138477922675</v>
          </cell>
        </row>
        <row r="350">
          <cell r="C350" t="str">
            <v>8750</v>
          </cell>
          <cell r="AN350">
            <v>-11.752141904725249</v>
          </cell>
        </row>
        <row r="351">
          <cell r="C351" t="str">
            <v>8780</v>
          </cell>
          <cell r="AN351">
            <v>-7.9921870901806358</v>
          </cell>
        </row>
        <row r="352">
          <cell r="C352" t="str">
            <v>8700</v>
          </cell>
          <cell r="AN352">
            <v>-9843.648680069251</v>
          </cell>
        </row>
        <row r="353">
          <cell r="C353" t="str">
            <v>8740</v>
          </cell>
          <cell r="AN353">
            <v>-31.512996261989542</v>
          </cell>
        </row>
        <row r="354">
          <cell r="C354" t="str">
            <v>9020</v>
          </cell>
          <cell r="AN354">
            <v>0</v>
          </cell>
        </row>
        <row r="355">
          <cell r="C355" t="str">
            <v>9020</v>
          </cell>
          <cell r="AN355">
            <v>0</v>
          </cell>
        </row>
        <row r="356">
          <cell r="C356"/>
        </row>
        <row r="357">
          <cell r="C357"/>
        </row>
        <row r="358">
          <cell r="C358" t="str">
            <v>8740</v>
          </cell>
          <cell r="AN358">
            <v>-1.1211146371139611</v>
          </cell>
        </row>
        <row r="359">
          <cell r="C359" t="str">
            <v>9120</v>
          </cell>
          <cell r="AN359">
            <v>-692.41996295578656</v>
          </cell>
        </row>
        <row r="360">
          <cell r="C360" t="str">
            <v>8410</v>
          </cell>
          <cell r="AN360">
            <v>-141.79466668733301</v>
          </cell>
        </row>
        <row r="361">
          <cell r="C361" t="str">
            <v>8700</v>
          </cell>
          <cell r="AN361">
            <v>-35.890716906265709</v>
          </cell>
        </row>
        <row r="362">
          <cell r="C362" t="str">
            <v>8740</v>
          </cell>
          <cell r="AN362">
            <v>0</v>
          </cell>
        </row>
        <row r="363">
          <cell r="C363" t="str">
            <v>9030</v>
          </cell>
          <cell r="AN363">
            <v>0</v>
          </cell>
        </row>
        <row r="364">
          <cell r="C364" t="str">
            <v>8700</v>
          </cell>
          <cell r="AN364">
            <v>-89.929947267020566</v>
          </cell>
        </row>
        <row r="365">
          <cell r="C365" t="str">
            <v>9250</v>
          </cell>
          <cell r="AN365">
            <v>0</v>
          </cell>
        </row>
        <row r="366">
          <cell r="C366" t="str">
            <v>9130</v>
          </cell>
          <cell r="AN366">
            <v>-398.7857434029529</v>
          </cell>
        </row>
        <row r="367">
          <cell r="C367" t="str">
            <v>9250</v>
          </cell>
          <cell r="AN367">
            <v>-881.43311893982172</v>
          </cell>
        </row>
        <row r="368">
          <cell r="C368" t="str">
            <v>8810</v>
          </cell>
          <cell r="AN368">
            <v>335.2885190901693</v>
          </cell>
        </row>
        <row r="369">
          <cell r="C369" t="str">
            <v>8700</v>
          </cell>
          <cell r="AN369">
            <v>-3.295625577556482</v>
          </cell>
        </row>
        <row r="370">
          <cell r="C370" t="str">
            <v>8740</v>
          </cell>
          <cell r="AN370">
            <v>0</v>
          </cell>
        </row>
        <row r="371">
          <cell r="C371" t="str">
            <v>8800</v>
          </cell>
          <cell r="AN371">
            <v>0</v>
          </cell>
        </row>
        <row r="372">
          <cell r="C372" t="str">
            <v>9090</v>
          </cell>
          <cell r="AN372">
            <v>-16.929583446351756</v>
          </cell>
        </row>
        <row r="373">
          <cell r="C373" t="str">
            <v>9110</v>
          </cell>
          <cell r="AN373">
            <v>0</v>
          </cell>
        </row>
        <row r="374">
          <cell r="C374" t="str">
            <v>9120</v>
          </cell>
          <cell r="AN374">
            <v>-31.786233452939115</v>
          </cell>
        </row>
        <row r="375">
          <cell r="C375" t="str">
            <v>9130</v>
          </cell>
          <cell r="AN375">
            <v>-3295.1816462572169</v>
          </cell>
        </row>
        <row r="376">
          <cell r="C376" t="str">
            <v>8700</v>
          </cell>
          <cell r="AN376">
            <v>-280.63229946603656</v>
          </cell>
        </row>
        <row r="377">
          <cell r="C377" t="str">
            <v>9302</v>
          </cell>
          <cell r="AN377">
            <v>0</v>
          </cell>
        </row>
        <row r="378">
          <cell r="C378" t="str">
            <v>9130</v>
          </cell>
          <cell r="AN378">
            <v>0</v>
          </cell>
        </row>
        <row r="379">
          <cell r="C379" t="str">
            <v>9270</v>
          </cell>
          <cell r="AN379">
            <v>-153.64161297012424</v>
          </cell>
        </row>
        <row r="380">
          <cell r="C380" t="str">
            <v>9110</v>
          </cell>
          <cell r="AN380">
            <v>0</v>
          </cell>
        </row>
        <row r="381">
          <cell r="C381" t="str">
            <v>9120</v>
          </cell>
          <cell r="AN381">
            <v>-5360.0076966156448</v>
          </cell>
        </row>
        <row r="382">
          <cell r="C382" t="str">
            <v>9130</v>
          </cell>
          <cell r="AN382">
            <v>-4665.3756014228748</v>
          </cell>
        </row>
        <row r="383">
          <cell r="C383" t="str">
            <v>9110</v>
          </cell>
          <cell r="AN383">
            <v>-47.083052629131544</v>
          </cell>
        </row>
        <row r="384">
          <cell r="C384" t="str">
            <v>9120</v>
          </cell>
          <cell r="AN384">
            <v>-19779.844353249893</v>
          </cell>
        </row>
        <row r="385">
          <cell r="C385" t="str">
            <v>9130</v>
          </cell>
          <cell r="AN385">
            <v>0</v>
          </cell>
        </row>
        <row r="386">
          <cell r="C386" t="str">
            <v>8700</v>
          </cell>
          <cell r="AN386">
            <v>-125.59493639400171</v>
          </cell>
        </row>
        <row r="387">
          <cell r="C387" t="str">
            <v>9210</v>
          </cell>
          <cell r="AN387">
            <v>-743.0206068121056</v>
          </cell>
        </row>
        <row r="388">
          <cell r="C388" t="str">
            <v>9260</v>
          </cell>
          <cell r="AN388">
            <v>0</v>
          </cell>
        </row>
        <row r="389">
          <cell r="C389" t="str">
            <v>9100</v>
          </cell>
          <cell r="AN389">
            <v>0</v>
          </cell>
        </row>
        <row r="390">
          <cell r="C390"/>
        </row>
        <row r="391">
          <cell r="C391"/>
          <cell r="AN391">
            <v>0</v>
          </cell>
        </row>
        <row r="392">
          <cell r="C392" t="str">
            <v>8700</v>
          </cell>
          <cell r="AN392"/>
        </row>
        <row r="393">
          <cell r="C393"/>
          <cell r="AN393">
            <v>242</v>
          </cell>
        </row>
        <row r="394">
          <cell r="C394"/>
          <cell r="AN394"/>
        </row>
        <row r="395">
          <cell r="C395" t="str">
            <v>9090</v>
          </cell>
          <cell r="AN395">
            <v>0</v>
          </cell>
        </row>
        <row r="396">
          <cell r="C396" t="str">
            <v>9110</v>
          </cell>
          <cell r="AN396">
            <v>0</v>
          </cell>
        </row>
        <row r="397">
          <cell r="C397" t="str">
            <v>8700</v>
          </cell>
          <cell r="AN397">
            <v>-574.29659427830779</v>
          </cell>
        </row>
        <row r="398">
          <cell r="C398" t="str">
            <v>8700</v>
          </cell>
          <cell r="AN398">
            <v>-44.598138006968668</v>
          </cell>
        </row>
        <row r="399">
          <cell r="C399" t="str">
            <v>9090</v>
          </cell>
          <cell r="AN399">
            <v>0</v>
          </cell>
        </row>
        <row r="400">
          <cell r="C400" t="str">
            <v>9302</v>
          </cell>
          <cell r="AN400">
            <v>-47.783719293180695</v>
          </cell>
        </row>
        <row r="401">
          <cell r="C401" t="str">
            <v>9302</v>
          </cell>
          <cell r="AN401">
            <v>-31716.004070631199</v>
          </cell>
        </row>
        <row r="402">
          <cell r="C402" t="str">
            <v>9320</v>
          </cell>
          <cell r="AN402">
            <v>-7008.2788296665021</v>
          </cell>
        </row>
        <row r="403">
          <cell r="C403" t="str">
            <v>9110</v>
          </cell>
          <cell r="AN403">
            <v>0</v>
          </cell>
        </row>
        <row r="404">
          <cell r="C404" t="str">
            <v>9120</v>
          </cell>
          <cell r="AN404">
            <v>-2740.2370223996031</v>
          </cell>
        </row>
        <row r="405">
          <cell r="C405" t="str">
            <v>8800</v>
          </cell>
          <cell r="AN405">
            <v>0</v>
          </cell>
        </row>
        <row r="406">
          <cell r="C406" t="str">
            <v>9302</v>
          </cell>
          <cell r="AN406">
            <v>0</v>
          </cell>
        </row>
        <row r="407">
          <cell r="C407" t="str">
            <v>8700</v>
          </cell>
          <cell r="AN407">
            <v>0</v>
          </cell>
        </row>
        <row r="408">
          <cell r="C408" t="str">
            <v>9110</v>
          </cell>
          <cell r="AN408">
            <v>0</v>
          </cell>
        </row>
        <row r="409">
          <cell r="C409" t="str">
            <v>9302</v>
          </cell>
          <cell r="AN409">
            <v>-63.711625724240918</v>
          </cell>
        </row>
        <row r="410">
          <cell r="C410" t="str">
            <v>8740</v>
          </cell>
          <cell r="AN410">
            <v>0</v>
          </cell>
        </row>
        <row r="411">
          <cell r="C411" t="str">
            <v>8700</v>
          </cell>
          <cell r="AN411">
            <v>0</v>
          </cell>
        </row>
        <row r="412">
          <cell r="C412"/>
        </row>
        <row r="413">
          <cell r="C413"/>
        </row>
        <row r="414">
          <cell r="C414" t="str">
            <v>8700</v>
          </cell>
          <cell r="AN414">
            <v>2673.6416666439018</v>
          </cell>
        </row>
        <row r="415">
          <cell r="C415" t="str">
            <v>8740</v>
          </cell>
          <cell r="AN415">
            <v>954.97457978085549</v>
          </cell>
        </row>
        <row r="416">
          <cell r="C416" t="str">
            <v>8780</v>
          </cell>
          <cell r="AN416">
            <v>59.810161749881786</v>
          </cell>
        </row>
        <row r="417">
          <cell r="C417" t="str">
            <v>8800</v>
          </cell>
          <cell r="AN417">
            <v>421.39827172668902</v>
          </cell>
        </row>
        <row r="418">
          <cell r="C418" t="str">
            <v>8760</v>
          </cell>
          <cell r="AN418">
            <v>155.50642054969273</v>
          </cell>
        </row>
        <row r="419">
          <cell r="C419" t="str">
            <v>8630</v>
          </cell>
          <cell r="AN419">
            <v>243.70092184593182</v>
          </cell>
        </row>
        <row r="420">
          <cell r="C420" t="str">
            <v>8560</v>
          </cell>
          <cell r="AN420">
            <v>162.45595354847183</v>
          </cell>
        </row>
        <row r="421">
          <cell r="C421" t="str">
            <v>8750</v>
          </cell>
          <cell r="AN421">
            <v>38.868109375810974</v>
          </cell>
        </row>
        <row r="422">
          <cell r="C422" t="str">
            <v>9020</v>
          </cell>
          <cell r="AN422">
            <v>0</v>
          </cell>
        </row>
        <row r="423">
          <cell r="C423" t="str">
            <v>9260</v>
          </cell>
          <cell r="AN423">
            <v>0</v>
          </cell>
        </row>
        <row r="424">
          <cell r="C424" t="str">
            <v>9110</v>
          </cell>
          <cell r="AN424">
            <v>205.14715564977223</v>
          </cell>
        </row>
        <row r="425">
          <cell r="C425" t="str">
            <v>9120</v>
          </cell>
          <cell r="AN425">
            <v>560.81371978287689</v>
          </cell>
        </row>
        <row r="426">
          <cell r="C426" t="str">
            <v>9280</v>
          </cell>
          <cell r="AN426">
            <v>-4090.8366526980644</v>
          </cell>
        </row>
        <row r="427">
          <cell r="C427" t="str">
            <v>8810</v>
          </cell>
          <cell r="AN427">
            <v>1180.061287934459</v>
          </cell>
        </row>
        <row r="428">
          <cell r="C428" t="str">
            <v>8850</v>
          </cell>
          <cell r="AN428">
            <v>355.68355565632851</v>
          </cell>
        </row>
        <row r="429">
          <cell r="C429" t="str">
            <v>9030</v>
          </cell>
          <cell r="AN429">
            <v>188.72484845339147</v>
          </cell>
        </row>
        <row r="430">
          <cell r="C430" t="str">
            <v>9210</v>
          </cell>
          <cell r="AN430">
            <v>0</v>
          </cell>
        </row>
        <row r="431">
          <cell r="C431"/>
        </row>
        <row r="432">
          <cell r="C432"/>
        </row>
        <row r="433">
          <cell r="C433" t="str">
            <v>9020</v>
          </cell>
          <cell r="AN433">
            <v>17.165114265928253</v>
          </cell>
        </row>
        <row r="434">
          <cell r="C434" t="str">
            <v>9030</v>
          </cell>
          <cell r="AN434">
            <v>278.78938454694389</v>
          </cell>
        </row>
        <row r="435">
          <cell r="C435" t="str">
            <v>9090</v>
          </cell>
          <cell r="AN435">
            <v>334.4859929988761</v>
          </cell>
        </row>
        <row r="436">
          <cell r="C436" t="str">
            <v>9110</v>
          </cell>
          <cell r="AN436">
            <v>1135.1931194702447</v>
          </cell>
        </row>
        <row r="437">
          <cell r="C437" t="str">
            <v>9210</v>
          </cell>
          <cell r="AN437">
            <v>60.337495180685664</v>
          </cell>
        </row>
        <row r="438">
          <cell r="C438" t="str">
            <v>8711</v>
          </cell>
          <cell r="AN438">
            <v>0</v>
          </cell>
        </row>
        <row r="439">
          <cell r="C439" t="str">
            <v>9260</v>
          </cell>
          <cell r="AN439">
            <v>634.21606104071088</v>
          </cell>
        </row>
        <row r="440">
          <cell r="C440" t="str">
            <v>8410</v>
          </cell>
          <cell r="AN440">
            <v>69.279109345171264</v>
          </cell>
        </row>
        <row r="441">
          <cell r="C441" t="str">
            <v>8560</v>
          </cell>
          <cell r="AN441">
            <v>0</v>
          </cell>
        </row>
        <row r="442">
          <cell r="C442" t="str">
            <v>8700</v>
          </cell>
          <cell r="AN442">
            <v>11026.436546758865</v>
          </cell>
        </row>
        <row r="443">
          <cell r="C443" t="str">
            <v>8740</v>
          </cell>
          <cell r="AN443">
            <v>1400.3482829975237</v>
          </cell>
        </row>
        <row r="444">
          <cell r="C444" t="str">
            <v>8750</v>
          </cell>
          <cell r="AN444">
            <v>625.51514438766299</v>
          </cell>
        </row>
        <row r="445">
          <cell r="C445" t="str">
            <v>8780</v>
          </cell>
          <cell r="AN445">
            <v>753.33149066683109</v>
          </cell>
        </row>
        <row r="446">
          <cell r="C446" t="str">
            <v>8800</v>
          </cell>
          <cell r="AN446">
            <v>14.720343674570529</v>
          </cell>
        </row>
        <row r="447">
          <cell r="C447" t="str">
            <v>8160</v>
          </cell>
          <cell r="AN447">
            <v>22.102397103804492</v>
          </cell>
        </row>
        <row r="448">
          <cell r="C448" t="str">
            <v>9280</v>
          </cell>
          <cell r="AN448">
            <v>24.409910436574989</v>
          </cell>
        </row>
        <row r="449">
          <cell r="C449" t="str">
            <v>8700</v>
          </cell>
          <cell r="AN449">
            <v>55.54542654392344</v>
          </cell>
        </row>
        <row r="450">
          <cell r="C450" t="str">
            <v>9110</v>
          </cell>
          <cell r="AN450">
            <v>0</v>
          </cell>
        </row>
        <row r="451">
          <cell r="C451" t="str">
            <v>9030</v>
          </cell>
          <cell r="AN451">
            <v>0</v>
          </cell>
        </row>
        <row r="452">
          <cell r="C452" t="str">
            <v>8780</v>
          </cell>
          <cell r="AN452">
            <v>0</v>
          </cell>
        </row>
        <row r="453">
          <cell r="C453" t="str">
            <v>9090</v>
          </cell>
          <cell r="AN453">
            <v>4.9710998436151002</v>
          </cell>
        </row>
        <row r="454">
          <cell r="C454" t="str">
            <v>8750</v>
          </cell>
          <cell r="AN454">
            <v>205.05040891550379</v>
          </cell>
        </row>
        <row r="455">
          <cell r="C455" t="str">
            <v>9280</v>
          </cell>
          <cell r="AN455">
            <v>96.477928137388062</v>
          </cell>
        </row>
        <row r="456">
          <cell r="C456" t="str">
            <v>8160</v>
          </cell>
          <cell r="AN456">
            <v>82.147474646630258</v>
          </cell>
        </row>
        <row r="457">
          <cell r="C457" t="str">
            <v>8410</v>
          </cell>
          <cell r="AN457">
            <v>91.496882115614198</v>
          </cell>
        </row>
        <row r="458">
          <cell r="C458" t="str">
            <v>8700</v>
          </cell>
          <cell r="AN458">
            <v>3799.8538175559515</v>
          </cell>
        </row>
        <row r="459">
          <cell r="C459" t="str">
            <v>8740</v>
          </cell>
          <cell r="AN459">
            <v>3496.9330155608695</v>
          </cell>
        </row>
        <row r="460">
          <cell r="C460" t="str">
            <v>8780</v>
          </cell>
          <cell r="AN460">
            <v>2382.8993955050028</v>
          </cell>
        </row>
        <row r="461">
          <cell r="C461" t="str">
            <v>8800</v>
          </cell>
          <cell r="AN461">
            <v>0</v>
          </cell>
        </row>
        <row r="462">
          <cell r="C462" t="str">
            <v>9020</v>
          </cell>
          <cell r="AN462">
            <v>24.678457246854265</v>
          </cell>
        </row>
        <row r="463">
          <cell r="C463" t="str">
            <v>9030</v>
          </cell>
          <cell r="AN463">
            <v>167.54337107982451</v>
          </cell>
        </row>
        <row r="464">
          <cell r="C464" t="str">
            <v>9090</v>
          </cell>
          <cell r="AN464">
            <v>1118.1493485778519</v>
          </cell>
        </row>
        <row r="465">
          <cell r="C465" t="str">
            <v>9110</v>
          </cell>
          <cell r="AN465">
            <v>3767.5227708339444</v>
          </cell>
        </row>
        <row r="466">
          <cell r="C466" t="str">
            <v>9210</v>
          </cell>
          <cell r="AN466">
            <v>983.03847523724289</v>
          </cell>
        </row>
        <row r="467">
          <cell r="C467" t="str">
            <v>9090</v>
          </cell>
          <cell r="AN467">
            <v>708.0942831663715</v>
          </cell>
        </row>
        <row r="468">
          <cell r="C468" t="str">
            <v>9110</v>
          </cell>
          <cell r="AN468">
            <v>1479.6511506908264</v>
          </cell>
        </row>
        <row r="469">
          <cell r="C469" t="str">
            <v>9210</v>
          </cell>
          <cell r="AN469">
            <v>84.065097795588031</v>
          </cell>
        </row>
        <row r="470">
          <cell r="C470" t="str">
            <v>9260</v>
          </cell>
          <cell r="AN470">
            <v>0</v>
          </cell>
        </row>
        <row r="471">
          <cell r="C471" t="str">
            <v>8410</v>
          </cell>
          <cell r="AN471">
            <v>118.82699045952313</v>
          </cell>
        </row>
        <row r="472">
          <cell r="C472" t="str">
            <v>8560</v>
          </cell>
          <cell r="AN472">
            <v>0</v>
          </cell>
        </row>
        <row r="473">
          <cell r="C473" t="str">
            <v>8700</v>
          </cell>
          <cell r="AN473">
            <v>5173.7114496461436</v>
          </cell>
        </row>
        <row r="474">
          <cell r="C474" t="str">
            <v>8740</v>
          </cell>
          <cell r="AN474">
            <v>3881.9197335416757</v>
          </cell>
        </row>
        <row r="475">
          <cell r="C475" t="str">
            <v>8160</v>
          </cell>
          <cell r="AN475">
            <v>209.44463042592633</v>
          </cell>
        </row>
        <row r="476">
          <cell r="C476" t="str">
            <v>8800</v>
          </cell>
          <cell r="AN476">
            <v>105.50309019840461</v>
          </cell>
        </row>
        <row r="477">
          <cell r="C477" t="str">
            <v>8750</v>
          </cell>
          <cell r="AN477">
            <v>1066.9921758374512</v>
          </cell>
        </row>
        <row r="478">
          <cell r="C478" t="str">
            <v>8780</v>
          </cell>
          <cell r="AN478">
            <v>911.07389778927609</v>
          </cell>
        </row>
        <row r="479">
          <cell r="C479" t="str">
            <v>9020</v>
          </cell>
          <cell r="AN479">
            <v>333.03584022336781</v>
          </cell>
        </row>
        <row r="480">
          <cell r="C480" t="str">
            <v>9030</v>
          </cell>
          <cell r="AN480">
            <v>0</v>
          </cell>
        </row>
        <row r="481">
          <cell r="C481" t="str">
            <v>9280</v>
          </cell>
          <cell r="AN481">
            <v>97.920123970369445</v>
          </cell>
        </row>
        <row r="482">
          <cell r="C482" t="str">
            <v>8410</v>
          </cell>
          <cell r="AN482">
            <v>15.913885053589809</v>
          </cell>
        </row>
        <row r="483">
          <cell r="C483" t="str">
            <v>9280</v>
          </cell>
          <cell r="AN483">
            <v>0</v>
          </cell>
        </row>
        <row r="484">
          <cell r="C484" t="str">
            <v>9030</v>
          </cell>
          <cell r="AN484">
            <v>0</v>
          </cell>
        </row>
        <row r="485">
          <cell r="C485" t="str">
            <v>9260</v>
          </cell>
          <cell r="AN485">
            <v>0</v>
          </cell>
        </row>
        <row r="486">
          <cell r="C486" t="str">
            <v>8700</v>
          </cell>
          <cell r="AN486">
            <v>4038.3910190954703</v>
          </cell>
        </row>
        <row r="487">
          <cell r="C487" t="str">
            <v>8740</v>
          </cell>
          <cell r="AN487">
            <v>102.24273299805088</v>
          </cell>
        </row>
        <row r="488">
          <cell r="C488" t="str">
            <v>8780</v>
          </cell>
          <cell r="AN488">
            <v>0</v>
          </cell>
        </row>
        <row r="489">
          <cell r="C489" t="str">
            <v>9090</v>
          </cell>
          <cell r="AN489">
            <v>202.90203443326959</v>
          </cell>
        </row>
        <row r="490">
          <cell r="C490"/>
        </row>
        <row r="491">
          <cell r="C491"/>
        </row>
        <row r="492">
          <cell r="C492" t="str">
            <v>8700</v>
          </cell>
          <cell r="AN492">
            <v>-266.63076549057769</v>
          </cell>
        </row>
        <row r="493">
          <cell r="C493" t="str">
            <v>8740</v>
          </cell>
          <cell r="AN493">
            <v>-60.722720463397536</v>
          </cell>
        </row>
        <row r="494">
          <cell r="C494" t="str">
            <v>8160</v>
          </cell>
          <cell r="AN494">
            <v>-79.163584483029126</v>
          </cell>
        </row>
        <row r="495">
          <cell r="C495" t="str">
            <v>8560</v>
          </cell>
          <cell r="AN495">
            <v>-4.8830948338588342</v>
          </cell>
        </row>
        <row r="496">
          <cell r="C496" t="str">
            <v>9110</v>
          </cell>
          <cell r="AN496">
            <v>-51.272495755517866</v>
          </cell>
        </row>
        <row r="497">
          <cell r="C497" t="str">
            <v>9250</v>
          </cell>
          <cell r="AN497">
            <v>0</v>
          </cell>
        </row>
        <row r="498">
          <cell r="C498" t="str">
            <v>9210</v>
          </cell>
          <cell r="AN498">
            <v>0</v>
          </cell>
        </row>
        <row r="499">
          <cell r="C499" t="str">
            <v>8700</v>
          </cell>
          <cell r="AN499">
            <v>-103.57905865232351</v>
          </cell>
        </row>
        <row r="500">
          <cell r="C500" t="str">
            <v>8740</v>
          </cell>
          <cell r="AN500">
            <v>-4.6596214349916636</v>
          </cell>
        </row>
        <row r="501">
          <cell r="C501" t="str">
            <v>8800</v>
          </cell>
          <cell r="AN501">
            <v>-8.6172261773979812</v>
          </cell>
        </row>
        <row r="502">
          <cell r="C502" t="str">
            <v>9090</v>
          </cell>
          <cell r="AN502">
            <v>0</v>
          </cell>
        </row>
        <row r="503">
          <cell r="C503" t="str">
            <v>9250</v>
          </cell>
          <cell r="AN503">
            <v>0</v>
          </cell>
        </row>
        <row r="504">
          <cell r="C504" t="str">
            <v>8410</v>
          </cell>
          <cell r="AN504">
            <v>-1.4362043628996588</v>
          </cell>
        </row>
        <row r="505">
          <cell r="C505" t="str">
            <v>8700</v>
          </cell>
          <cell r="AN505">
            <v>-56.011970153086622</v>
          </cell>
        </row>
        <row r="506">
          <cell r="C506" t="str">
            <v>8700</v>
          </cell>
          <cell r="AN506">
            <v>-26.5301414732279</v>
          </cell>
        </row>
        <row r="507">
          <cell r="C507" t="str">
            <v>8740</v>
          </cell>
          <cell r="AN507">
            <v>-119.63582342954169</v>
          </cell>
        </row>
        <row r="508">
          <cell r="C508" t="str">
            <v>9110</v>
          </cell>
          <cell r="AN508">
            <v>-2.4696970224422543</v>
          </cell>
        </row>
        <row r="509">
          <cell r="C509" t="str">
            <v>8740</v>
          </cell>
          <cell r="AN509">
            <v>-19.201477850223341</v>
          </cell>
        </row>
        <row r="510">
          <cell r="C510" t="str">
            <v>9090</v>
          </cell>
          <cell r="AN510">
            <v>-20.106861080595252</v>
          </cell>
        </row>
        <row r="511">
          <cell r="C511" t="str">
            <v>8740</v>
          </cell>
          <cell r="AN511">
            <v>-10.935834500863137</v>
          </cell>
        </row>
        <row r="512">
          <cell r="C512" t="str">
            <v>8700</v>
          </cell>
          <cell r="AN512">
            <v>-170.79342283602682</v>
          </cell>
        </row>
        <row r="513">
          <cell r="C513" t="str">
            <v>9260</v>
          </cell>
          <cell r="AN513">
            <v>0</v>
          </cell>
        </row>
        <row r="514">
          <cell r="C514" t="str">
            <v>8410</v>
          </cell>
          <cell r="AN514">
            <v>0</v>
          </cell>
        </row>
        <row r="515">
          <cell r="C515" t="str">
            <v>8700</v>
          </cell>
          <cell r="AN515">
            <v>0</v>
          </cell>
        </row>
        <row r="516">
          <cell r="C516" t="str">
            <v>9090</v>
          </cell>
          <cell r="AN516">
            <v>0</v>
          </cell>
        </row>
        <row r="517">
          <cell r="C517"/>
        </row>
        <row r="518">
          <cell r="C518"/>
        </row>
        <row r="519">
          <cell r="C519" t="str">
            <v>9250</v>
          </cell>
          <cell r="AN519">
            <v>-3907.9250447189261</v>
          </cell>
        </row>
        <row r="520">
          <cell r="C520" t="str">
            <v>8160</v>
          </cell>
          <cell r="AN520">
            <v>-15908.677110978751</v>
          </cell>
        </row>
        <row r="521">
          <cell r="C521" t="str">
            <v>8200</v>
          </cell>
          <cell r="AN521">
            <v>-142.73896949466962</v>
          </cell>
        </row>
        <row r="522">
          <cell r="C522" t="str">
            <v>8180</v>
          </cell>
          <cell r="AN522">
            <v>-35.075787725652503</v>
          </cell>
        </row>
        <row r="523">
          <cell r="C523" t="str">
            <v>8210</v>
          </cell>
          <cell r="AN523">
            <v>-37.998770036123574</v>
          </cell>
        </row>
        <row r="524">
          <cell r="C524" t="str">
            <v>8310</v>
          </cell>
          <cell r="AN524">
            <v>-747.89374050585502</v>
          </cell>
        </row>
        <row r="525">
          <cell r="C525" t="str">
            <v>8560</v>
          </cell>
          <cell r="AN525">
            <v>-6841.442757764351</v>
          </cell>
        </row>
        <row r="526">
          <cell r="C526" t="str">
            <v>8700</v>
          </cell>
          <cell r="AN526">
            <v>-17032.425454858691</v>
          </cell>
        </row>
        <row r="527">
          <cell r="C527" t="str">
            <v>8740</v>
          </cell>
          <cell r="AN527">
            <v>-72059.951628714101</v>
          </cell>
        </row>
        <row r="528">
          <cell r="C528" t="str">
            <v>8750</v>
          </cell>
          <cell r="AN528">
            <v>-2950.1787122150999</v>
          </cell>
        </row>
        <row r="529">
          <cell r="C529" t="str">
            <v>8760</v>
          </cell>
          <cell r="AN529">
            <v>0</v>
          </cell>
        </row>
        <row r="530">
          <cell r="C530" t="str">
            <v>8340</v>
          </cell>
          <cell r="AN530">
            <v>0</v>
          </cell>
        </row>
        <row r="531">
          <cell r="C531" t="str">
            <v>8630</v>
          </cell>
          <cell r="AN531"/>
        </row>
        <row r="532">
          <cell r="C532" t="str">
            <v>8770</v>
          </cell>
          <cell r="AN532">
            <v>-1198.422747293127</v>
          </cell>
        </row>
        <row r="533">
          <cell r="C533" t="str">
            <v>8810</v>
          </cell>
          <cell r="AN533">
            <v>0</v>
          </cell>
        </row>
        <row r="534">
          <cell r="C534" t="str">
            <v>8870</v>
          </cell>
          <cell r="AN534">
            <v>-380.96202779805935</v>
          </cell>
        </row>
        <row r="535">
          <cell r="C535" t="str">
            <v>8910</v>
          </cell>
          <cell r="AN535">
            <v>0</v>
          </cell>
        </row>
        <row r="536">
          <cell r="C536" t="str">
            <v>8940</v>
          </cell>
          <cell r="AN536">
            <v>0</v>
          </cell>
        </row>
        <row r="537">
          <cell r="C537" t="str">
            <v>9020</v>
          </cell>
          <cell r="AN537">
            <v>-30855.293567563349</v>
          </cell>
        </row>
        <row r="538">
          <cell r="C538" t="str">
            <v>9280</v>
          </cell>
          <cell r="AN538">
            <v>-386.1863715143063</v>
          </cell>
        </row>
        <row r="539">
          <cell r="C539" t="str">
            <v>8780</v>
          </cell>
          <cell r="AN539">
            <v>-633.5388779007335</v>
          </cell>
        </row>
        <row r="540">
          <cell r="C540" t="str">
            <v>9030</v>
          </cell>
          <cell r="AN540">
            <v>-9.6896863592114357</v>
          </cell>
        </row>
        <row r="541">
          <cell r="C541" t="str">
            <v>8700</v>
          </cell>
          <cell r="AN541">
            <v>-3.7998770036123517</v>
          </cell>
        </row>
        <row r="542">
          <cell r="C542" t="str">
            <v>9210</v>
          </cell>
          <cell r="AN542">
            <v>0</v>
          </cell>
        </row>
        <row r="543">
          <cell r="C543" t="str">
            <v>9230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256.70999999999998</v>
          </cell>
          <cell r="K543">
            <v>-13200</v>
          </cell>
          <cell r="L543">
            <v>-2509.4025830832047</v>
          </cell>
          <cell r="M543">
            <v>-1433.191885698061</v>
          </cell>
          <cell r="N543">
            <v>-1468.4813299532193</v>
          </cell>
          <cell r="O543">
            <v>-1485.2701001663015</v>
          </cell>
          <cell r="P543">
            <v>-1459.0499030853682</v>
          </cell>
          <cell r="Q543">
            <v>-1154.681019902112</v>
          </cell>
          <cell r="U543">
            <v>-2284.6619909052397</v>
          </cell>
          <cell r="V543">
            <v>-1739.073997160704</v>
          </cell>
          <cell r="W543">
            <v>-2319.0166192323986</v>
          </cell>
          <cell r="X543">
            <v>-2069.2240925317506</v>
          </cell>
          <cell r="Y543">
            <v>-2309.4560589762309</v>
          </cell>
          <cell r="Z543">
            <v>-1852.2062831814535</v>
          </cell>
          <cell r="AA543">
            <v>-1485.2701001663015</v>
          </cell>
          <cell r="AB543">
            <v>-1459.0499030853682</v>
          </cell>
          <cell r="AC543">
            <v>-1154.681019902112</v>
          </cell>
          <cell r="AD543">
            <v>-1315.9447167915055</v>
          </cell>
          <cell r="AE543">
            <v>-1215.0115899065286</v>
          </cell>
          <cell r="AF543">
            <v>-1988.6701930721181</v>
          </cell>
          <cell r="AN543">
            <v>1261.1002569765587</v>
          </cell>
        </row>
        <row r="544">
          <cell r="C544" t="str">
            <v>9030</v>
          </cell>
          <cell r="AN544">
            <v>-16.652230222753417</v>
          </cell>
        </row>
        <row r="545">
          <cell r="C545" t="str">
            <v>9030</v>
          </cell>
          <cell r="AN545">
            <v>-47150.023567197379</v>
          </cell>
        </row>
        <row r="546">
          <cell r="C546" t="str">
            <v>8780</v>
          </cell>
          <cell r="AN546">
            <v>0</v>
          </cell>
        </row>
        <row r="547">
          <cell r="C547" t="str">
            <v>9280</v>
          </cell>
          <cell r="AN547">
            <v>0</v>
          </cell>
        </row>
        <row r="548">
          <cell r="C548" t="str">
            <v>9230</v>
          </cell>
          <cell r="F548">
            <v>160</v>
          </cell>
          <cell r="G548">
            <v>0</v>
          </cell>
          <cell r="H548">
            <v>15003.95</v>
          </cell>
          <cell r="I548">
            <v>6064.95</v>
          </cell>
          <cell r="J548">
            <v>0</v>
          </cell>
          <cell r="K548">
            <v>199186.05</v>
          </cell>
          <cell r="L548">
            <v>42733.327066005273</v>
          </cell>
          <cell r="M548">
            <v>24406.230396332296</v>
          </cell>
          <cell r="N548">
            <v>25007.184333934594</v>
          </cell>
          <cell r="O548">
            <v>25293.085055241005</v>
          </cell>
          <cell r="P548">
            <v>24846.57389551391</v>
          </cell>
          <cell r="Q548">
            <v>19663.390008851919</v>
          </cell>
          <cell r="U548">
            <v>38906.155891761584</v>
          </cell>
          <cell r="V548">
            <v>29615.183475799171</v>
          </cell>
          <cell r="W548">
            <v>39491.190584254706</v>
          </cell>
          <cell r="X548">
            <v>35237.402924154609</v>
          </cell>
          <cell r="Y548">
            <v>39328.381096803285</v>
          </cell>
          <cell r="Z548">
            <v>31541.74520520871</v>
          </cell>
          <cell r="AA548">
            <v>25293.085055241005</v>
          </cell>
          <cell r="AB548">
            <v>24846.57389551391</v>
          </cell>
          <cell r="AC548">
            <v>19663.390008851919</v>
          </cell>
          <cell r="AD548">
            <v>22409.595161227462</v>
          </cell>
          <cell r="AE548">
            <v>20690.776366647737</v>
          </cell>
          <cell r="AF548">
            <v>33865.627763302931</v>
          </cell>
          <cell r="AN548">
            <v>-21475.633327111951</v>
          </cell>
        </row>
        <row r="549">
          <cell r="C549"/>
        </row>
        <row r="550">
          <cell r="C550"/>
        </row>
        <row r="551">
          <cell r="C551" t="str">
            <v>9040</v>
          </cell>
          <cell r="AO551">
            <v>-208292.9660281667</v>
          </cell>
        </row>
        <row r="552">
          <cell r="C552"/>
        </row>
        <row r="553">
          <cell r="C553"/>
        </row>
        <row r="554">
          <cell r="C554" t="str">
            <v>8700</v>
          </cell>
          <cell r="AN554">
            <v>0</v>
          </cell>
        </row>
        <row r="555">
          <cell r="C555" t="str">
            <v>9110</v>
          </cell>
          <cell r="AN555">
            <v>0</v>
          </cell>
        </row>
        <row r="556">
          <cell r="C556" t="str">
            <v>8810</v>
          </cell>
          <cell r="AN556">
            <v>-3172.7381059880495</v>
          </cell>
        </row>
        <row r="557">
          <cell r="C557" t="str">
            <v>8740</v>
          </cell>
          <cell r="AN557">
            <v>-12611.633971302497</v>
          </cell>
        </row>
        <row r="558">
          <cell r="C558" t="str">
            <v>9250</v>
          </cell>
          <cell r="AN558">
            <v>-327.58520944326608</v>
          </cell>
        </row>
        <row r="559">
          <cell r="C559" t="str">
            <v>8560</v>
          </cell>
          <cell r="AN559">
            <v>-186.63631908474696</v>
          </cell>
        </row>
        <row r="560">
          <cell r="C560" t="str">
            <v>8870</v>
          </cell>
          <cell r="AN560">
            <v>0</v>
          </cell>
        </row>
        <row r="561">
          <cell r="C561" t="str">
            <v>9090</v>
          </cell>
          <cell r="AN561">
            <v>0</v>
          </cell>
        </row>
        <row r="562">
          <cell r="C562" t="str">
            <v>9270</v>
          </cell>
          <cell r="AN562">
            <v>0</v>
          </cell>
        </row>
        <row r="563">
          <cell r="C563" t="str">
            <v>9280</v>
          </cell>
          <cell r="AN563">
            <v>582959.85141567606</v>
          </cell>
        </row>
        <row r="564">
          <cell r="C564" t="str">
            <v>8140</v>
          </cell>
          <cell r="AN564">
            <v>0</v>
          </cell>
        </row>
        <row r="565">
          <cell r="C565" t="str">
            <v>8160</v>
          </cell>
          <cell r="AN565">
            <v>-15697.121779375875</v>
          </cell>
        </row>
        <row r="566">
          <cell r="C566" t="str">
            <v>8800</v>
          </cell>
          <cell r="AN566">
            <v>-2101.9389952170827</v>
          </cell>
        </row>
        <row r="567">
          <cell r="C567" t="str">
            <v>8250</v>
          </cell>
          <cell r="AN567">
            <v>17.767333393533075</v>
          </cell>
        </row>
        <row r="568">
          <cell r="C568" t="str">
            <v>8700</v>
          </cell>
          <cell r="AN568">
            <v>-585044.02307749947</v>
          </cell>
        </row>
        <row r="569">
          <cell r="C569" t="str">
            <v>8740</v>
          </cell>
          <cell r="AN569">
            <v>-6986.3693093856828</v>
          </cell>
        </row>
        <row r="570">
          <cell r="C570" t="str">
            <v>8750</v>
          </cell>
          <cell r="AN570">
            <v>0</v>
          </cell>
        </row>
        <row r="571">
          <cell r="C571" t="str">
            <v>9210</v>
          </cell>
          <cell r="AN571">
            <v>1707.2503748321692</v>
          </cell>
        </row>
        <row r="572">
          <cell r="C572" t="str">
            <v>8740</v>
          </cell>
          <cell r="AN572">
            <v>-2204.2597991351968</v>
          </cell>
        </row>
        <row r="573">
          <cell r="C573" t="str">
            <v>8700</v>
          </cell>
          <cell r="AN573">
            <v>161003.68860801688</v>
          </cell>
        </row>
        <row r="574">
          <cell r="C574" t="str">
            <v>8940</v>
          </cell>
          <cell r="AN574">
            <v>0</v>
          </cell>
        </row>
        <row r="575">
          <cell r="C575" t="str">
            <v>9302</v>
          </cell>
          <cell r="AN575">
            <v>-10192.421165486607</v>
          </cell>
        </row>
        <row r="578">
          <cell r="F578">
            <v>1422291.3</v>
          </cell>
          <cell r="G578">
            <v>1161373.82</v>
          </cell>
          <cell r="H578">
            <v>1308387.2099999997</v>
          </cell>
          <cell r="I578">
            <v>1295849.9899999998</v>
          </cell>
          <cell r="J578">
            <v>1361516.6900000002</v>
          </cell>
          <cell r="K578">
            <v>1943285.7999999996</v>
          </cell>
          <cell r="L578">
            <v>1313767.3699999999</v>
          </cell>
          <cell r="M578">
            <v>1146960.99</v>
          </cell>
          <cell r="N578">
            <v>1074936.31</v>
          </cell>
          <cell r="O578">
            <v>1174001.7989999999</v>
          </cell>
          <cell r="P578">
            <v>1196940.9963</v>
          </cell>
          <cell r="Q578">
            <v>1101078.9165000001</v>
          </cell>
          <cell r="U578">
            <v>1330732.2113715673</v>
          </cell>
          <cell r="V578">
            <v>1199354.6621995133</v>
          </cell>
          <cell r="W578">
            <v>1229881.2381961492</v>
          </cell>
          <cell r="X578">
            <v>1264798.0708769797</v>
          </cell>
          <cell r="Y578">
            <v>1286283.0343326733</v>
          </cell>
          <cell r="Z578">
            <v>1182578.8091311362</v>
          </cell>
          <cell r="AA578">
            <v>1173617.3613453335</v>
          </cell>
          <cell r="AB578">
            <v>1197347.9122007759</v>
          </cell>
          <cell r="AC578">
            <v>1104257.1267946758</v>
          </cell>
          <cell r="AD578">
            <v>1226600.1866997199</v>
          </cell>
          <cell r="AE578">
            <v>1067702.9171454182</v>
          </cell>
          <cell r="AF578">
            <v>1253215.4779056623</v>
          </cell>
          <cell r="AI578">
            <v>14516369.008199602</v>
          </cell>
        </row>
        <row r="590">
          <cell r="D590">
            <v>7560</v>
          </cell>
          <cell r="E590"/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</row>
        <row r="591">
          <cell r="D591">
            <v>7590</v>
          </cell>
          <cell r="E591"/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</row>
        <row r="592">
          <cell r="D592">
            <v>8140</v>
          </cell>
          <cell r="E592"/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</row>
        <row r="593">
          <cell r="D593">
            <v>8150</v>
          </cell>
          <cell r="E593"/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</row>
        <row r="594">
          <cell r="D594">
            <v>8160</v>
          </cell>
          <cell r="E594"/>
          <cell r="F594">
            <v>17162.68</v>
          </cell>
          <cell r="G594">
            <v>8905.0399999999991</v>
          </cell>
          <cell r="H594">
            <v>2878.4</v>
          </cell>
          <cell r="I594">
            <v>3990.95</v>
          </cell>
          <cell r="J594">
            <v>33606.07</v>
          </cell>
          <cell r="K594">
            <v>124066.82</v>
          </cell>
          <cell r="L594">
            <v>35129.544427470457</v>
          </cell>
          <cell r="M594">
            <v>21842.400920302422</v>
          </cell>
          <cell r="N594">
            <v>21657.910322734053</v>
          </cell>
          <cell r="O594">
            <v>20740.143820242294</v>
          </cell>
          <cell r="P594">
            <v>20422.114539138543</v>
          </cell>
          <cell r="Q594">
            <v>16331.63300529869</v>
          </cell>
          <cell r="R594">
            <v>19108.482036383299</v>
          </cell>
          <cell r="S594">
            <v>16694.332840995285</v>
          </cell>
          <cell r="T594">
            <v>27036.818512045898</v>
          </cell>
          <cell r="U594">
            <v>31297.547294120872</v>
          </cell>
          <cell r="V594">
            <v>24252.737651501931</v>
          </cell>
          <cell r="W594">
            <v>30922.964905097553</v>
          </cell>
          <cell r="X594">
            <v>28122.398457562198</v>
          </cell>
          <cell r="Y594">
            <v>31187.404883221829</v>
          </cell>
          <cell r="Z594">
            <v>25334.956942296856</v>
          </cell>
          <cell r="AA594">
            <v>20820.802731083695</v>
          </cell>
          <cell r="AB594">
            <v>20501.256791369837</v>
          </cell>
          <cell r="AC594">
            <v>16407.779944146234</v>
          </cell>
          <cell r="AD594">
            <v>19192.102221425623</v>
          </cell>
          <cell r="AE594">
            <v>16766.92071177359</v>
          </cell>
          <cell r="AF594">
            <v>27110.379093562908</v>
          </cell>
        </row>
        <row r="595">
          <cell r="D595">
            <v>8170</v>
          </cell>
          <cell r="E595"/>
          <cell r="F595">
            <v>5748.35</v>
          </cell>
          <cell r="G595">
            <v>1963.5899999999997</v>
          </cell>
          <cell r="H595">
            <v>613.67999999999995</v>
          </cell>
          <cell r="I595">
            <v>812.28</v>
          </cell>
          <cell r="J595">
            <v>1432.2800000000002</v>
          </cell>
          <cell r="K595">
            <v>1515.31</v>
          </cell>
          <cell r="L595">
            <v>1784.1591205616505</v>
          </cell>
          <cell r="M595">
            <v>1823.4918859910956</v>
          </cell>
          <cell r="N595">
            <v>1606.621874206726</v>
          </cell>
          <cell r="O595">
            <v>1817.1736857392029</v>
          </cell>
          <cell r="P595">
            <v>1803.8230220036885</v>
          </cell>
          <cell r="Q595">
            <v>1718.4069285868406</v>
          </cell>
          <cell r="R595">
            <v>1920.7924597850897</v>
          </cell>
          <cell r="S595">
            <v>1672.0201643295059</v>
          </cell>
          <cell r="T595">
            <v>1709.7601810624133</v>
          </cell>
          <cell r="U595">
            <v>1775.2521701084211</v>
          </cell>
          <cell r="V595">
            <v>1785.1952874942942</v>
          </cell>
          <cell r="W595">
            <v>1617.3640578396405</v>
          </cell>
          <cell r="X595">
            <v>1787.3804533793009</v>
          </cell>
          <cell r="Y595">
            <v>1729.7950320060654</v>
          </cell>
          <cell r="Z595">
            <v>1637.7666815612899</v>
          </cell>
          <cell r="AA595">
            <v>1865.0915604048048</v>
          </cell>
          <cell r="AB595">
            <v>1850.8398795785372</v>
          </cell>
          <cell r="AC595">
            <v>1763.6443293129723</v>
          </cell>
          <cell r="AD595">
            <v>1970.4695692894707</v>
          </cell>
          <cell r="AE595">
            <v>1715.1431926212838</v>
          </cell>
          <cell r="AF595">
            <v>1753.4610776985166</v>
          </cell>
        </row>
        <row r="596">
          <cell r="D596">
            <v>8180</v>
          </cell>
          <cell r="E596"/>
          <cell r="F596">
            <v>3767.8399999999997</v>
          </cell>
          <cell r="G596">
            <v>2066.5099999999998</v>
          </cell>
          <cell r="H596">
            <v>2175.2800000000002</v>
          </cell>
          <cell r="I596">
            <v>1614.34</v>
          </cell>
          <cell r="J596">
            <v>4831.5599999999995</v>
          </cell>
          <cell r="K596">
            <v>1735.18</v>
          </cell>
          <cell r="L596">
            <v>2459.9823483355858</v>
          </cell>
          <cell r="M596">
            <v>2291.796983595867</v>
          </cell>
          <cell r="N596">
            <v>1951.5656251205173</v>
          </cell>
          <cell r="O596">
            <v>2066.5995322070444</v>
          </cell>
          <cell r="P596">
            <v>2073.1447490603532</v>
          </cell>
          <cell r="Q596">
            <v>1826.5187889123015</v>
          </cell>
          <cell r="R596">
            <v>2264.8231575405953</v>
          </cell>
          <cell r="S596">
            <v>1992.2187849284544</v>
          </cell>
          <cell r="T596">
            <v>2108.3325515205993</v>
          </cell>
          <cell r="U596">
            <v>2305.1657477309709</v>
          </cell>
          <cell r="V596">
            <v>2038.1371877678653</v>
          </cell>
          <cell r="W596">
            <v>1907.4263092835197</v>
          </cell>
          <cell r="X596">
            <v>2266.2926104410435</v>
          </cell>
          <cell r="Y596">
            <v>2137.4053906102877</v>
          </cell>
          <cell r="Z596">
            <v>1851.0299761221429</v>
          </cell>
          <cell r="AA596">
            <v>2105.270591050054</v>
          </cell>
          <cell r="AB596">
            <v>2111.0886620276701</v>
          </cell>
          <cell r="AC596">
            <v>1863.0266306643243</v>
          </cell>
          <cell r="AD596">
            <v>2304.913967873918</v>
          </cell>
          <cell r="AE596">
            <v>2027.0202692638443</v>
          </cell>
          <cell r="AF596">
            <v>2143.6003916971636</v>
          </cell>
        </row>
        <row r="597">
          <cell r="D597">
            <v>8190</v>
          </cell>
          <cell r="E597"/>
          <cell r="F597">
            <v>94.86</v>
          </cell>
          <cell r="G597">
            <v>114.33</v>
          </cell>
          <cell r="H597">
            <v>104.41</v>
          </cell>
          <cell r="I597">
            <v>0</v>
          </cell>
          <cell r="J597">
            <v>100.72</v>
          </cell>
          <cell r="K597">
            <v>103.52</v>
          </cell>
          <cell r="L597">
            <v>58.463586575521653</v>
          </cell>
          <cell r="M597">
            <v>61.306608558284296</v>
          </cell>
          <cell r="N597">
            <v>55.319595774215976</v>
          </cell>
          <cell r="O597">
            <v>57.920176458071708</v>
          </cell>
          <cell r="P597">
            <v>63.95139486456457</v>
          </cell>
          <cell r="Q597">
            <v>63.998205734828169</v>
          </cell>
          <cell r="R597">
            <v>69.428406003472276</v>
          </cell>
          <cell r="S597">
            <v>60.911404999722514</v>
          </cell>
          <cell r="T597">
            <v>64.622072035543667</v>
          </cell>
          <cell r="U597">
            <v>62.684227392890179</v>
          </cell>
          <cell r="V597">
            <v>60.880337070946368</v>
          </cell>
          <cell r="W597">
            <v>59.868609273761024</v>
          </cell>
          <cell r="X597">
            <v>54.071096923420527</v>
          </cell>
          <cell r="Y597">
            <v>60.274930414010413</v>
          </cell>
          <cell r="Z597">
            <v>56.704626329946926</v>
          </cell>
          <cell r="AA597">
            <v>57.920176458071708</v>
          </cell>
          <cell r="AB597">
            <v>63.95139486456457</v>
          </cell>
          <cell r="AC597">
            <v>63.998205734828169</v>
          </cell>
          <cell r="AD597">
            <v>69.428406003472276</v>
          </cell>
          <cell r="AE597">
            <v>60.911404999722514</v>
          </cell>
          <cell r="AF597">
            <v>64.622072035543667</v>
          </cell>
        </row>
        <row r="598">
          <cell r="D598">
            <v>8200</v>
          </cell>
          <cell r="E598"/>
          <cell r="F598">
            <v>327.27999999999997</v>
          </cell>
          <cell r="G598">
            <v>1967.46</v>
          </cell>
          <cell r="H598">
            <v>796.03</v>
          </cell>
          <cell r="I598">
            <v>-61.56</v>
          </cell>
          <cell r="J598">
            <v>574.07999999999993</v>
          </cell>
          <cell r="K598">
            <v>278.54000000000002</v>
          </cell>
          <cell r="L598">
            <v>618.85284406804203</v>
          </cell>
          <cell r="M598">
            <v>494.15694372212988</v>
          </cell>
          <cell r="N598">
            <v>455.72779529549655</v>
          </cell>
          <cell r="O598">
            <v>480.12769298411501</v>
          </cell>
          <cell r="P598">
            <v>485.44594923180341</v>
          </cell>
          <cell r="Q598">
            <v>430.91484164235453</v>
          </cell>
          <cell r="R598">
            <v>496.0677794234482</v>
          </cell>
          <cell r="S598">
            <v>441.5845060908714</v>
          </cell>
          <cell r="T598">
            <v>542.60786402030783</v>
          </cell>
          <cell r="U598">
            <v>589.20787852063961</v>
          </cell>
          <cell r="V598">
            <v>509.00016667418674</v>
          </cell>
          <cell r="W598">
            <v>554.58413469028392</v>
          </cell>
          <cell r="X598">
            <v>551.14823133689197</v>
          </cell>
          <cell r="Y598">
            <v>575.16247045229989</v>
          </cell>
          <cell r="Z598">
            <v>495.53817158695074</v>
          </cell>
          <cell r="AA598">
            <v>485.23339252117705</v>
          </cell>
          <cell r="AB598">
            <v>490.45564445783862</v>
          </cell>
          <cell r="AC598">
            <v>435.73493388469899</v>
          </cell>
          <cell r="AD598">
            <v>501.36092726794493</v>
          </cell>
          <cell r="AE598">
            <v>446.17930974446699</v>
          </cell>
          <cell r="AF598">
            <v>547.26424014886595</v>
          </cell>
        </row>
        <row r="599">
          <cell r="D599">
            <v>8210</v>
          </cell>
          <cell r="E599"/>
          <cell r="F599">
            <v>16004.169999999998</v>
          </cell>
          <cell r="G599">
            <v>8232.48</v>
          </cell>
          <cell r="H599">
            <v>979.35999999999956</v>
          </cell>
          <cell r="I599">
            <v>-180.34999999999997</v>
          </cell>
          <cell r="J599">
            <v>1240.8499999999999</v>
          </cell>
          <cell r="K599">
            <v>3290.67</v>
          </cell>
          <cell r="L599">
            <v>4437.4388731267536</v>
          </cell>
          <cell r="M599">
            <v>4370.2533523907068</v>
          </cell>
          <cell r="N599">
            <v>3806.5465159394107</v>
          </cell>
          <cell r="O599">
            <v>4212.0966827232978</v>
          </cell>
          <cell r="P599">
            <v>4189.4259084446021</v>
          </cell>
          <cell r="Q599">
            <v>3885.606924738413</v>
          </cell>
          <cell r="R599">
            <v>4495.8513764500967</v>
          </cell>
          <cell r="S599">
            <v>3928.278288435175</v>
          </cell>
          <cell r="T599">
            <v>4071.5303477413295</v>
          </cell>
          <cell r="U599">
            <v>4312.6945463064803</v>
          </cell>
          <cell r="V599">
            <v>4143.5531053900004</v>
          </cell>
          <cell r="W599">
            <v>3798.444532852277</v>
          </cell>
          <cell r="X599">
            <v>4311.5186491823624</v>
          </cell>
          <cell r="Y599">
            <v>4130.2255067270862</v>
          </cell>
          <cell r="Z599">
            <v>3791.0505359564859</v>
          </cell>
          <cell r="AA599">
            <v>4313.4757643561616</v>
          </cell>
          <cell r="AB599">
            <v>4288.898722618118</v>
          </cell>
          <cell r="AC599">
            <v>3981.3149704954017</v>
          </cell>
          <cell r="AD599">
            <v>4600.9524431162399</v>
          </cell>
          <cell r="AE599">
            <v>4019.5129902235399</v>
          </cell>
          <cell r="AF599">
            <v>4163.9876363506091</v>
          </cell>
        </row>
        <row r="600">
          <cell r="D600">
            <v>8240</v>
          </cell>
          <cell r="E600"/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</row>
        <row r="601">
          <cell r="D601">
            <v>8250</v>
          </cell>
          <cell r="E601"/>
          <cell r="F601">
            <v>2637.08</v>
          </cell>
          <cell r="G601">
            <v>772.91000000000008</v>
          </cell>
          <cell r="H601">
            <v>854.21</v>
          </cell>
          <cell r="I601">
            <v>948.66000000000008</v>
          </cell>
          <cell r="J601">
            <v>406.31</v>
          </cell>
          <cell r="K601">
            <v>535.35</v>
          </cell>
          <cell r="L601">
            <v>695.19657913566471</v>
          </cell>
          <cell r="M601">
            <v>728.93332099872475</v>
          </cell>
          <cell r="N601">
            <v>657.79207892025227</v>
          </cell>
          <cell r="O601">
            <v>690.30411382471289</v>
          </cell>
          <cell r="P601">
            <v>762.04843985293314</v>
          </cell>
          <cell r="Q601">
            <v>762.56768467664222</v>
          </cell>
          <cell r="R601">
            <v>827.15803028585174</v>
          </cell>
          <cell r="S601">
            <v>726.36514353277437</v>
          </cell>
          <cell r="T601">
            <v>769.98502417454347</v>
          </cell>
          <cell r="U601">
            <v>747.01999776886976</v>
          </cell>
          <cell r="V601">
            <v>725.4983793409383</v>
          </cell>
          <cell r="W601">
            <v>713.51522838947562</v>
          </cell>
          <cell r="X601">
            <v>644.58681007864152</v>
          </cell>
          <cell r="Y601">
            <v>718.30051226006958</v>
          </cell>
          <cell r="Z601">
            <v>675.85355437648593</v>
          </cell>
          <cell r="AA601">
            <v>690.30411382471289</v>
          </cell>
          <cell r="AB601">
            <v>762.04843985293314</v>
          </cell>
          <cell r="AC601">
            <v>762.56768467664222</v>
          </cell>
          <cell r="AD601">
            <v>827.15803028585174</v>
          </cell>
          <cell r="AE601">
            <v>726.36514353277437</v>
          </cell>
          <cell r="AF601">
            <v>769.98502417454347</v>
          </cell>
        </row>
        <row r="602">
          <cell r="D602">
            <v>8310</v>
          </cell>
          <cell r="E602"/>
          <cell r="F602">
            <v>459.78</v>
          </cell>
          <cell r="G602">
            <v>1020</v>
          </cell>
          <cell r="H602">
            <v>824.38</v>
          </cell>
          <cell r="I602">
            <v>88</v>
          </cell>
          <cell r="J602">
            <v>2405</v>
          </cell>
          <cell r="K602">
            <v>3015.25</v>
          </cell>
          <cell r="L602">
            <v>1508.8492745276435</v>
          </cell>
          <cell r="M602">
            <v>867.31095363900488</v>
          </cell>
          <cell r="N602">
            <v>884.75552079906595</v>
          </cell>
          <cell r="O602">
            <v>893.69028205847394</v>
          </cell>
          <cell r="P602">
            <v>878.68104816800246</v>
          </cell>
          <cell r="Q602">
            <v>694.81336498519988</v>
          </cell>
          <cell r="R602">
            <v>795.99054663488948</v>
          </cell>
          <cell r="S602">
            <v>734.50340055636138</v>
          </cell>
          <cell r="T602">
            <v>1194.7072612572363</v>
          </cell>
          <cell r="U602">
            <v>1372.8844425593968</v>
          </cell>
          <cell r="V602">
            <v>1044.1045176853925</v>
          </cell>
          <cell r="W602">
            <v>1387.7816464009354</v>
          </cell>
          <cell r="X602">
            <v>1244.0114736780761</v>
          </cell>
          <cell r="Y602">
            <v>1384.8969210643688</v>
          </cell>
          <cell r="Z602">
            <v>1109.6548808868595</v>
          </cell>
          <cell r="AA602">
            <v>893.69028205847394</v>
          </cell>
          <cell r="AB602">
            <v>878.68104816800246</v>
          </cell>
          <cell r="AC602">
            <v>694.81336498519988</v>
          </cell>
          <cell r="AD602">
            <v>795.99054663488948</v>
          </cell>
          <cell r="AE602">
            <v>734.50340055636138</v>
          </cell>
          <cell r="AF602">
            <v>1194.7072612572363</v>
          </cell>
        </row>
        <row r="603">
          <cell r="D603">
            <v>8320</v>
          </cell>
          <cell r="E603"/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</row>
        <row r="604">
          <cell r="D604">
            <v>8340</v>
          </cell>
          <cell r="E604"/>
          <cell r="F604">
            <v>0</v>
          </cell>
          <cell r="G604">
            <v>31.29</v>
          </cell>
          <cell r="H604">
            <v>1242.82</v>
          </cell>
          <cell r="I604">
            <v>-177.55</v>
          </cell>
          <cell r="J604">
            <v>1034.3800000000001</v>
          </cell>
          <cell r="K604">
            <v>-318.56</v>
          </cell>
          <cell r="L604">
            <v>273.61855981055839</v>
          </cell>
          <cell r="M604">
            <v>283.20487223144141</v>
          </cell>
          <cell r="N604">
            <v>250.60510794468291</v>
          </cell>
          <cell r="O604">
            <v>288.2872418852545</v>
          </cell>
          <cell r="P604">
            <v>283.09128028956007</v>
          </cell>
          <cell r="Q604">
            <v>271.55655942253367</v>
          </cell>
          <cell r="R604">
            <v>299.51688156354351</v>
          </cell>
          <cell r="S604">
            <v>260.12280622756458</v>
          </cell>
          <cell r="T604">
            <v>263.95337772564267</v>
          </cell>
          <cell r="U604">
            <v>273.43022000038781</v>
          </cell>
          <cell r="V604">
            <v>281.61318501878492</v>
          </cell>
          <cell r="W604">
            <v>252.36542047898953</v>
          </cell>
          <cell r="X604">
            <v>279.98407651264608</v>
          </cell>
          <cell r="Y604">
            <v>269.18185204460241</v>
          </cell>
          <cell r="Z604">
            <v>258.58168623669627</v>
          </cell>
          <cell r="AA604">
            <v>296.82505314643225</v>
          </cell>
          <cell r="AB604">
            <v>291.46855200432367</v>
          </cell>
          <cell r="AC604">
            <v>279.61677478144304</v>
          </cell>
          <cell r="AD604">
            <v>308.3681461054104</v>
          </cell>
          <cell r="AE604">
            <v>267.80629133901772</v>
          </cell>
          <cell r="AF604">
            <v>271.73982505927472</v>
          </cell>
        </row>
        <row r="605">
          <cell r="D605">
            <v>8350</v>
          </cell>
          <cell r="E605"/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</row>
        <row r="606">
          <cell r="D606">
            <v>8360</v>
          </cell>
          <cell r="E606"/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</row>
        <row r="607">
          <cell r="D607">
            <v>8370</v>
          </cell>
          <cell r="E607"/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</row>
        <row r="608">
          <cell r="D608">
            <v>8400</v>
          </cell>
          <cell r="E608"/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</row>
        <row r="609">
          <cell r="D609">
            <v>8410</v>
          </cell>
          <cell r="E609"/>
          <cell r="F609">
            <v>19063.29</v>
          </cell>
          <cell r="G609">
            <v>-7360.1200000000008</v>
          </cell>
          <cell r="H609">
            <v>6379.6500000000005</v>
          </cell>
          <cell r="I609">
            <v>5083.41</v>
          </cell>
          <cell r="J609">
            <v>5229.17</v>
          </cell>
          <cell r="K609">
            <v>9242.4</v>
          </cell>
          <cell r="L609">
            <v>5597.6894438190484</v>
          </cell>
          <cell r="M609">
            <v>5874.1106231991535</v>
          </cell>
          <cell r="N609">
            <v>5231.7166932373802</v>
          </cell>
          <cell r="O609">
            <v>5929.1268042623678</v>
          </cell>
          <cell r="P609">
            <v>5935.7716037573427</v>
          </cell>
          <cell r="Q609">
            <v>5594.2378667647063</v>
          </cell>
          <cell r="R609">
            <v>6182.8536258501126</v>
          </cell>
          <cell r="S609">
            <v>5412.2101797350897</v>
          </cell>
          <cell r="T609">
            <v>5535.6145725176884</v>
          </cell>
          <cell r="U609">
            <v>5750.8488178447487</v>
          </cell>
          <cell r="V609">
            <v>5789.1773190005815</v>
          </cell>
          <cell r="W609">
            <v>5224.2323857120127</v>
          </cell>
          <cell r="X609">
            <v>5756.1535565053455</v>
          </cell>
          <cell r="Y609">
            <v>5600.6104900821319</v>
          </cell>
          <cell r="Z609">
            <v>5421.4638794390394</v>
          </cell>
          <cell r="AA609">
            <v>6093.8434180661325</v>
          </cell>
          <cell r="AB609">
            <v>6097.3909916260263</v>
          </cell>
          <cell r="AC609">
            <v>5749.7404118356671</v>
          </cell>
          <cell r="AD609">
            <v>6353.6175697483659</v>
          </cell>
          <cell r="AE609">
            <v>5560.4446172337239</v>
          </cell>
          <cell r="AF609">
            <v>5685.8354194212889</v>
          </cell>
        </row>
        <row r="610">
          <cell r="D610">
            <v>8470</v>
          </cell>
          <cell r="E610"/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</row>
        <row r="611">
          <cell r="D611">
            <v>8500</v>
          </cell>
          <cell r="E611"/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28.57</v>
          </cell>
          <cell r="K611">
            <v>0</v>
          </cell>
          <cell r="L611">
            <v>4.3253125363796325</v>
          </cell>
          <cell r="M611">
            <v>3.6356039894814449</v>
          </cell>
          <cell r="N611">
            <v>2.9059519692187297</v>
          </cell>
          <cell r="O611">
            <v>2.6919449727918452</v>
          </cell>
          <cell r="P611">
            <v>2.8051729977777491</v>
          </cell>
          <cell r="Q611">
            <v>2.100998534874619</v>
          </cell>
          <cell r="R611">
            <v>3.2613020637553438</v>
          </cell>
          <cell r="S611">
            <v>2.9201425029172619</v>
          </cell>
          <cell r="T611">
            <v>3.2105779989637124</v>
          </cell>
          <cell r="U611">
            <v>3.7634340569533005</v>
          </cell>
          <cell r="V611">
            <v>2.6702028095203554</v>
          </cell>
          <cell r="W611">
            <v>2.6163697410762339</v>
          </cell>
          <cell r="X611">
            <v>3.531408817080254</v>
          </cell>
          <cell r="Y611">
            <v>3.1996977900734938</v>
          </cell>
          <cell r="Z611">
            <v>2.3471214712292632</v>
          </cell>
          <cell r="AA611">
            <v>2.6919449727918452</v>
          </cell>
          <cell r="AB611">
            <v>2.8051729977777491</v>
          </cell>
          <cell r="AC611">
            <v>2.100998534874619</v>
          </cell>
          <cell r="AD611">
            <v>3.2613020637553438</v>
          </cell>
          <cell r="AE611">
            <v>2.9201425029172619</v>
          </cell>
          <cell r="AF611">
            <v>3.2105779989637124</v>
          </cell>
        </row>
        <row r="612">
          <cell r="D612">
            <v>8520</v>
          </cell>
          <cell r="E612"/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D613">
            <v>8550</v>
          </cell>
          <cell r="E613"/>
          <cell r="F613">
            <v>39.590000000000003</v>
          </cell>
          <cell r="G613">
            <v>34.520000000000003</v>
          </cell>
          <cell r="H613">
            <v>37.520000000000003</v>
          </cell>
          <cell r="I613">
            <v>34.909999999999997</v>
          </cell>
          <cell r="J613">
            <v>35.21</v>
          </cell>
          <cell r="K613">
            <v>35.22</v>
          </cell>
          <cell r="L613">
            <v>24.495682796406101</v>
          </cell>
          <cell r="M613">
            <v>25.68688177601372</v>
          </cell>
          <cell r="N613">
            <v>23.178380764582965</v>
          </cell>
          <cell r="O613">
            <v>24.267999162111501</v>
          </cell>
          <cell r="P613">
            <v>26.795021905925722</v>
          </cell>
          <cell r="Q613">
            <v>26.814635212200042</v>
          </cell>
          <cell r="R613">
            <v>29.089837112956474</v>
          </cell>
          <cell r="S613">
            <v>25.521295270334072</v>
          </cell>
          <cell r="T613">
            <v>27.076029216653623</v>
          </cell>
          <cell r="U613">
            <v>26.264090872538592</v>
          </cell>
          <cell r="V613">
            <v>25.508278105753195</v>
          </cell>
          <cell r="W613">
            <v>25.084373849312392</v>
          </cell>
          <cell r="X613">
            <v>22.655271704531426</v>
          </cell>
          <cell r="Y613">
            <v>25.254618515232195</v>
          </cell>
          <cell r="Z613">
            <v>23.758695301267931</v>
          </cell>
          <cell r="AA613">
            <v>24.267999162111501</v>
          </cell>
          <cell r="AB613">
            <v>26.795021905925722</v>
          </cell>
          <cell r="AC613">
            <v>26.814635212200042</v>
          </cell>
          <cell r="AD613">
            <v>29.089837112956474</v>
          </cell>
          <cell r="AE613">
            <v>25.521295270334072</v>
          </cell>
          <cell r="AF613">
            <v>27.076029216653623</v>
          </cell>
        </row>
        <row r="614">
          <cell r="D614">
            <v>8560</v>
          </cell>
          <cell r="E614"/>
          <cell r="F614">
            <v>12455.669999999998</v>
          </cell>
          <cell r="G614">
            <v>29430.539999999994</v>
          </cell>
          <cell r="H614">
            <v>47533.69</v>
          </cell>
          <cell r="I614">
            <v>35350.81</v>
          </cell>
          <cell r="J614">
            <v>49826.009999999995</v>
          </cell>
          <cell r="K614">
            <v>43467.520000000004</v>
          </cell>
          <cell r="L614">
            <v>35638.342051698448</v>
          </cell>
          <cell r="M614">
            <v>29706.705001849004</v>
          </cell>
          <cell r="N614">
            <v>27267.858527128818</v>
          </cell>
          <cell r="O614">
            <v>29312.555723350531</v>
          </cell>
          <cell r="P614">
            <v>29064.460045144631</v>
          </cell>
          <cell r="Q614">
            <v>26134.464902759213</v>
          </cell>
          <cell r="R614">
            <v>29880.108922780044</v>
          </cell>
          <cell r="S614">
            <v>26475.518673416802</v>
          </cell>
          <cell r="T614">
            <v>31263.71958255547</v>
          </cell>
          <cell r="U614">
            <v>33952.2955422741</v>
          </cell>
          <cell r="V614">
            <v>30334.011443202497</v>
          </cell>
          <cell r="W614">
            <v>31661.230152313019</v>
          </cell>
          <cell r="X614">
            <v>32799.914761639971</v>
          </cell>
          <cell r="Y614">
            <v>33170.566655818075</v>
          </cell>
          <cell r="Z614">
            <v>29203.042299788776</v>
          </cell>
          <cell r="AA614">
            <v>29823.50451901865</v>
          </cell>
          <cell r="AB614">
            <v>29565.80128620793</v>
          </cell>
          <cell r="AC614">
            <v>26616.8317769471</v>
          </cell>
          <cell r="AD614">
            <v>30409.816457821402</v>
          </cell>
          <cell r="AE614">
            <v>26935.339972358157</v>
          </cell>
          <cell r="AF614">
            <v>31729.702697659337</v>
          </cell>
        </row>
        <row r="615">
          <cell r="D615">
            <v>8570</v>
          </cell>
          <cell r="E615"/>
          <cell r="F615">
            <v>2184.08</v>
          </cell>
          <cell r="G615">
            <v>10618.99</v>
          </cell>
          <cell r="H615">
            <v>-1840.67</v>
          </cell>
          <cell r="I615">
            <v>1397.6299999999999</v>
          </cell>
          <cell r="J615">
            <v>2143.36</v>
          </cell>
          <cell r="K615">
            <v>1419.27</v>
          </cell>
          <cell r="L615">
            <v>2246.6979784821101</v>
          </cell>
          <cell r="M615">
            <v>2319.226875867942</v>
          </cell>
          <cell r="N615">
            <v>2056.1664771348242</v>
          </cell>
          <cell r="O615">
            <v>2310.0139054842239</v>
          </cell>
          <cell r="P615">
            <v>2327.2566024910539</v>
          </cell>
          <cell r="Q615">
            <v>2244.8174348832599</v>
          </cell>
          <cell r="R615">
            <v>2480.7563008150792</v>
          </cell>
          <cell r="S615">
            <v>2160.6864065702302</v>
          </cell>
          <cell r="T615">
            <v>2218.6462500452321</v>
          </cell>
          <cell r="U615">
            <v>2270.8356110448176</v>
          </cell>
          <cell r="V615">
            <v>2291.4675833733036</v>
          </cell>
          <cell r="W615">
            <v>2099.1986172453135</v>
          </cell>
          <cell r="X615">
            <v>2239.7312703239354</v>
          </cell>
          <cell r="Y615">
            <v>2216.5726486881167</v>
          </cell>
          <cell r="Z615">
            <v>2108.9142632441631</v>
          </cell>
          <cell r="AA615">
            <v>2363.5485889174083</v>
          </cell>
          <cell r="AB615">
            <v>2379.7846539511388</v>
          </cell>
          <cell r="AC615">
            <v>2295.3574461862245</v>
          </cell>
          <cell r="AD615">
            <v>2536.2564320239817</v>
          </cell>
          <cell r="AE615">
            <v>2208.8642041956705</v>
          </cell>
          <cell r="AF615">
            <v>2267.4696522408963</v>
          </cell>
        </row>
        <row r="616">
          <cell r="D616">
            <v>8580</v>
          </cell>
          <cell r="E616"/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</row>
        <row r="617">
          <cell r="D617">
            <v>8590</v>
          </cell>
          <cell r="E617"/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</row>
        <row r="618">
          <cell r="D618">
            <v>8600</v>
          </cell>
          <cell r="E618"/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</row>
        <row r="619">
          <cell r="D619">
            <v>8620</v>
          </cell>
          <cell r="E619"/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</row>
        <row r="620">
          <cell r="D620">
            <v>8630</v>
          </cell>
          <cell r="E620"/>
          <cell r="F620">
            <v>0</v>
          </cell>
          <cell r="G620">
            <v>4742.46</v>
          </cell>
          <cell r="H620">
            <v>1145.7</v>
          </cell>
          <cell r="I620">
            <v>774.21</v>
          </cell>
          <cell r="J620">
            <v>2447.31</v>
          </cell>
          <cell r="K620">
            <v>-617.11999999999989</v>
          </cell>
          <cell r="L620">
            <v>1307.9490137252455</v>
          </cell>
          <cell r="M620">
            <v>1360.2044407615078</v>
          </cell>
          <cell r="N620">
            <v>1254.3950353333221</v>
          </cell>
          <cell r="O620">
            <v>1390.0480337376541</v>
          </cell>
          <cell r="P620">
            <v>1331.1032610051536</v>
          </cell>
          <cell r="Q620">
            <v>1433.9122552099207</v>
          </cell>
          <cell r="R620">
            <v>1428.4238591284761</v>
          </cell>
          <cell r="S620">
            <v>1298.3780068375092</v>
          </cell>
          <cell r="T620">
            <v>1338.4178883229902</v>
          </cell>
          <cell r="U620">
            <v>1304.355772927421</v>
          </cell>
          <cell r="V620">
            <v>1312.5124897884295</v>
          </cell>
          <cell r="W620">
            <v>1294.7238948778149</v>
          </cell>
          <cell r="X620">
            <v>1372.1630114097254</v>
          </cell>
          <cell r="Y620">
            <v>1282.2506787225957</v>
          </cell>
          <cell r="Z620">
            <v>1265.3649600635961</v>
          </cell>
          <cell r="AA620">
            <v>1429.5582939729145</v>
          </cell>
          <cell r="AB620">
            <v>1369.8705955580767</v>
          </cell>
          <cell r="AC620">
            <v>1471.2123543384673</v>
          </cell>
          <cell r="AD620">
            <v>1469.3846809084662</v>
          </cell>
          <cell r="AE620">
            <v>1333.9347188542824</v>
          </cell>
          <cell r="AF620">
            <v>1374.4510765780219</v>
          </cell>
        </row>
        <row r="621">
          <cell r="D621">
            <v>8640</v>
          </cell>
          <cell r="E621"/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</row>
        <row r="622">
          <cell r="D622">
            <v>8650</v>
          </cell>
          <cell r="E622"/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</row>
        <row r="623">
          <cell r="D623">
            <v>8670</v>
          </cell>
          <cell r="E623"/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</row>
        <row r="624">
          <cell r="D624">
            <v>8700</v>
          </cell>
          <cell r="E624"/>
          <cell r="F624">
            <v>161945.12999999998</v>
          </cell>
          <cell r="G624">
            <v>57921.109999999899</v>
          </cell>
          <cell r="H624">
            <v>123487.74000000005</v>
          </cell>
          <cell r="I624">
            <v>161656.08999999997</v>
          </cell>
          <cell r="J624">
            <v>183227.55999999994</v>
          </cell>
          <cell r="K624">
            <v>205824.88</v>
          </cell>
          <cell r="L624">
            <v>119912.97548888726</v>
          </cell>
          <cell r="M624">
            <v>117861.36488419003</v>
          </cell>
          <cell r="N624">
            <v>107149.76092095581</v>
          </cell>
          <cell r="O624">
            <v>71405.348095168185</v>
          </cell>
          <cell r="P624">
            <v>74571.454034588663</v>
          </cell>
          <cell r="Q624">
            <v>67879.947821622816</v>
          </cell>
          <cell r="R624">
            <v>80257.83883875329</v>
          </cell>
          <cell r="S624">
            <v>56701.75349518517</v>
          </cell>
          <cell r="T624">
            <v>84555.26958929305</v>
          </cell>
          <cell r="U624">
            <v>95362.664831322705</v>
          </cell>
          <cell r="V624">
            <v>82927.419859492045</v>
          </cell>
          <cell r="W624">
            <v>81808.727122496901</v>
          </cell>
          <cell r="X624">
            <v>87702.01702641265</v>
          </cell>
          <cell r="Y624">
            <v>87419.454205177288</v>
          </cell>
          <cell r="Z624">
            <v>86666.676812004764</v>
          </cell>
          <cell r="AA624">
            <v>72470.83610548533</v>
          </cell>
          <cell r="AB624">
            <v>75616.907289316514</v>
          </cell>
          <cell r="AC624">
            <v>68885.833588217647</v>
          </cell>
          <cell r="AD624">
            <v>81362.444686435338</v>
          </cell>
          <cell r="AE624">
            <v>57660.624687492906</v>
          </cell>
          <cell r="AF624">
            <v>85526.990095071276</v>
          </cell>
        </row>
        <row r="625">
          <cell r="D625">
            <v>8710</v>
          </cell>
          <cell r="E625"/>
          <cell r="F625">
            <v>69.58</v>
          </cell>
          <cell r="G625">
            <v>218.74</v>
          </cell>
          <cell r="H625">
            <v>43.39</v>
          </cell>
          <cell r="I625">
            <v>22.45</v>
          </cell>
          <cell r="J625">
            <v>22.2</v>
          </cell>
          <cell r="K625">
            <v>90.38</v>
          </cell>
          <cell r="L625">
            <v>52.69445079225045</v>
          </cell>
          <cell r="M625">
            <v>55.256925842912111</v>
          </cell>
          <cell r="N625">
            <v>49.860706263821953</v>
          </cell>
          <cell r="O625">
            <v>52.204663911710924</v>
          </cell>
          <cell r="P625">
            <v>57.640726940921645</v>
          </cell>
          <cell r="Q625">
            <v>57.682918555294485</v>
          </cell>
          <cell r="R625">
            <v>62.577271392825281</v>
          </cell>
          <cell r="S625">
            <v>54.900720627163764</v>
          </cell>
          <cell r="T625">
            <v>58.245222273037328</v>
          </cell>
          <cell r="U625">
            <v>56.498602451254364</v>
          </cell>
          <cell r="V625">
            <v>54.872718454529398</v>
          </cell>
          <cell r="W625">
            <v>53.960827074840132</v>
          </cell>
          <cell r="X625">
            <v>48.735408191791471</v>
          </cell>
          <cell r="Y625">
            <v>54.32705279900204</v>
          </cell>
          <cell r="Z625">
            <v>51.109063211106566</v>
          </cell>
          <cell r="AA625">
            <v>52.204663911710924</v>
          </cell>
          <cell r="AB625">
            <v>57.640726940921645</v>
          </cell>
          <cell r="AC625">
            <v>57.682918555294485</v>
          </cell>
          <cell r="AD625">
            <v>62.577271392825281</v>
          </cell>
          <cell r="AE625">
            <v>54.900720627163764</v>
          </cell>
          <cell r="AF625">
            <v>58.245222273037328</v>
          </cell>
        </row>
        <row r="626">
          <cell r="D626">
            <v>8711</v>
          </cell>
          <cell r="E626"/>
          <cell r="F626">
            <v>0</v>
          </cell>
          <cell r="G626">
            <v>0</v>
          </cell>
          <cell r="H626">
            <v>3088.43</v>
          </cell>
          <cell r="I626">
            <v>3033.77</v>
          </cell>
          <cell r="J626">
            <v>10112.4</v>
          </cell>
          <cell r="K626">
            <v>0</v>
          </cell>
          <cell r="L626">
            <v>2457.8130522614201</v>
          </cell>
          <cell r="M626">
            <v>2065.8934731408981</v>
          </cell>
          <cell r="N626">
            <v>1651.2764382036537</v>
          </cell>
          <cell r="O626">
            <v>1529.6692283964467</v>
          </cell>
          <cell r="P626">
            <v>1594.009854733029</v>
          </cell>
          <cell r="Q626">
            <v>1193.8701720082422</v>
          </cell>
          <cell r="R626">
            <v>1853.2003669668359</v>
          </cell>
          <cell r="S626">
            <v>1659.3400587280564</v>
          </cell>
          <cell r="T626">
            <v>1824.3769542168804</v>
          </cell>
          <cell r="U626">
            <v>2138.5315555132674</v>
          </cell>
          <cell r="V626">
            <v>1517.3144743240869</v>
          </cell>
          <cell r="W626">
            <v>1486.7244031668261</v>
          </cell>
          <cell r="X626">
            <v>2006.6856696454702</v>
          </cell>
          <cell r="Y626">
            <v>1818.1943907149855</v>
          </cell>
          <cell r="Z626">
            <v>1333.7269246348826</v>
          </cell>
          <cell r="AA626">
            <v>1529.6692283964467</v>
          </cell>
          <cell r="AB626">
            <v>1594.009854733029</v>
          </cell>
          <cell r="AC626">
            <v>1193.8701720082422</v>
          </cell>
          <cell r="AD626">
            <v>1853.2003669668359</v>
          </cell>
          <cell r="AE626">
            <v>1659.3400587280564</v>
          </cell>
          <cell r="AF626">
            <v>1824.3769542168804</v>
          </cell>
        </row>
        <row r="627">
          <cell r="D627">
            <v>8720</v>
          </cell>
          <cell r="E627"/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D628">
            <v>8740</v>
          </cell>
          <cell r="E628"/>
          <cell r="F628">
            <v>361665.04000000004</v>
          </cell>
          <cell r="G628">
            <v>388134.93</v>
          </cell>
          <cell r="H628">
            <v>427162.32</v>
          </cell>
          <cell r="I628">
            <v>365967.22</v>
          </cell>
          <cell r="J628">
            <v>433283.2900000001</v>
          </cell>
          <cell r="K628">
            <v>539226.76000000013</v>
          </cell>
          <cell r="L628">
            <v>409981.5753958468</v>
          </cell>
          <cell r="M628">
            <v>345043.04257348779</v>
          </cell>
          <cell r="N628">
            <v>325861.4918100611</v>
          </cell>
          <cell r="O628">
            <v>335445.80848787096</v>
          </cell>
          <cell r="P628">
            <v>339290.35114020645</v>
          </cell>
          <cell r="Q628">
            <v>314148.09584082488</v>
          </cell>
          <cell r="R628">
            <v>351073.64543530642</v>
          </cell>
          <cell r="S628">
            <v>316194.44362811022</v>
          </cell>
          <cell r="T628">
            <v>375933.95754551236</v>
          </cell>
          <cell r="U628">
            <v>405493.91350684268</v>
          </cell>
          <cell r="V628">
            <v>363133.29580174095</v>
          </cell>
          <cell r="W628">
            <v>367662.84730316885</v>
          </cell>
          <cell r="X628">
            <v>384796.02005415817</v>
          </cell>
          <cell r="Y628">
            <v>387858.9641813768</v>
          </cell>
          <cell r="Z628">
            <v>354742.99998523906</v>
          </cell>
          <cell r="AA628">
            <v>339766.00333990849</v>
          </cell>
          <cell r="AB628">
            <v>343529.31180929585</v>
          </cell>
          <cell r="AC628">
            <v>318226.62367830612</v>
          </cell>
          <cell r="AD628">
            <v>355552.44993660448</v>
          </cell>
          <cell r="AE628">
            <v>320082.34320901847</v>
          </cell>
          <cell r="AF628">
            <v>379873.95676280337</v>
          </cell>
        </row>
        <row r="629">
          <cell r="D629">
            <v>8750</v>
          </cell>
          <cell r="E629"/>
          <cell r="F629">
            <v>105325.39000000001</v>
          </cell>
          <cell r="G629">
            <v>39732.15</v>
          </cell>
          <cell r="H629">
            <v>29160.480000000007</v>
          </cell>
          <cell r="I629">
            <v>41974.969999999994</v>
          </cell>
          <cell r="J629">
            <v>68724.28</v>
          </cell>
          <cell r="K629">
            <v>49620.76</v>
          </cell>
          <cell r="L629">
            <v>51319.432581303518</v>
          </cell>
          <cell r="M629">
            <v>49119.715687065465</v>
          </cell>
          <cell r="N629">
            <v>43558.439235610349</v>
          </cell>
          <cell r="O629">
            <v>47958.98187550647</v>
          </cell>
          <cell r="P629">
            <v>47858.610910155126</v>
          </cell>
          <cell r="Q629">
            <v>43928.836512083435</v>
          </cell>
          <cell r="R629">
            <v>50319.844817699035</v>
          </cell>
          <cell r="S629">
            <v>44300.713047591467</v>
          </cell>
          <cell r="T629">
            <v>47456.269260359069</v>
          </cell>
          <cell r="U629">
            <v>50709.104435721973</v>
          </cell>
          <cell r="V629">
            <v>47612.493497728501</v>
          </cell>
          <cell r="W629">
            <v>45168.462771338702</v>
          </cell>
          <cell r="X629">
            <v>49809.093716609459</v>
          </cell>
          <cell r="Y629">
            <v>48525.304598772804</v>
          </cell>
          <cell r="Z629">
            <v>44745.213021639443</v>
          </cell>
          <cell r="AA629">
            <v>49053.669028923854</v>
          </cell>
          <cell r="AB629">
            <v>48932.714265957518</v>
          </cell>
          <cell r="AC629">
            <v>44962.288053381446</v>
          </cell>
          <cell r="AD629">
            <v>51454.721812408323</v>
          </cell>
          <cell r="AE629">
            <v>45285.861604719605</v>
          </cell>
          <cell r="AF629">
            <v>48454.619259690429</v>
          </cell>
        </row>
        <row r="630">
          <cell r="D630">
            <v>8760</v>
          </cell>
          <cell r="E630"/>
          <cell r="F630">
            <v>5807.1399999999994</v>
          </cell>
          <cell r="G630">
            <v>9697.42</v>
          </cell>
          <cell r="H630">
            <v>17156.93</v>
          </cell>
          <cell r="I630">
            <v>7738.06</v>
          </cell>
          <cell r="J630">
            <v>12852.269999999999</v>
          </cell>
          <cell r="K630">
            <v>12595.01</v>
          </cell>
          <cell r="L630">
            <v>9957.8551270459629</v>
          </cell>
          <cell r="M630">
            <v>10285.664877890393</v>
          </cell>
          <cell r="N630">
            <v>9124.7628398013767</v>
          </cell>
          <cell r="O630">
            <v>10443.530796904648</v>
          </cell>
          <cell r="P630">
            <v>10238.514678301608</v>
          </cell>
          <cell r="Q630">
            <v>9903.9023533120962</v>
          </cell>
          <cell r="R630">
            <v>10854.171849679413</v>
          </cell>
          <cell r="S630">
            <v>9466.0995415991929</v>
          </cell>
          <cell r="T630">
            <v>9626.2498502018007</v>
          </cell>
          <cell r="U630">
            <v>9932.5598861333401</v>
          </cell>
          <cell r="V630">
            <v>10174.028530177808</v>
          </cell>
          <cell r="W630">
            <v>9199.6938109190232</v>
          </cell>
          <cell r="X630">
            <v>10184.310669729171</v>
          </cell>
          <cell r="Y630">
            <v>9761.9435905906648</v>
          </cell>
          <cell r="Z630">
            <v>9377.2321888095375</v>
          </cell>
          <cell r="AA630">
            <v>10749.380004939472</v>
          </cell>
          <cell r="AB630">
            <v>10538.612893297701</v>
          </cell>
          <cell r="AC630">
            <v>10192.642688358166</v>
          </cell>
          <cell r="AD630">
            <v>11171.249865042249</v>
          </cell>
          <cell r="AE630">
            <v>9741.3443045012409</v>
          </cell>
          <cell r="AF630">
            <v>9905.1830190837427</v>
          </cell>
        </row>
        <row r="631">
          <cell r="D631">
            <v>8770</v>
          </cell>
          <cell r="E631"/>
          <cell r="F631">
            <v>665.19</v>
          </cell>
          <cell r="G631">
            <v>466.99</v>
          </cell>
          <cell r="H631">
            <v>206.28</v>
          </cell>
          <cell r="I631">
            <v>412.46</v>
          </cell>
          <cell r="J631">
            <v>14620.42</v>
          </cell>
          <cell r="K631">
            <v>10311.619999999999</v>
          </cell>
          <cell r="L631">
            <v>4467.9018243359506</v>
          </cell>
          <cell r="M631">
            <v>3170.5235364488126</v>
          </cell>
          <cell r="N631">
            <v>2870.9606848176686</v>
          </cell>
          <cell r="O631">
            <v>2809.8196104786566</v>
          </cell>
          <cell r="P631">
            <v>2860.7212723795883</v>
          </cell>
          <cell r="Q631">
            <v>2277.5577819320715</v>
          </cell>
          <cell r="R631">
            <v>2941.1608014947833</v>
          </cell>
          <cell r="S631">
            <v>2662.4599611011358</v>
          </cell>
          <cell r="T631">
            <v>3536.5339552211976</v>
          </cell>
          <cell r="U631">
            <v>4039.58618615351</v>
          </cell>
          <cell r="V631">
            <v>3055.9259714424929</v>
          </cell>
          <cell r="W631">
            <v>3579.7737661378314</v>
          </cell>
          <cell r="X631">
            <v>3697.2038369797224</v>
          </cell>
          <cell r="Y631">
            <v>3816.2739854644437</v>
          </cell>
          <cell r="Z631">
            <v>3008.7329579261705</v>
          </cell>
          <cell r="AA631">
            <v>2809.8196104786566</v>
          </cell>
          <cell r="AB631">
            <v>2860.7212723795883</v>
          </cell>
          <cell r="AC631">
            <v>2277.5577819320715</v>
          </cell>
          <cell r="AD631">
            <v>2941.1608014947833</v>
          </cell>
          <cell r="AE631">
            <v>2662.4599611011358</v>
          </cell>
          <cell r="AF631">
            <v>3536.5339552211976</v>
          </cell>
        </row>
        <row r="632">
          <cell r="D632">
            <v>8780</v>
          </cell>
          <cell r="E632"/>
          <cell r="F632">
            <v>123136.8</v>
          </cell>
          <cell r="G632">
            <v>64566.009999999995</v>
          </cell>
          <cell r="H632">
            <v>51528.950000000004</v>
          </cell>
          <cell r="I632">
            <v>67477.26999999999</v>
          </cell>
          <cell r="J632">
            <v>71004.61</v>
          </cell>
          <cell r="K632">
            <v>67138.600000000006</v>
          </cell>
          <cell r="L632">
            <v>66112.38128261223</v>
          </cell>
          <cell r="M632">
            <v>68983.119397930219</v>
          </cell>
          <cell r="N632">
            <v>61769.416085555058</v>
          </cell>
          <cell r="O632">
            <v>70311.053465805875</v>
          </cell>
          <cell r="P632">
            <v>70021.073356759895</v>
          </cell>
          <cell r="Q632">
            <v>66763.458529532974</v>
          </cell>
          <cell r="R632">
            <v>73106.372193323579</v>
          </cell>
          <cell r="S632">
            <v>64047.378684121686</v>
          </cell>
          <cell r="T632">
            <v>65843.676792477869</v>
          </cell>
          <cell r="U632">
            <v>68453.698252631511</v>
          </cell>
          <cell r="V632">
            <v>68891.662741107066</v>
          </cell>
          <cell r="W632">
            <v>62686.628535286276</v>
          </cell>
          <cell r="X632">
            <v>68134.866551562576</v>
          </cell>
          <cell r="Y632">
            <v>66435.569454820215</v>
          </cell>
          <cell r="Z632">
            <v>64783.294933577141</v>
          </cell>
          <cell r="AA632">
            <v>72240.76468660211</v>
          </cell>
          <cell r="AB632">
            <v>71914.499521044549</v>
          </cell>
          <cell r="AC632">
            <v>68585.223797505867</v>
          </cell>
          <cell r="AD632">
            <v>75106.929945442374</v>
          </cell>
          <cell r="AE632">
            <v>65783.995596914232</v>
          </cell>
          <cell r="AF632">
            <v>67603.565167871173</v>
          </cell>
        </row>
        <row r="633">
          <cell r="D633">
            <v>8790</v>
          </cell>
          <cell r="E633"/>
          <cell r="F633">
            <v>0</v>
          </cell>
          <cell r="G633">
            <v>0</v>
          </cell>
          <cell r="H633">
            <v>0</v>
          </cell>
          <cell r="I633">
            <v>1827.44</v>
          </cell>
          <cell r="J633">
            <v>0</v>
          </cell>
          <cell r="K633">
            <v>0</v>
          </cell>
          <cell r="L633">
            <v>276.66255307950979</v>
          </cell>
          <cell r="M633">
            <v>232.54631272446522</v>
          </cell>
          <cell r="N633">
            <v>185.87514408922209</v>
          </cell>
          <cell r="O633">
            <v>172.18648656208362</v>
          </cell>
          <cell r="P633">
            <v>179.42895845498668</v>
          </cell>
          <cell r="Q633">
            <v>134.38742606129762</v>
          </cell>
          <cell r="R633">
            <v>208.60461474935477</v>
          </cell>
          <cell r="S633">
            <v>186.78282168467345</v>
          </cell>
          <cell r="T633">
            <v>205.36012105097114</v>
          </cell>
          <cell r="U633">
            <v>240.72278379554564</v>
          </cell>
          <cell r="V633">
            <v>170.79577956702408</v>
          </cell>
          <cell r="W633">
            <v>167.35242280827273</v>
          </cell>
          <cell r="X633">
            <v>225.8816145847091</v>
          </cell>
          <cell r="Y633">
            <v>204.66418374140375</v>
          </cell>
          <cell r="Z633">
            <v>150.13033466514543</v>
          </cell>
          <cell r="AA633">
            <v>172.18648656208362</v>
          </cell>
          <cell r="AB633">
            <v>179.42895845498668</v>
          </cell>
          <cell r="AC633">
            <v>134.38742606129762</v>
          </cell>
          <cell r="AD633">
            <v>208.60461474935477</v>
          </cell>
          <cell r="AE633">
            <v>186.78282168467345</v>
          </cell>
          <cell r="AF633">
            <v>205.36012105097114</v>
          </cell>
        </row>
        <row r="634">
          <cell r="D634">
            <v>8800</v>
          </cell>
          <cell r="E634"/>
          <cell r="F634">
            <v>732.66</v>
          </cell>
          <cell r="G634">
            <v>123.07000000000001</v>
          </cell>
          <cell r="H634">
            <v>1232.1099999999999</v>
          </cell>
          <cell r="I634">
            <v>444.54</v>
          </cell>
          <cell r="J634">
            <v>325.12</v>
          </cell>
          <cell r="K634">
            <v>698.71</v>
          </cell>
          <cell r="L634">
            <v>457.59727233451406</v>
          </cell>
          <cell r="M634">
            <v>478.66715405558659</v>
          </cell>
          <cell r="N634">
            <v>480.69531034521225</v>
          </cell>
          <cell r="O634">
            <v>203.63358889573942</v>
          </cell>
          <cell r="P634">
            <v>172.66332538048425</v>
          </cell>
          <cell r="Q634">
            <v>379.83266688366467</v>
          </cell>
          <cell r="R634">
            <v>258.82078770550982</v>
          </cell>
          <cell r="S634">
            <v>236.869202250787</v>
          </cell>
          <cell r="T634">
            <v>373.78260988876269</v>
          </cell>
          <cell r="U634">
            <v>325.48982378775128</v>
          </cell>
          <cell r="V634">
            <v>160.9145123217545</v>
          </cell>
          <cell r="W634">
            <v>322.94909119891361</v>
          </cell>
          <cell r="X634">
            <v>287.19076668936953</v>
          </cell>
          <cell r="Y634">
            <v>227.89088152966008</v>
          </cell>
          <cell r="Z634">
            <v>254.49499711105227</v>
          </cell>
          <cell r="AA634">
            <v>203.4600573209118</v>
          </cell>
          <cell r="AB634">
            <v>172.4930567824851</v>
          </cell>
          <cell r="AC634">
            <v>379.66884247692934</v>
          </cell>
          <cell r="AD634">
            <v>258.64088517215794</v>
          </cell>
          <cell r="AE634">
            <v>236.71303491108273</v>
          </cell>
          <cell r="AF634">
            <v>373.62434983512793</v>
          </cell>
        </row>
        <row r="635">
          <cell r="D635">
            <v>8810</v>
          </cell>
          <cell r="E635"/>
          <cell r="F635">
            <v>38427.11</v>
          </cell>
          <cell r="G635">
            <v>45087.55</v>
          </cell>
          <cell r="H635">
            <v>46694.979999999996</v>
          </cell>
          <cell r="I635">
            <v>54738.009999999987</v>
          </cell>
          <cell r="J635">
            <v>40066.100000000006</v>
          </cell>
          <cell r="K635">
            <v>36209.22</v>
          </cell>
          <cell r="L635">
            <v>29605.285266352494</v>
          </cell>
          <cell r="M635">
            <v>31005.090987096075</v>
          </cell>
          <cell r="N635">
            <v>28173.072577116178</v>
          </cell>
          <cell r="O635">
            <v>29057.488305308038</v>
          </cell>
          <cell r="P635">
            <v>31809.136003741121</v>
          </cell>
          <cell r="Q635">
            <v>32705.070598880568</v>
          </cell>
          <cell r="R635">
            <v>34779.000929762115</v>
          </cell>
          <cell r="S635">
            <v>30653.625959270012</v>
          </cell>
          <cell r="T635">
            <v>32717.625066194447</v>
          </cell>
          <cell r="U635">
            <v>31417.247383143338</v>
          </cell>
          <cell r="V635">
            <v>30348.488952938951</v>
          </cell>
          <cell r="W635">
            <v>30403.186567200759</v>
          </cell>
          <cell r="X635">
            <v>27253.044448482113</v>
          </cell>
          <cell r="Y635">
            <v>30119.732721703032</v>
          </cell>
          <cell r="Z635">
            <v>28504.335685575323</v>
          </cell>
          <cell r="AA635">
            <v>29057.488305308038</v>
          </cell>
          <cell r="AB635">
            <v>31809.136003741121</v>
          </cell>
          <cell r="AC635">
            <v>32705.070598880568</v>
          </cell>
          <cell r="AD635">
            <v>34779.000929762115</v>
          </cell>
          <cell r="AE635">
            <v>30653.625959270012</v>
          </cell>
          <cell r="AF635">
            <v>32717.625066194447</v>
          </cell>
        </row>
        <row r="636">
          <cell r="D636">
            <v>8850</v>
          </cell>
          <cell r="E636"/>
          <cell r="F636">
            <v>37.75</v>
          </cell>
          <cell r="G636">
            <v>168.29</v>
          </cell>
          <cell r="H636">
            <v>0</v>
          </cell>
          <cell r="I636">
            <v>20.89</v>
          </cell>
          <cell r="J636">
            <v>183.35</v>
          </cell>
          <cell r="K636">
            <v>8.3800000000000008</v>
          </cell>
          <cell r="L636">
            <v>100.98830516392167</v>
          </cell>
          <cell r="M636">
            <v>106.11663540576792</v>
          </cell>
          <cell r="N636">
            <v>165.10844492281299</v>
          </cell>
          <cell r="O636">
            <v>106.60156226182119</v>
          </cell>
          <cell r="P636">
            <v>56.714711945342145</v>
          </cell>
          <cell r="Q636">
            <v>278.14672498149207</v>
          </cell>
          <cell r="R636">
            <v>92.041175930655982</v>
          </cell>
          <cell r="S636">
            <v>165.14961795776091</v>
          </cell>
          <cell r="T636">
            <v>200.40746021816156</v>
          </cell>
          <cell r="U636">
            <v>91.809005761366336</v>
          </cell>
          <cell r="V636">
            <v>38.313796409868353</v>
          </cell>
          <cell r="W636">
            <v>209.39576248637513</v>
          </cell>
          <cell r="X636">
            <v>144.35837900447743</v>
          </cell>
          <cell r="Y636">
            <v>83.016275409155355</v>
          </cell>
          <cell r="Z636">
            <v>122.06546797101014</v>
          </cell>
          <cell r="AA636">
            <v>106.60156226182119</v>
          </cell>
          <cell r="AB636">
            <v>56.714711945342145</v>
          </cell>
          <cell r="AC636">
            <v>278.14672498149207</v>
          </cell>
          <cell r="AD636">
            <v>92.041175930655982</v>
          </cell>
          <cell r="AE636">
            <v>165.14961795776091</v>
          </cell>
          <cell r="AF636">
            <v>200.40746021816156</v>
          </cell>
        </row>
        <row r="637">
          <cell r="D637">
            <v>8860</v>
          </cell>
          <cell r="E637"/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79.86</v>
          </cell>
          <cell r="K637">
            <v>0</v>
          </cell>
          <cell r="L637">
            <v>12.090285584713946</v>
          </cell>
          <cell r="M637">
            <v>10.162384830241098</v>
          </cell>
          <cell r="N637">
            <v>8.1228324907878111</v>
          </cell>
          <cell r="O637">
            <v>7.5246316250317378</v>
          </cell>
          <cell r="P637">
            <v>7.8411311026437183</v>
          </cell>
          <cell r="Q637">
            <v>5.8727946445602743</v>
          </cell>
          <cell r="R637">
            <v>9.1161212044627842</v>
          </cell>
          <cell r="S637">
            <v>8.1624984348257801</v>
          </cell>
          <cell r="T637">
            <v>8.974335281667555</v>
          </cell>
          <cell r="U637">
            <v>10.51970051761605</v>
          </cell>
          <cell r="V637">
            <v>7.4638570657436327</v>
          </cell>
          <cell r="W637">
            <v>7.3133807323187963</v>
          </cell>
          <cell r="X637">
            <v>9.8711343413380845</v>
          </cell>
          <cell r="Y637">
            <v>8.9439224891588793</v>
          </cell>
          <cell r="Z637">
            <v>6.5607672625960438</v>
          </cell>
          <cell r="AA637">
            <v>7.5246316250317378</v>
          </cell>
          <cell r="AB637">
            <v>7.8411311026437183</v>
          </cell>
          <cell r="AC637">
            <v>5.8727946445602743</v>
          </cell>
          <cell r="AD637">
            <v>9.1161212044627842</v>
          </cell>
          <cell r="AE637">
            <v>8.1624984348257801</v>
          </cell>
          <cell r="AF637">
            <v>8.974335281667555</v>
          </cell>
        </row>
        <row r="638">
          <cell r="D638">
            <v>8870</v>
          </cell>
          <cell r="E638"/>
          <cell r="F638">
            <v>3557.6</v>
          </cell>
          <cell r="G638">
            <v>2537.9399999999996</v>
          </cell>
          <cell r="H638">
            <v>2437.12</v>
          </cell>
          <cell r="I638">
            <v>1169.1399999999999</v>
          </cell>
          <cell r="J638">
            <v>2175.04</v>
          </cell>
          <cell r="K638">
            <v>4206.62</v>
          </cell>
          <cell r="L638">
            <v>2595.1179769992877</v>
          </cell>
          <cell r="M638">
            <v>2338.4915664603245</v>
          </cell>
          <cell r="N638">
            <v>2131.3577177011102</v>
          </cell>
          <cell r="O638">
            <v>2393.1604912141338</v>
          </cell>
          <cell r="P638">
            <v>2349.6694936267832</v>
          </cell>
          <cell r="Q638">
            <v>2182.9113581903021</v>
          </cell>
          <cell r="R638">
            <v>2415.8374018210029</v>
          </cell>
          <cell r="S638">
            <v>2119.4840164568564</v>
          </cell>
          <cell r="T638">
            <v>2377.9039232460432</v>
          </cell>
          <cell r="U638">
            <v>2528.8387630086031</v>
          </cell>
          <cell r="V638">
            <v>2424.7777058425445</v>
          </cell>
          <cell r="W638">
            <v>2401.8107847534752</v>
          </cell>
          <cell r="X638">
            <v>2509.0202698271655</v>
          </cell>
          <cell r="Y638">
            <v>2510.1647240013936</v>
          </cell>
          <cell r="Z638">
            <v>2304.1495914262241</v>
          </cell>
          <cell r="AA638">
            <v>2451.07150229329</v>
          </cell>
          <cell r="AB638">
            <v>2406.4915830647096</v>
          </cell>
          <cell r="AC638">
            <v>2237.582890117068</v>
          </cell>
          <cell r="AD638">
            <v>2475.8745311587495</v>
          </cell>
          <cell r="AE638">
            <v>2171.6002295944277</v>
          </cell>
          <cell r="AF638">
            <v>2430.7185175268528</v>
          </cell>
        </row>
        <row r="639">
          <cell r="D639">
            <v>8890</v>
          </cell>
          <cell r="E639"/>
          <cell r="F639">
            <v>9671.44</v>
          </cell>
          <cell r="G639">
            <v>8890.89</v>
          </cell>
          <cell r="H639">
            <v>3151.43</v>
          </cell>
          <cell r="I639">
            <v>8057.46</v>
          </cell>
          <cell r="J639">
            <v>1172.2099999999998</v>
          </cell>
          <cell r="K639">
            <v>8114.96</v>
          </cell>
          <cell r="L639">
            <v>5734.6775998134362</v>
          </cell>
          <cell r="M639">
            <v>5728.5186806520305</v>
          </cell>
          <cell r="N639">
            <v>5000.3959217352276</v>
          </cell>
          <cell r="O639">
            <v>5537.7665847829394</v>
          </cell>
          <cell r="P639">
            <v>5538.8637672558198</v>
          </cell>
          <cell r="Q639">
            <v>5186.9428402003514</v>
          </cell>
          <cell r="R639">
            <v>5949.6381971634937</v>
          </cell>
          <cell r="S639">
            <v>5195.1406270283478</v>
          </cell>
          <cell r="T639">
            <v>5358.654046554655</v>
          </cell>
          <cell r="U639">
            <v>5625.9179879620015</v>
          </cell>
          <cell r="V639">
            <v>5457.6689069839194</v>
          </cell>
          <cell r="W639">
            <v>4991.5630905332828</v>
          </cell>
          <cell r="X639">
            <v>5593.6644483674327</v>
          </cell>
          <cell r="Y639">
            <v>5397.8511047554057</v>
          </cell>
          <cell r="Z639">
            <v>4992.0436985241413</v>
          </cell>
          <cell r="AA639">
            <v>5666.9948840909965</v>
          </cell>
          <cell r="AB639">
            <v>5665.6621402138844</v>
          </cell>
          <cell r="AC639">
            <v>5308.9422485996483</v>
          </cell>
          <cell r="AD639">
            <v>6083.610924889661</v>
          </cell>
          <cell r="AE639">
            <v>5311.4378469290477</v>
          </cell>
          <cell r="AF639">
            <v>5476.5097025062505</v>
          </cell>
        </row>
        <row r="640">
          <cell r="D640">
            <v>8900</v>
          </cell>
          <cell r="E640"/>
          <cell r="F640">
            <v>567.77</v>
          </cell>
          <cell r="G640">
            <v>-223.67</v>
          </cell>
          <cell r="H640">
            <v>463.96</v>
          </cell>
          <cell r="I640">
            <v>0</v>
          </cell>
          <cell r="J640">
            <v>419.53</v>
          </cell>
          <cell r="K640">
            <v>0</v>
          </cell>
          <cell r="L640">
            <v>185.70089525849573</v>
          </cell>
          <cell r="M640">
            <v>166.41650212402013</v>
          </cell>
          <cell r="N640">
            <v>137.720993268678</v>
          </cell>
          <cell r="O640">
            <v>138.47261221605066</v>
          </cell>
          <cell r="P640">
            <v>140.93557443948436</v>
          </cell>
          <cell r="Q640">
            <v>117.10898514009861</v>
          </cell>
          <cell r="R640">
            <v>158.10684319717299</v>
          </cell>
          <cell r="S640">
            <v>140.00302539253482</v>
          </cell>
          <cell r="T640">
            <v>149.65038631988384</v>
          </cell>
          <cell r="U640">
            <v>168.43859336191375</v>
          </cell>
          <cell r="V640">
            <v>136.51089824231244</v>
          </cell>
          <cell r="W640">
            <v>129.1847478630124</v>
          </cell>
          <cell r="X640">
            <v>162.59712378352361</v>
          </cell>
          <cell r="Y640">
            <v>150.3314549857817</v>
          </cell>
          <cell r="Z640">
            <v>122.13660342697477</v>
          </cell>
          <cell r="AA640">
            <v>140.12944392798698</v>
          </cell>
          <cell r="AB640">
            <v>142.5612521467956</v>
          </cell>
          <cell r="AC640">
            <v>118.6731354829858</v>
          </cell>
          <cell r="AD640">
            <v>159.82450306749433</v>
          </cell>
          <cell r="AE640">
            <v>141.49406816701401</v>
          </cell>
          <cell r="AF640">
            <v>151.16140975095274</v>
          </cell>
        </row>
        <row r="641">
          <cell r="D641">
            <v>8910</v>
          </cell>
          <cell r="E641"/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560</v>
          </cell>
          <cell r="L641">
            <v>63.223405844067905</v>
          </cell>
          <cell r="M641">
            <v>66.297892771201916</v>
          </cell>
          <cell r="N641">
            <v>59.823446689249465</v>
          </cell>
          <cell r="O641">
            <v>62.635753932720831</v>
          </cell>
          <cell r="P641">
            <v>69.158004642662135</v>
          </cell>
          <cell r="Q641">
            <v>69.208626625026596</v>
          </cell>
          <cell r="R641">
            <v>75.080927239966911</v>
          </cell>
          <cell r="S641">
            <v>65.870513671876651</v>
          </cell>
          <cell r="T641">
            <v>69.883285068562586</v>
          </cell>
          <cell r="U641">
            <v>67.787670593269155</v>
          </cell>
          <cell r="V641">
            <v>65.83691634429546</v>
          </cell>
          <cell r="W641">
            <v>64.742818618311006</v>
          </cell>
          <cell r="X641">
            <v>58.473301168537567</v>
          </cell>
          <cell r="Y641">
            <v>65.182220438447843</v>
          </cell>
          <cell r="Z641">
            <v>61.321239658524398</v>
          </cell>
          <cell r="AA641">
            <v>62.635753932720831</v>
          </cell>
          <cell r="AB641">
            <v>69.158004642662135</v>
          </cell>
          <cell r="AC641">
            <v>69.208626625026596</v>
          </cell>
          <cell r="AD641">
            <v>75.080927239966911</v>
          </cell>
          <cell r="AE641">
            <v>65.870513671876651</v>
          </cell>
          <cell r="AF641">
            <v>69.883285068562586</v>
          </cell>
        </row>
        <row r="642">
          <cell r="D642">
            <v>8920</v>
          </cell>
          <cell r="E642"/>
          <cell r="F642">
            <v>1873.3600000000001</v>
          </cell>
          <cell r="G642">
            <v>303.95000000000005</v>
          </cell>
          <cell r="H642">
            <v>-33.829999999999984</v>
          </cell>
          <cell r="I642">
            <v>509.34000000000003</v>
          </cell>
          <cell r="J642">
            <v>172.08</v>
          </cell>
          <cell r="K642">
            <v>732.35</v>
          </cell>
          <cell r="L642">
            <v>537.04872110952601</v>
          </cell>
          <cell r="M642">
            <v>555.60465781476978</v>
          </cell>
          <cell r="N642">
            <v>491.55283526712094</v>
          </cell>
          <cell r="O642">
            <v>565.26399195039312</v>
          </cell>
          <cell r="P642">
            <v>555.12586313738802</v>
          </cell>
          <cell r="Q642">
            <v>532.32480931207874</v>
          </cell>
          <cell r="R642">
            <v>587.42610757503098</v>
          </cell>
          <cell r="S642">
            <v>510.19176173581053</v>
          </cell>
          <cell r="T642">
            <v>517.7812464786499</v>
          </cell>
          <cell r="U642">
            <v>536.5064941738882</v>
          </cell>
          <cell r="V642">
            <v>552.19025274869819</v>
          </cell>
          <cell r="W642">
            <v>494.90991399459926</v>
          </cell>
          <cell r="X642">
            <v>549.26654460093937</v>
          </cell>
          <cell r="Y642">
            <v>528.01463122189625</v>
          </cell>
          <cell r="Z642">
            <v>506.99750844813644</v>
          </cell>
          <cell r="AA642">
            <v>581.98003239705145</v>
          </cell>
          <cell r="AB642">
            <v>571.52758584275932</v>
          </cell>
          <cell r="AC642">
            <v>548.10577258553008</v>
          </cell>
          <cell r="AD642">
            <v>604.75585305191919</v>
          </cell>
          <cell r="AE642">
            <v>525.23513104503434</v>
          </cell>
          <cell r="AF642">
            <v>533.02620383166732</v>
          </cell>
        </row>
        <row r="643">
          <cell r="D643">
            <v>8930</v>
          </cell>
          <cell r="E643"/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</row>
        <row r="644">
          <cell r="D644">
            <v>8940</v>
          </cell>
          <cell r="E644"/>
          <cell r="F644">
            <v>657.09</v>
          </cell>
          <cell r="G644">
            <v>430.48</v>
          </cell>
          <cell r="H644">
            <v>559.29</v>
          </cell>
          <cell r="I644">
            <v>1701.3700000000001</v>
          </cell>
          <cell r="J644">
            <v>1255.1400000000001</v>
          </cell>
          <cell r="K644">
            <v>161.74</v>
          </cell>
          <cell r="L644">
            <v>721.11617157990202</v>
          </cell>
          <cell r="M644">
            <v>606.80756483089147</v>
          </cell>
          <cell r="N644">
            <v>485.1890739813515</v>
          </cell>
          <cell r="O644">
            <v>449.47611862145368</v>
          </cell>
          <cell r="P644">
            <v>468.26758060475908</v>
          </cell>
          <cell r="Q644">
            <v>351.43612554071899</v>
          </cell>
          <cell r="R644">
            <v>544.54803945907895</v>
          </cell>
          <cell r="S644">
            <v>487.59362115175389</v>
          </cell>
          <cell r="T644">
            <v>535.92201480345989</v>
          </cell>
          <cell r="U644">
            <v>627.93268145907905</v>
          </cell>
          <cell r="V644">
            <v>446.53426664328902</v>
          </cell>
          <cell r="W644">
            <v>437.24166655118466</v>
          </cell>
          <cell r="X644">
            <v>590.0485575262901</v>
          </cell>
          <cell r="Y644">
            <v>534.31122055344485</v>
          </cell>
          <cell r="Z644">
            <v>392.88386392035517</v>
          </cell>
          <cell r="AA644">
            <v>449.47611862145368</v>
          </cell>
          <cell r="AB644">
            <v>468.26758060475908</v>
          </cell>
          <cell r="AC644">
            <v>351.43612554071899</v>
          </cell>
          <cell r="AD644">
            <v>544.54803945907895</v>
          </cell>
          <cell r="AE644">
            <v>487.59362115175389</v>
          </cell>
          <cell r="AF644">
            <v>535.92201480345989</v>
          </cell>
        </row>
        <row r="645">
          <cell r="D645">
            <v>8950</v>
          </cell>
          <cell r="E645"/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</row>
        <row r="646">
          <cell r="D646">
            <v>9010</v>
          </cell>
          <cell r="E646"/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</row>
        <row r="647">
          <cell r="D647">
            <v>9020</v>
          </cell>
          <cell r="E647"/>
          <cell r="F647">
            <v>101007.07</v>
          </cell>
          <cell r="G647">
            <v>103317.65</v>
          </cell>
          <cell r="H647">
            <v>108554.81999999999</v>
          </cell>
          <cell r="I647">
            <v>100537.98000000001</v>
          </cell>
          <cell r="J647">
            <v>125550.17</v>
          </cell>
          <cell r="K647">
            <v>81656.399999999994</v>
          </cell>
          <cell r="L647">
            <v>105814.26459357234</v>
          </cell>
          <cell r="M647">
            <v>82850.944677539985</v>
          </cell>
          <cell r="N647">
            <v>78434.521302221227</v>
          </cell>
          <cell r="O647">
            <v>83575.413922391599</v>
          </cell>
          <cell r="P647">
            <v>82129.76217465676</v>
          </cell>
          <cell r="Q647">
            <v>74466.673614374537</v>
          </cell>
          <cell r="R647">
            <v>82497.70241604351</v>
          </cell>
          <cell r="S647">
            <v>73711.234426259471</v>
          </cell>
          <cell r="T647">
            <v>93197.779240108968</v>
          </cell>
          <cell r="U647">
            <v>101859.78509519991</v>
          </cell>
          <cell r="V647">
            <v>91690.377144539612</v>
          </cell>
          <cell r="W647">
            <v>100423.06798900189</v>
          </cell>
          <cell r="X647">
            <v>100349.535599981</v>
          </cell>
          <cell r="Y647">
            <v>102527.29425071836</v>
          </cell>
          <cell r="Z647">
            <v>91806.436020106325</v>
          </cell>
          <cell r="AA647">
            <v>84755.203338700405</v>
          </cell>
          <cell r="AB647">
            <v>83287.36758478827</v>
          </cell>
          <cell r="AC647">
            <v>75580.466890275464</v>
          </cell>
          <cell r="AD647">
            <v>83720.806079031201</v>
          </cell>
          <cell r="AE647">
            <v>74772.96958736307</v>
          </cell>
          <cell r="AF647">
            <v>94273.742139012145</v>
          </cell>
        </row>
        <row r="648">
          <cell r="D648">
            <v>9030</v>
          </cell>
          <cell r="E648"/>
          <cell r="F648">
            <v>97694.84</v>
          </cell>
          <cell r="G648">
            <v>100440.28</v>
          </cell>
          <cell r="H648">
            <v>127619.04000000001</v>
          </cell>
          <cell r="I648">
            <v>120053.23000000001</v>
          </cell>
          <cell r="J648">
            <v>127428.33</v>
          </cell>
          <cell r="K648">
            <v>142633.01999999999</v>
          </cell>
          <cell r="L648">
            <v>128725.83847568296</v>
          </cell>
          <cell r="M648">
            <v>89867.522884136182</v>
          </cell>
          <cell r="N648">
            <v>87186.31083587218</v>
          </cell>
          <cell r="O648">
            <v>92573.485622944732</v>
          </cell>
          <cell r="P648">
            <v>90993.18934483231</v>
          </cell>
          <cell r="Q648">
            <v>78242.394439525349</v>
          </cell>
          <cell r="R648">
            <v>87649.487124231964</v>
          </cell>
          <cell r="S648">
            <v>78910.401041069432</v>
          </cell>
          <cell r="T648">
            <v>108374.74682991425</v>
          </cell>
          <cell r="U648">
            <v>120600.1394719446</v>
          </cell>
          <cell r="V648">
            <v>101158.86803638944</v>
          </cell>
          <cell r="W648">
            <v>119240.77716597277</v>
          </cell>
          <cell r="X648">
            <v>113238.38009706803</v>
          </cell>
          <cell r="Y648">
            <v>120905.0446199939</v>
          </cell>
          <cell r="Z648">
            <v>102644.3210688199</v>
          </cell>
          <cell r="AA648">
            <v>93659.604197432709</v>
          </cell>
          <cell r="AB648">
            <v>92058.885239787283</v>
          </cell>
          <cell r="AC648">
            <v>79267.756718906196</v>
          </cell>
          <cell r="AD648">
            <v>88775.480957141117</v>
          </cell>
          <cell r="AE648">
            <v>79887.838424148766</v>
          </cell>
          <cell r="AF648">
            <v>109365.28232193019</v>
          </cell>
        </row>
        <row r="649">
          <cell r="D649">
            <v>9040</v>
          </cell>
          <cell r="E649"/>
          <cell r="F649">
            <v>47272</v>
          </cell>
          <cell r="G649">
            <v>43913</v>
          </cell>
          <cell r="H649">
            <v>37532</v>
          </cell>
          <cell r="I649">
            <v>54899</v>
          </cell>
          <cell r="J649">
            <v>22112</v>
          </cell>
          <cell r="K649">
            <v>145471</v>
          </cell>
          <cell r="L649">
            <v>27627.48</v>
          </cell>
          <cell r="M649">
            <v>28037.360000000001</v>
          </cell>
          <cell r="N649">
            <v>28524.54</v>
          </cell>
          <cell r="O649">
            <v>27631.938900000001</v>
          </cell>
          <cell r="P649">
            <v>37759.1276</v>
          </cell>
          <cell r="Q649">
            <v>48564.006300000001</v>
          </cell>
          <cell r="R649">
            <v>55974.976300000002</v>
          </cell>
          <cell r="S649">
            <v>50182.079599999997</v>
          </cell>
          <cell r="T649">
            <v>40209.606299999999</v>
          </cell>
          <cell r="U649">
            <v>22446.144671567305</v>
          </cell>
          <cell r="V649">
            <v>10897.304399513381</v>
          </cell>
          <cell r="W649">
            <v>20881.730796149128</v>
          </cell>
          <cell r="X649">
            <v>20241.315176979591</v>
          </cell>
          <cell r="Y649">
            <v>20816.930032673255</v>
          </cell>
          <cell r="Z649">
            <v>20056.097031136065</v>
          </cell>
          <cell r="AA649">
            <v>28171.769013900826</v>
          </cell>
          <cell r="AB649">
            <v>39072.93150881098</v>
          </cell>
          <cell r="AC649">
            <v>52614.781445328168</v>
          </cell>
          <cell r="AD649">
            <v>41448.822759268696</v>
          </cell>
          <cell r="AE649">
            <v>20234.089506611788</v>
          </cell>
          <cell r="AF649">
            <v>44168.570429893996</v>
          </cell>
        </row>
        <row r="650">
          <cell r="D650">
            <v>9070</v>
          </cell>
          <cell r="E650"/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</row>
        <row r="651">
          <cell r="D651">
            <v>9080</v>
          </cell>
          <cell r="E651"/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</row>
        <row r="652">
          <cell r="D652">
            <v>9090</v>
          </cell>
          <cell r="E652"/>
          <cell r="F652">
            <v>12026.800000000001</v>
          </cell>
          <cell r="G652">
            <v>8468.51</v>
          </cell>
          <cell r="H652">
            <v>11705.92</v>
          </cell>
          <cell r="I652">
            <v>11387.3</v>
          </cell>
          <cell r="J652">
            <v>12611.04</v>
          </cell>
          <cell r="K652">
            <v>11147.93</v>
          </cell>
          <cell r="L652">
            <v>9548.3381953092758</v>
          </cell>
          <cell r="M652">
            <v>10606.544875548949</v>
          </cell>
          <cell r="N652">
            <v>9633.2201746136543</v>
          </cell>
          <cell r="O652">
            <v>10812.964337981146</v>
          </cell>
          <cell r="P652">
            <v>11123.950129011935</v>
          </cell>
          <cell r="Q652">
            <v>10450.339238712655</v>
          </cell>
          <cell r="R652">
            <v>11309.216879769489</v>
          </cell>
          <cell r="S652">
            <v>10046.293681370127</v>
          </cell>
          <cell r="T652">
            <v>10460.369616670494</v>
          </cell>
          <cell r="U652">
            <v>11052.016017664386</v>
          </cell>
          <cell r="V652">
            <v>10664.148717079641</v>
          </cell>
          <cell r="W652">
            <v>9743.7281625809137</v>
          </cell>
          <cell r="X652">
            <v>10252.038011112754</v>
          </cell>
          <cell r="Y652">
            <v>10267.8330438024</v>
          </cell>
          <cell r="Z652">
            <v>10558.422302570356</v>
          </cell>
          <cell r="AA652">
            <v>11078.006373192482</v>
          </cell>
          <cell r="AB652">
            <v>11384.008483182321</v>
          </cell>
          <cell r="AC652">
            <v>10700.555109925566</v>
          </cell>
          <cell r="AD652">
            <v>11583.989546511093</v>
          </cell>
          <cell r="AE652">
            <v>10284.814593716295</v>
          </cell>
          <cell r="AF652">
            <v>10702.086818566921</v>
          </cell>
        </row>
        <row r="653">
          <cell r="D653">
            <v>9100</v>
          </cell>
          <cell r="E653"/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</row>
        <row r="654">
          <cell r="D654">
            <v>9110</v>
          </cell>
          <cell r="E654"/>
          <cell r="F654">
            <v>19520.360000000004</v>
          </cell>
          <cell r="G654">
            <v>21068.820000000003</v>
          </cell>
          <cell r="H654">
            <v>25225.98</v>
          </cell>
          <cell r="I654">
            <v>21668.09</v>
          </cell>
          <cell r="J654">
            <v>22385.53</v>
          </cell>
          <cell r="K654">
            <v>21581.870000000003</v>
          </cell>
          <cell r="L654">
            <v>18199.698943782318</v>
          </cell>
          <cell r="M654">
            <v>20753.413885735659</v>
          </cell>
          <cell r="N654">
            <v>19060.844615314869</v>
          </cell>
          <cell r="O654">
            <v>21127.573332111806</v>
          </cell>
          <cell r="P654">
            <v>22089.241353389702</v>
          </cell>
          <cell r="Q654">
            <v>20700.147111104408</v>
          </cell>
          <cell r="R654">
            <v>22159.628392766866</v>
          </cell>
          <cell r="S654">
            <v>19904.369557855436</v>
          </cell>
          <cell r="T654">
            <v>20943.597851486971</v>
          </cell>
          <cell r="U654">
            <v>22226.641995740141</v>
          </cell>
          <cell r="V654">
            <v>20874.140705008635</v>
          </cell>
          <cell r="W654">
            <v>19322.081171672951</v>
          </cell>
          <cell r="X654">
            <v>19908.703436700289</v>
          </cell>
          <cell r="Y654">
            <v>20207.949243528958</v>
          </cell>
          <cell r="Z654">
            <v>21279.059187564515</v>
          </cell>
          <cell r="AA654">
            <v>21599.418925239894</v>
          </cell>
          <cell r="AB654">
            <v>22552.214663542552</v>
          </cell>
          <cell r="AC654">
            <v>21145.598173492974</v>
          </cell>
          <cell r="AD654">
            <v>22648.7971082527</v>
          </cell>
          <cell r="AE654">
            <v>20329.000470720599</v>
          </cell>
          <cell r="AF654">
            <v>21373.9190132119</v>
          </cell>
        </row>
        <row r="655">
          <cell r="D655">
            <v>9120</v>
          </cell>
          <cell r="E655"/>
          <cell r="F655">
            <v>14361.869999999999</v>
          </cell>
          <cell r="G655">
            <v>15310.52</v>
          </cell>
          <cell r="H655">
            <v>4892.3</v>
          </cell>
          <cell r="I655">
            <v>9360</v>
          </cell>
          <cell r="J655">
            <v>7556.7900000000009</v>
          </cell>
          <cell r="K655">
            <v>22228.079999999998</v>
          </cell>
          <cell r="L655">
            <v>9574.9855203346142</v>
          </cell>
          <cell r="M655">
            <v>12806.663661180857</v>
          </cell>
          <cell r="N655">
            <v>13420.932408236891</v>
          </cell>
          <cell r="O655">
            <v>9828.3327678697533</v>
          </cell>
          <cell r="P655">
            <v>17667.391076124215</v>
          </cell>
          <cell r="Q655">
            <v>6972.8745914273049</v>
          </cell>
          <cell r="R655">
            <v>10652.900814263137</v>
          </cell>
          <cell r="S655">
            <v>10029.964663511593</v>
          </cell>
          <cell r="T655">
            <v>10663.375484900555</v>
          </cell>
          <cell r="U655">
            <v>7941.2110120172902</v>
          </cell>
          <cell r="V655">
            <v>6528.9205242625667</v>
          </cell>
          <cell r="W655">
            <v>6575.1248555887514</v>
          </cell>
          <cell r="X655">
            <v>8469.7385143690008</v>
          </cell>
          <cell r="Y655">
            <v>12396.292655319152</v>
          </cell>
          <cell r="Z655">
            <v>8211.1315166293243</v>
          </cell>
          <cell r="AA655">
            <v>9828.3327678697533</v>
          </cell>
          <cell r="AB655">
            <v>17667.391076124215</v>
          </cell>
          <cell r="AC655">
            <v>6972.8745914273049</v>
          </cell>
          <cell r="AD655">
            <v>10652.900814263137</v>
          </cell>
          <cell r="AE655">
            <v>10029.964663511593</v>
          </cell>
          <cell r="AF655">
            <v>10663.375484900555</v>
          </cell>
        </row>
        <row r="656">
          <cell r="D656">
            <v>9130</v>
          </cell>
          <cell r="E656"/>
          <cell r="F656">
            <v>3358</v>
          </cell>
          <cell r="G656">
            <v>3434.5</v>
          </cell>
          <cell r="H656">
            <v>7296.82</v>
          </cell>
          <cell r="I656">
            <v>1606</v>
          </cell>
          <cell r="J656">
            <v>5853.73</v>
          </cell>
          <cell r="K656">
            <v>670.66</v>
          </cell>
          <cell r="L656">
            <v>2741.4853324477854</v>
          </cell>
          <cell r="M656">
            <v>4034.3377568101678</v>
          </cell>
          <cell r="N656">
            <v>4243.7134863223146</v>
          </cell>
          <cell r="O656">
            <v>2786.2639846615257</v>
          </cell>
          <cell r="P656">
            <v>5444.1087735265628</v>
          </cell>
          <cell r="Q656">
            <v>2060.0705605021894</v>
          </cell>
          <cell r="R656">
            <v>3034.1388394528612</v>
          </cell>
          <cell r="S656">
            <v>3127.1998214313944</v>
          </cell>
          <cell r="T656">
            <v>3326.8864819622586</v>
          </cell>
          <cell r="U656">
            <v>2260.9419507947459</v>
          </cell>
          <cell r="V656">
            <v>2033.97895389003</v>
          </cell>
          <cell r="W656">
            <v>1925.9205788816989</v>
          </cell>
          <cell r="X656">
            <v>2650.323132471035</v>
          </cell>
          <cell r="Y656">
            <v>3937.7845772201345</v>
          </cell>
          <cell r="Z656">
            <v>2582.7292483930714</v>
          </cell>
          <cell r="AA656">
            <v>2786.2639846615257</v>
          </cell>
          <cell r="AB656">
            <v>5444.1087735265628</v>
          </cell>
          <cell r="AC656">
            <v>2060.0705605021894</v>
          </cell>
          <cell r="AD656">
            <v>3034.1388394528612</v>
          </cell>
          <cell r="AE656">
            <v>3127.1998214313944</v>
          </cell>
          <cell r="AF656">
            <v>3326.8864819622586</v>
          </cell>
        </row>
        <row r="657">
          <cell r="D657">
            <v>9160</v>
          </cell>
          <cell r="E657"/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</row>
        <row r="658">
          <cell r="D658">
            <v>9200</v>
          </cell>
          <cell r="E658"/>
          <cell r="F658">
            <v>10060.349999999999</v>
          </cell>
          <cell r="G658">
            <v>10881.92</v>
          </cell>
          <cell r="H658">
            <v>11970.02</v>
          </cell>
          <cell r="I658">
            <v>11635.84</v>
          </cell>
          <cell r="J658">
            <v>12840.22</v>
          </cell>
          <cell r="K658">
            <v>11987.769999999999</v>
          </cell>
          <cell r="L658">
            <v>10473.202239274986</v>
          </cell>
          <cell r="M658">
            <v>10885.294461775722</v>
          </cell>
          <cell r="N658">
            <v>9648.9899344497517</v>
          </cell>
          <cell r="O658">
            <v>11134.801478940268</v>
          </cell>
          <cell r="P658">
            <v>10925.429788215586</v>
          </cell>
          <cell r="Q658">
            <v>10511.932760455609</v>
          </cell>
          <cell r="R658">
            <v>11543.59946552337</v>
          </cell>
          <cell r="S658">
            <v>10020.610524789423</v>
          </cell>
          <cell r="T658">
            <v>10154.891298716348</v>
          </cell>
          <cell r="U658">
            <v>10495.99645685502</v>
          </cell>
          <cell r="V658">
            <v>10874.844475303278</v>
          </cell>
          <cell r="W658">
            <v>9733.40811945102</v>
          </cell>
          <cell r="X658">
            <v>10764.873468270023</v>
          </cell>
          <cell r="Y658">
            <v>10360.04076789287</v>
          </cell>
          <cell r="Z658">
            <v>9991.0750330254195</v>
          </cell>
          <cell r="AA658">
            <v>11468.845523308475</v>
          </cell>
          <cell r="AB658">
            <v>11253.192681862054</v>
          </cell>
          <cell r="AC658">
            <v>10827.290743269277</v>
          </cell>
          <cell r="AD658">
            <v>11889.907449489072</v>
          </cell>
          <cell r="AE658">
            <v>10321.228840533104</v>
          </cell>
          <cell r="AF658">
            <v>10459.538037677838</v>
          </cell>
        </row>
        <row r="659">
          <cell r="D659">
            <v>9210</v>
          </cell>
          <cell r="E659"/>
          <cell r="F659">
            <v>2618.4899999999998</v>
          </cell>
          <cell r="G659">
            <v>1092.6300000000001</v>
          </cell>
          <cell r="H659">
            <v>2815.3300000000004</v>
          </cell>
          <cell r="I659">
            <v>2162.7400000000002</v>
          </cell>
          <cell r="J659">
            <v>-50</v>
          </cell>
          <cell r="K659">
            <v>2570.16</v>
          </cell>
          <cell r="L659">
            <v>860.55071209473988</v>
          </cell>
          <cell r="M659">
            <v>1288.7387949872964</v>
          </cell>
          <cell r="N659">
            <v>1333.6935655700158</v>
          </cell>
          <cell r="O659">
            <v>1353.0439578959063</v>
          </cell>
          <cell r="P659">
            <v>1810.3147078657089</v>
          </cell>
          <cell r="Q659">
            <v>1455.547228047757</v>
          </cell>
          <cell r="R659">
            <v>1416.7375389740018</v>
          </cell>
          <cell r="S659">
            <v>1479.5838119037444</v>
          </cell>
          <cell r="T659">
            <v>1594.114425751643</v>
          </cell>
          <cell r="U659">
            <v>1622.1108938094217</v>
          </cell>
          <cell r="V659">
            <v>1262.2694986401309</v>
          </cell>
          <cell r="W659">
            <v>1289.8107532380222</v>
          </cell>
          <cell r="X659">
            <v>1210.663115080057</v>
          </cell>
          <cell r="Y659">
            <v>1509.0468052231272</v>
          </cell>
          <cell r="Z659">
            <v>1612.2599910633589</v>
          </cell>
          <cell r="AA659">
            <v>1353.0439578959063</v>
          </cell>
          <cell r="AB659">
            <v>1810.3147078657089</v>
          </cell>
          <cell r="AC659">
            <v>1455.547228047757</v>
          </cell>
          <cell r="AD659">
            <v>1416.7375389740018</v>
          </cell>
          <cell r="AE659">
            <v>1479.5838119037444</v>
          </cell>
          <cell r="AF659">
            <v>1594.114425751643</v>
          </cell>
        </row>
        <row r="660">
          <cell r="D660">
            <v>9220</v>
          </cell>
          <cell r="E660"/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</row>
        <row r="661">
          <cell r="D661">
            <v>9230</v>
          </cell>
          <cell r="E661"/>
          <cell r="F661">
            <v>160</v>
          </cell>
          <cell r="G661">
            <v>0</v>
          </cell>
          <cell r="H661">
            <v>15003.95</v>
          </cell>
          <cell r="I661">
            <v>6064.95</v>
          </cell>
          <cell r="J661">
            <v>256.70999999999998</v>
          </cell>
          <cell r="K661">
            <v>185986.05</v>
          </cell>
          <cell r="L661">
            <v>40223.92448292207</v>
          </cell>
          <cell r="M661">
            <v>22973.038510634236</v>
          </cell>
          <cell r="N661">
            <v>23538.703003981376</v>
          </cell>
          <cell r="O661">
            <v>23807.814955074704</v>
          </cell>
          <cell r="P661">
            <v>23387.523992428542</v>
          </cell>
          <cell r="Q661">
            <v>18508.708988949806</v>
          </cell>
          <cell r="R661">
            <v>21093.650444435956</v>
          </cell>
          <cell r="S661">
            <v>19475.764776741209</v>
          </cell>
          <cell r="T661">
            <v>31876.957570230814</v>
          </cell>
          <cell r="U661">
            <v>36621.493900856345</v>
          </cell>
          <cell r="V661">
            <v>27876.109478638467</v>
          </cell>
          <cell r="W661">
            <v>37172.17396502231</v>
          </cell>
          <cell r="X661">
            <v>33168.178831622856</v>
          </cell>
          <cell r="Y661">
            <v>37018.925037827052</v>
          </cell>
          <cell r="Z661">
            <v>29689.538922027255</v>
          </cell>
          <cell r="AA661">
            <v>23807.814955074704</v>
          </cell>
          <cell r="AB661">
            <v>23387.523992428542</v>
          </cell>
          <cell r="AC661">
            <v>18508.708988949806</v>
          </cell>
          <cell r="AD661">
            <v>21093.650444435956</v>
          </cell>
          <cell r="AE661">
            <v>19475.764776741209</v>
          </cell>
          <cell r="AF661">
            <v>31876.957570230814</v>
          </cell>
        </row>
        <row r="662">
          <cell r="D662">
            <v>9240</v>
          </cell>
          <cell r="E662"/>
          <cell r="F662">
            <v>14262.05</v>
          </cell>
          <cell r="G662">
            <v>14560.55</v>
          </cell>
          <cell r="H662">
            <v>13925.159999999996</v>
          </cell>
          <cell r="I662">
            <v>13180.759999999998</v>
          </cell>
          <cell r="J662">
            <v>14464.279999999999</v>
          </cell>
          <cell r="K662">
            <v>14123.289999999997</v>
          </cell>
          <cell r="L662">
            <v>498.9601885414437</v>
          </cell>
          <cell r="M662">
            <v>369.89468542835493</v>
          </cell>
          <cell r="N662">
            <v>369.89468542835493</v>
          </cell>
          <cell r="O662">
            <v>126.68892975921156</v>
          </cell>
          <cell r="P662">
            <v>0</v>
          </cell>
          <cell r="Q662">
            <v>2476.444918942836</v>
          </cell>
          <cell r="R662">
            <v>0</v>
          </cell>
          <cell r="S662">
            <v>0</v>
          </cell>
          <cell r="T662">
            <v>0</v>
          </cell>
          <cell r="U662">
            <v>147.03313745777109</v>
          </cell>
          <cell r="V662">
            <v>0</v>
          </cell>
          <cell r="W662">
            <v>0</v>
          </cell>
          <cell r="X662">
            <v>0</v>
          </cell>
          <cell r="Y662">
            <v>968.19933910871873</v>
          </cell>
          <cell r="Z662">
            <v>0</v>
          </cell>
          <cell r="AA662">
            <v>126.68892975921156</v>
          </cell>
          <cell r="AB662">
            <v>0</v>
          </cell>
          <cell r="AC662">
            <v>2476.444918942836</v>
          </cell>
          <cell r="AD662">
            <v>0</v>
          </cell>
          <cell r="AE662">
            <v>0</v>
          </cell>
          <cell r="AF662">
            <v>0</v>
          </cell>
        </row>
        <row r="663">
          <cell r="D663">
            <v>9250</v>
          </cell>
          <cell r="E663"/>
          <cell r="F663">
            <v>2590.35</v>
          </cell>
          <cell r="G663">
            <v>3244.32</v>
          </cell>
          <cell r="H663">
            <v>7378.82</v>
          </cell>
          <cell r="I663">
            <v>4033.83</v>
          </cell>
          <cell r="J663">
            <v>26251.22</v>
          </cell>
          <cell r="K663">
            <v>1996.48</v>
          </cell>
          <cell r="L663">
            <v>8298.8573735540467</v>
          </cell>
          <cell r="M663">
            <v>5128.562577837386</v>
          </cell>
          <cell r="N663">
            <v>5651.8963645145186</v>
          </cell>
          <cell r="O663">
            <v>5379.7349987209454</v>
          </cell>
          <cell r="P663">
            <v>5618.4472624900245</v>
          </cell>
          <cell r="Q663">
            <v>4333.3296955949236</v>
          </cell>
          <cell r="R663">
            <v>4930.0294875630989</v>
          </cell>
          <cell r="S663">
            <v>4514.7158433292407</v>
          </cell>
          <cell r="T663">
            <v>6793.7186889724762</v>
          </cell>
          <cell r="U663">
            <v>7588.9297907719947</v>
          </cell>
          <cell r="V663">
            <v>5960.6171929656284</v>
          </cell>
          <cell r="W663">
            <v>7748.6647722328926</v>
          </cell>
          <cell r="X663">
            <v>6930.1521337933791</v>
          </cell>
          <cell r="Y663">
            <v>7850.2891542125553</v>
          </cell>
          <cell r="Z663">
            <v>6361.8282209824947</v>
          </cell>
          <cell r="AA663">
            <v>5379.7349987209454</v>
          </cell>
          <cell r="AB663">
            <v>5618.4472624900245</v>
          </cell>
          <cell r="AC663">
            <v>4333.3296955949236</v>
          </cell>
          <cell r="AD663">
            <v>4930.0294875630989</v>
          </cell>
          <cell r="AE663">
            <v>4514.7158433292407</v>
          </cell>
          <cell r="AF663">
            <v>6793.7186889724762</v>
          </cell>
        </row>
        <row r="664">
          <cell r="D664">
            <v>9260</v>
          </cell>
          <cell r="E664"/>
          <cell r="F664">
            <v>186990.49999999997</v>
          </cell>
          <cell r="G664">
            <v>142600.23000000004</v>
          </cell>
          <cell r="H664">
            <v>136940.19</v>
          </cell>
          <cell r="I664">
            <v>137078.23000000001</v>
          </cell>
          <cell r="J664">
            <v>173568.58</v>
          </cell>
          <cell r="K664">
            <v>139491.37000000002</v>
          </cell>
          <cell r="L664">
            <v>137766.11450063094</v>
          </cell>
          <cell r="M664">
            <v>143669.94615849186</v>
          </cell>
          <cell r="N664">
            <v>134797.84698634676</v>
          </cell>
          <cell r="O664">
            <v>166081.2001248654</v>
          </cell>
          <cell r="P664">
            <v>163969.49996972448</v>
          </cell>
          <cell r="Q664">
            <v>158310.77061674808</v>
          </cell>
          <cell r="R664">
            <v>172719.48669132291</v>
          </cell>
          <cell r="S664">
            <v>149497.52188742795</v>
          </cell>
          <cell r="T664">
            <v>148869.57747509365</v>
          </cell>
          <cell r="U664">
            <v>153584.72863040134</v>
          </cell>
          <cell r="V664">
            <v>160208.48834016835</v>
          </cell>
          <cell r="W664">
            <v>144233.03359378109</v>
          </cell>
          <cell r="X664">
            <v>156545.95432717403</v>
          </cell>
          <cell r="Y664">
            <v>151617.92255381163</v>
          </cell>
          <cell r="Z664">
            <v>147825.0214022877</v>
          </cell>
          <cell r="AA664">
            <v>151847.84280729818</v>
          </cell>
          <cell r="AB664">
            <v>150003.77802668931</v>
          </cell>
          <cell r="AC664">
            <v>144873.6122520956</v>
          </cell>
          <cell r="AD664">
            <v>157963.572382774</v>
          </cell>
          <cell r="AE664">
            <v>136688.40963723435</v>
          </cell>
          <cell r="AF664">
            <v>135888.81683686195</v>
          </cell>
        </row>
        <row r="665">
          <cell r="D665">
            <v>9270</v>
          </cell>
          <cell r="E665"/>
          <cell r="F665">
            <v>0</v>
          </cell>
          <cell r="G665">
            <v>408.39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50.387480075948382</v>
          </cell>
          <cell r="M665">
            <v>74.149626457937771</v>
          </cell>
          <cell r="N665">
            <v>77.997874440268134</v>
          </cell>
          <cell r="O665">
            <v>51.210495037780447</v>
          </cell>
          <cell r="P665">
            <v>100.06069305227264</v>
          </cell>
          <cell r="Q665">
            <v>37.863330178633703</v>
          </cell>
          <cell r="R665">
            <v>55.766342614019443</v>
          </cell>
          <cell r="S665">
            <v>57.476768827062422</v>
          </cell>
          <cell r="T665">
            <v>61.146935327624284</v>
          </cell>
          <cell r="U665">
            <v>41.555271571279107</v>
          </cell>
          <cell r="V665">
            <v>37.383776159956597</v>
          </cell>
          <cell r="W665">
            <v>35.397703444801799</v>
          </cell>
          <cell r="X665">
            <v>48.711952769403652</v>
          </cell>
          <cell r="Y665">
            <v>72.375014952532254</v>
          </cell>
          <cell r="Z665">
            <v>47.469602337350324</v>
          </cell>
          <cell r="AA665">
            <v>51.210495037780447</v>
          </cell>
          <cell r="AB665">
            <v>100.06069305227264</v>
          </cell>
          <cell r="AC665">
            <v>37.863330178633703</v>
          </cell>
          <cell r="AD665">
            <v>55.766342614019443</v>
          </cell>
          <cell r="AE665">
            <v>57.476768827062422</v>
          </cell>
          <cell r="AF665">
            <v>61.146935327624284</v>
          </cell>
        </row>
        <row r="666">
          <cell r="D666">
            <v>9280</v>
          </cell>
          <cell r="E666"/>
          <cell r="F666">
            <v>-5239.2</v>
          </cell>
          <cell r="G666">
            <v>5750.21</v>
          </cell>
          <cell r="H666">
            <v>22134.720000000001</v>
          </cell>
          <cell r="I666">
            <v>21252.720000000001</v>
          </cell>
          <cell r="J666">
            <v>-139296.4</v>
          </cell>
          <cell r="K666">
            <v>20951.13</v>
          </cell>
          <cell r="L666">
            <v>2968.7857107947243</v>
          </cell>
          <cell r="M666">
            <v>550.84288165379371</v>
          </cell>
          <cell r="N666">
            <v>1263.3712608185429</v>
          </cell>
          <cell r="O666">
            <v>54210.260063492547</v>
          </cell>
          <cell r="P666">
            <v>56040.102290235074</v>
          </cell>
          <cell r="Q666">
            <v>52179.31832828898</v>
          </cell>
          <cell r="R666">
            <v>55262.022310455795</v>
          </cell>
          <cell r="S666">
            <v>69770.378177371196</v>
          </cell>
          <cell r="T666">
            <v>53288.026979286478</v>
          </cell>
          <cell r="U666">
            <v>57069.915861025533</v>
          </cell>
          <cell r="V666">
            <v>55063.874278121664</v>
          </cell>
          <cell r="W666">
            <v>54778.87593226727</v>
          </cell>
          <cell r="X666">
            <v>55372.095229208346</v>
          </cell>
          <cell r="Y666">
            <v>54701.37542373906</v>
          </cell>
          <cell r="Z666">
            <v>54257.696484614949</v>
          </cell>
          <cell r="AA666">
            <v>54210.260063492547</v>
          </cell>
          <cell r="AB666">
            <v>56040.102290235074</v>
          </cell>
          <cell r="AC666">
            <v>52179.31832828898</v>
          </cell>
          <cell r="AD666">
            <v>55262.022310455795</v>
          </cell>
          <cell r="AE666">
            <v>69770.378177371196</v>
          </cell>
          <cell r="AF666">
            <v>53288.026979286478</v>
          </cell>
        </row>
        <row r="667">
          <cell r="D667">
            <v>9290</v>
          </cell>
          <cell r="E667"/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</row>
        <row r="668">
          <cell r="D668">
            <v>9301</v>
          </cell>
          <cell r="E668"/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</row>
        <row r="669">
          <cell r="D669">
            <v>9302</v>
          </cell>
          <cell r="E669"/>
          <cell r="F669">
            <v>20219.580000000002</v>
          </cell>
          <cell r="G669">
            <v>4981.92</v>
          </cell>
          <cell r="H669">
            <v>4023.58</v>
          </cell>
          <cell r="I669">
            <v>13198.58</v>
          </cell>
          <cell r="J669">
            <v>3648.58</v>
          </cell>
          <cell r="K669">
            <v>5221.66</v>
          </cell>
          <cell r="L669">
            <v>10786.685642577435</v>
          </cell>
          <cell r="M669">
            <v>1805.0374144666691</v>
          </cell>
          <cell r="N669">
            <v>318.97569285404165</v>
          </cell>
          <cell r="O669">
            <v>11122.560093088243</v>
          </cell>
          <cell r="P669">
            <v>7550.7980645098341</v>
          </cell>
          <cell r="Q669">
            <v>913.21355825836713</v>
          </cell>
          <cell r="R669">
            <v>12042.876288747966</v>
          </cell>
          <cell r="S669">
            <v>-146.15228579140671</v>
          </cell>
          <cell r="T669">
            <v>-328.25965705839042</v>
          </cell>
          <cell r="U669">
            <v>8306.6053891686279</v>
          </cell>
          <cell r="V669">
            <v>1083.3367879544439</v>
          </cell>
          <cell r="W669">
            <v>2344.0681136748958</v>
          </cell>
          <cell r="X669">
            <v>-494.00988001737431</v>
          </cell>
          <cell r="Y669">
            <v>-4.5491377878158801</v>
          </cell>
          <cell r="Z669">
            <v>-633.06967350841796</v>
          </cell>
          <cell r="AA669">
            <v>11122.560093088243</v>
          </cell>
          <cell r="AB669">
            <v>7550.7980645098341</v>
          </cell>
          <cell r="AC669">
            <v>913.21355825836713</v>
          </cell>
          <cell r="AD669">
            <v>12042.876288747966</v>
          </cell>
          <cell r="AE669">
            <v>-146.15228579140671</v>
          </cell>
          <cell r="AF669">
            <v>-328.25965705839042</v>
          </cell>
        </row>
        <row r="670">
          <cell r="D670">
            <v>9310</v>
          </cell>
          <cell r="E670"/>
          <cell r="F670">
            <v>1304.52</v>
          </cell>
          <cell r="G670">
            <v>1304.52</v>
          </cell>
          <cell r="H670">
            <v>1304.52</v>
          </cell>
          <cell r="I670">
            <v>1304.52</v>
          </cell>
          <cell r="J670">
            <v>1299.57</v>
          </cell>
          <cell r="K670">
            <v>1299.57</v>
          </cell>
          <cell r="L670">
            <v>882.55584398636506</v>
          </cell>
          <cell r="M670">
            <v>925.47359523016974</v>
          </cell>
          <cell r="N670">
            <v>835.09472130024051</v>
          </cell>
          <cell r="O670">
            <v>874.3526220677569</v>
          </cell>
          <cell r="P670">
            <v>965.39881616555567</v>
          </cell>
          <cell r="Q670">
            <v>966.10546468873281</v>
          </cell>
          <cell r="R670">
            <v>1048.0787964978824</v>
          </cell>
          <cell r="S670">
            <v>919.50767301083488</v>
          </cell>
          <cell r="T670">
            <v>975.52323875655145</v>
          </cell>
          <cell r="U670">
            <v>946.2698827055633</v>
          </cell>
          <cell r="V670">
            <v>919.03867711598809</v>
          </cell>
          <cell r="W670">
            <v>903.76581528470194</v>
          </cell>
          <cell r="X670">
            <v>816.24760600127718</v>
          </cell>
          <cell r="Y670">
            <v>909.89956652829142</v>
          </cell>
          <cell r="Z670">
            <v>856.00289479180367</v>
          </cell>
          <cell r="AA670">
            <v>874.3526220677569</v>
          </cell>
          <cell r="AB670">
            <v>965.39881616555567</v>
          </cell>
          <cell r="AC670">
            <v>966.10546468873281</v>
          </cell>
          <cell r="AD670">
            <v>1048.0787964978824</v>
          </cell>
          <cell r="AE670">
            <v>919.50767301083488</v>
          </cell>
          <cell r="AF670">
            <v>975.52323875655145</v>
          </cell>
        </row>
        <row r="671">
          <cell r="D671">
            <v>9320</v>
          </cell>
          <cell r="E671"/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11000</v>
          </cell>
          <cell r="L671">
            <v>2387.51201154316</v>
          </cell>
          <cell r="M671">
            <v>401.49658844995366</v>
          </cell>
          <cell r="N671">
            <v>77.814566536550387</v>
          </cell>
          <cell r="O671">
            <v>2658.4844225913034</v>
          </cell>
          <cell r="P671">
            <v>1876.5518370186846</v>
          </cell>
          <cell r="Q671">
            <v>410.21647050581043</v>
          </cell>
          <cell r="R671">
            <v>2864.6058250926035</v>
          </cell>
          <cell r="S671">
            <v>240.20368436533442</v>
          </cell>
          <cell r="T671">
            <v>137.85718297830701</v>
          </cell>
          <cell r="U671">
            <v>2048.6740041517201</v>
          </cell>
          <cell r="V671">
            <v>448.38463996173198</v>
          </cell>
          <cell r="W671">
            <v>731.73928352919199</v>
          </cell>
          <cell r="X671">
            <v>107.27946323576926</v>
          </cell>
          <cell r="Y671">
            <v>209.14429494733034</v>
          </cell>
          <cell r="Z671">
            <v>70.655958601170838</v>
          </cell>
          <cell r="AA671">
            <v>2658.4844225913034</v>
          </cell>
          <cell r="AB671">
            <v>1876.5518370186846</v>
          </cell>
          <cell r="AC671">
            <v>410.21647050581043</v>
          </cell>
          <cell r="AD671">
            <v>2864.6058250926035</v>
          </cell>
          <cell r="AE671">
            <v>240.20368436533442</v>
          </cell>
          <cell r="AF671">
            <v>137.85718297830701</v>
          </cell>
        </row>
      </sheetData>
      <sheetData sheetId="5">
        <row r="64">
          <cell r="F64">
            <v>1882.59</v>
          </cell>
          <cell r="G64">
            <v>3963.17</v>
          </cell>
          <cell r="H64">
            <v>2493.6</v>
          </cell>
          <cell r="I64">
            <v>5863.83</v>
          </cell>
          <cell r="J64">
            <v>8359.7000000000007</v>
          </cell>
          <cell r="K64">
            <v>4485.6499999999996</v>
          </cell>
          <cell r="L64">
            <v>6292.7213649579771</v>
          </cell>
          <cell r="M64">
            <v>943.24142600374989</v>
          </cell>
          <cell r="N64">
            <v>992.65810554113739</v>
          </cell>
          <cell r="O64">
            <v>2532.7985235930551</v>
          </cell>
          <cell r="P64">
            <v>3103.1876885624229</v>
          </cell>
          <cell r="Q64">
            <v>3478.6781399330553</v>
          </cell>
          <cell r="U64">
            <v>2747.2585378779791</v>
          </cell>
          <cell r="V64">
            <v>4882.5347432579329</v>
          </cell>
          <cell r="W64">
            <v>2599.4622188506964</v>
          </cell>
          <cell r="X64">
            <v>6736.4218667022833</v>
          </cell>
          <cell r="Y64">
            <v>455.10595027832994</v>
          </cell>
          <cell r="Z64">
            <v>447.54395719699522</v>
          </cell>
          <cell r="AA64">
            <v>2532.7985235930551</v>
          </cell>
          <cell r="AB64">
            <v>3103.1876885624229</v>
          </cell>
          <cell r="AC64">
            <v>3478.6781399330553</v>
          </cell>
          <cell r="AD64">
            <v>3919.7285506544995</v>
          </cell>
          <cell r="AE64">
            <v>3417.2177260814619</v>
          </cell>
          <cell r="AF64">
            <v>3039.483883430034</v>
          </cell>
        </row>
        <row r="273">
          <cell r="F273">
            <v>55</v>
          </cell>
          <cell r="G273">
            <v>1582.85</v>
          </cell>
          <cell r="H273">
            <v>2606.08</v>
          </cell>
          <cell r="I273">
            <v>2785.36</v>
          </cell>
          <cell r="J273">
            <v>1707.53</v>
          </cell>
          <cell r="K273">
            <v>841.32</v>
          </cell>
          <cell r="L273">
            <v>4173.066439951217</v>
          </cell>
          <cell r="M273">
            <v>4189.3836300495777</v>
          </cell>
          <cell r="N273">
            <v>5342.9664654540402</v>
          </cell>
          <cell r="O273">
            <v>3623.9007552849221</v>
          </cell>
          <cell r="P273">
            <v>4028.9798141273732</v>
          </cell>
          <cell r="Q273">
            <v>4259.1799929735134</v>
          </cell>
          <cell r="U273">
            <v>5025.9481264165925</v>
          </cell>
          <cell r="V273">
            <v>5628.1691997148637</v>
          </cell>
          <cell r="W273">
            <v>4760.7958352400547</v>
          </cell>
          <cell r="X273">
            <v>4138.4587446719424</v>
          </cell>
          <cell r="Y273">
            <v>4304.3704938080955</v>
          </cell>
          <cell r="Z273">
            <v>5454.7703840142449</v>
          </cell>
          <cell r="AA273">
            <v>3623.9007552849221</v>
          </cell>
          <cell r="AB273">
            <v>4028.9798141273732</v>
          </cell>
          <cell r="AC273">
            <v>4259.1799929735134</v>
          </cell>
          <cell r="AD273">
            <v>4968.498996104473</v>
          </cell>
          <cell r="AE273">
            <v>4936.0457552712005</v>
          </cell>
          <cell r="AF273">
            <v>5088.8098327350835</v>
          </cell>
        </row>
        <row r="281">
          <cell r="F281">
            <v>1575</v>
          </cell>
          <cell r="G281">
            <v>148.34</v>
          </cell>
          <cell r="H281">
            <v>11180.65</v>
          </cell>
          <cell r="I281">
            <v>4369.45</v>
          </cell>
          <cell r="J281">
            <v>6464.71</v>
          </cell>
          <cell r="K281">
            <v>22049.439999999999</v>
          </cell>
          <cell r="L281">
            <v>19949.035532498576</v>
          </cell>
          <cell r="M281">
            <v>20027.038653164571</v>
          </cell>
          <cell r="N281">
            <v>25541.656094393973</v>
          </cell>
          <cell r="O281">
            <v>17323.789585835693</v>
          </cell>
          <cell r="P281">
            <v>19260.240072450426</v>
          </cell>
          <cell r="Q281">
            <v>20360.695004925183</v>
          </cell>
          <cell r="U281">
            <v>24026.173367024396</v>
          </cell>
          <cell r="V281">
            <v>26905.046675781748</v>
          </cell>
          <cell r="W281">
            <v>22758.632446140804</v>
          </cell>
          <cell r="X281">
            <v>19783.596004334195</v>
          </cell>
          <cell r="Y281">
            <v>20576.724852485197</v>
          </cell>
          <cell r="Z281">
            <v>26076.126459561747</v>
          </cell>
          <cell r="AA281">
            <v>17323.789585835693</v>
          </cell>
          <cell r="AB281">
            <v>19260.240072450426</v>
          </cell>
          <cell r="AC281">
            <v>20360.695004925183</v>
          </cell>
          <cell r="AD281">
            <v>23751.542047729847</v>
          </cell>
          <cell r="AE281">
            <v>23596.401729730202</v>
          </cell>
          <cell r="AF281">
            <v>24326.67910567631</v>
          </cell>
        </row>
        <row r="297">
          <cell r="F297">
            <v>756389.5900000002</v>
          </cell>
          <cell r="G297">
            <v>597520.23</v>
          </cell>
          <cell r="H297">
            <v>734178.83000000007</v>
          </cell>
          <cell r="I297">
            <v>668457.69000000006</v>
          </cell>
          <cell r="J297">
            <v>750311.78999999992</v>
          </cell>
          <cell r="K297">
            <v>600333.5</v>
          </cell>
          <cell r="L297">
            <v>1001650.9100000001</v>
          </cell>
          <cell r="M297">
            <v>857469.37999999989</v>
          </cell>
          <cell r="N297">
            <v>934151.82999999984</v>
          </cell>
          <cell r="O297">
            <v>895867.54649999994</v>
          </cell>
          <cell r="P297">
            <v>971965.96309999982</v>
          </cell>
          <cell r="Q297">
            <v>944579.75680000009</v>
          </cell>
          <cell r="U297">
            <v>1048918.3637999999</v>
          </cell>
          <cell r="V297">
            <v>1139040.5995</v>
          </cell>
          <cell r="W297">
            <v>946981.03720000002</v>
          </cell>
          <cell r="X297">
            <v>1078096.5878999999</v>
          </cell>
          <cell r="Y297">
            <v>884992.5737999999</v>
          </cell>
          <cell r="Z297">
            <v>975236.68480000005</v>
          </cell>
          <cell r="AA297">
            <v>898719.62929901993</v>
          </cell>
          <cell r="AB297">
            <v>973684.94514259743</v>
          </cell>
          <cell r="AC297">
            <v>945343.63978579221</v>
          </cell>
          <cell r="AD297">
            <v>1072764.0430990199</v>
          </cell>
          <cell r="AE297">
            <v>1002031.0108589253</v>
          </cell>
          <cell r="AF297">
            <v>1020835.0116857922</v>
          </cell>
        </row>
        <row r="309">
          <cell r="D309">
            <v>7590</v>
          </cell>
          <cell r="E309"/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</row>
        <row r="310">
          <cell r="D310">
            <v>8140</v>
          </cell>
          <cell r="E310"/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D311">
            <v>8150</v>
          </cell>
          <cell r="E311"/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</row>
        <row r="312">
          <cell r="D312">
            <v>8160</v>
          </cell>
          <cell r="E312"/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8170</v>
          </cell>
          <cell r="E313"/>
          <cell r="F313">
            <v>47.02</v>
          </cell>
          <cell r="G313">
            <v>48.37</v>
          </cell>
          <cell r="H313">
            <v>44.57</v>
          </cell>
          <cell r="I313">
            <v>43.43</v>
          </cell>
          <cell r="J313">
            <v>39.32</v>
          </cell>
          <cell r="K313">
            <v>41.59</v>
          </cell>
          <cell r="L313">
            <v>45.126239180274631</v>
          </cell>
          <cell r="M313">
            <v>43.061326878343436</v>
          </cell>
          <cell r="N313">
            <v>43.741977081124567</v>
          </cell>
          <cell r="O313">
            <v>40.358965159995584</v>
          </cell>
          <cell r="P313">
            <v>40.202989655695617</v>
          </cell>
          <cell r="Q313">
            <v>40.754726350190971</v>
          </cell>
          <cell r="R313">
            <v>43.007104479056821</v>
          </cell>
          <cell r="S313">
            <v>43.722771264559341</v>
          </cell>
          <cell r="T313">
            <v>43.408770104746218</v>
          </cell>
          <cell r="U313">
            <v>42.114632652928258</v>
          </cell>
          <cell r="V313">
            <v>39.670524382604306</v>
          </cell>
          <cell r="W313">
            <v>39.49043910003715</v>
          </cell>
          <cell r="X313">
            <v>52.033018204225797</v>
          </cell>
          <cell r="Y313">
            <v>40.985163346554224</v>
          </cell>
          <cell r="Z313">
            <v>39.782462638844819</v>
          </cell>
          <cell r="AA313">
            <v>40.358965159995584</v>
          </cell>
          <cell r="AB313">
            <v>40.202989655695617</v>
          </cell>
          <cell r="AC313">
            <v>40.754726350190971</v>
          </cell>
          <cell r="AD313">
            <v>43.007104479056821</v>
          </cell>
          <cell r="AE313">
            <v>43.722771264559341</v>
          </cell>
          <cell r="AF313">
            <v>43.408770104746218</v>
          </cell>
        </row>
        <row r="314">
          <cell r="D314">
            <v>8180</v>
          </cell>
          <cell r="E314"/>
          <cell r="F314">
            <v>48.879999999999995</v>
          </cell>
          <cell r="G314">
            <v>50.289999999999964</v>
          </cell>
          <cell r="H314">
            <v>46.340000000000032</v>
          </cell>
          <cell r="I314">
            <v>45.160000000000025</v>
          </cell>
          <cell r="J314">
            <v>40.880000000000024</v>
          </cell>
          <cell r="K314">
            <v>36.180000000000035</v>
          </cell>
          <cell r="L314">
            <v>45.711872931271046</v>
          </cell>
          <cell r="M314">
            <v>43.620162864695089</v>
          </cell>
          <cell r="N314">
            <v>44.309646325877793</v>
          </cell>
          <cell r="O314">
            <v>40.882730769147315</v>
          </cell>
          <cell r="P314">
            <v>40.724731065150962</v>
          </cell>
          <cell r="Q314">
            <v>41.283628020191628</v>
          </cell>
          <cell r="R314">
            <v>43.565236784630713</v>
          </cell>
          <cell r="S314">
            <v>44.290191262430938</v>
          </cell>
          <cell r="T314">
            <v>43.972115097025039</v>
          </cell>
          <cell r="U314">
            <v>42.661182747516079</v>
          </cell>
          <cell r="V314">
            <v>40.185355629794429</v>
          </cell>
          <cell r="W314">
            <v>40.002933258618839</v>
          </cell>
          <cell r="X314">
            <v>52.708285901692761</v>
          </cell>
          <cell r="Y314">
            <v>41.517055553435398</v>
          </cell>
          <cell r="Z314">
            <v>40.298746584555204</v>
          </cell>
          <cell r="AA314">
            <v>40.882730769147315</v>
          </cell>
          <cell r="AB314">
            <v>40.724731065150962</v>
          </cell>
          <cell r="AC314">
            <v>41.283628020191628</v>
          </cell>
          <cell r="AD314">
            <v>43.565236784630713</v>
          </cell>
          <cell r="AE314">
            <v>44.290191262430938</v>
          </cell>
          <cell r="AF314">
            <v>43.972115097025039</v>
          </cell>
        </row>
        <row r="315">
          <cell r="D315">
            <v>8190</v>
          </cell>
          <cell r="E315"/>
          <cell r="F315">
            <v>383.55</v>
          </cell>
          <cell r="G315">
            <v>10.26</v>
          </cell>
          <cell r="H315">
            <v>502</v>
          </cell>
          <cell r="I315">
            <v>70.14</v>
          </cell>
          <cell r="J315">
            <v>9.85</v>
          </cell>
          <cell r="K315">
            <v>599.29</v>
          </cell>
          <cell r="L315">
            <v>268.92882357343456</v>
          </cell>
          <cell r="M315">
            <v>256.62302441471792</v>
          </cell>
          <cell r="N315">
            <v>260.6793442327222</v>
          </cell>
          <cell r="O315">
            <v>240.51835956813255</v>
          </cell>
          <cell r="P315">
            <v>239.58882700260912</v>
          </cell>
          <cell r="Q315">
            <v>242.87688962134803</v>
          </cell>
          <cell r="R315">
            <v>256.29988722632464</v>
          </cell>
          <cell r="S315">
            <v>260.56488759400213</v>
          </cell>
          <cell r="T315">
            <v>258.69360463217822</v>
          </cell>
          <cell r="U315">
            <v>250.98122113242815</v>
          </cell>
          <cell r="V315">
            <v>236.41561199317519</v>
          </cell>
          <cell r="W315">
            <v>235.34239773771284</v>
          </cell>
          <cell r="X315">
            <v>310.08962029244793</v>
          </cell>
          <cell r="Y315">
            <v>244.25017380069647</v>
          </cell>
          <cell r="Z315">
            <v>237.08270555360602</v>
          </cell>
          <cell r="AA315">
            <v>240.51835956813255</v>
          </cell>
          <cell r="AB315">
            <v>239.58882700260912</v>
          </cell>
          <cell r="AC315">
            <v>242.87688962134803</v>
          </cell>
          <cell r="AD315">
            <v>256.29988722632464</v>
          </cell>
          <cell r="AE315">
            <v>260.56488759400213</v>
          </cell>
          <cell r="AF315">
            <v>258.69360463217822</v>
          </cell>
        </row>
        <row r="316">
          <cell r="D316">
            <v>8200</v>
          </cell>
          <cell r="E316"/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8210</v>
          </cell>
          <cell r="E317"/>
          <cell r="F317">
            <v>519.27</v>
          </cell>
          <cell r="G317">
            <v>411.45</v>
          </cell>
          <cell r="H317">
            <v>374.24</v>
          </cell>
          <cell r="I317">
            <v>192.34</v>
          </cell>
          <cell r="J317">
            <v>111.9</v>
          </cell>
          <cell r="K317">
            <v>107.28</v>
          </cell>
          <cell r="L317">
            <v>293.06956877850087</v>
          </cell>
          <cell r="M317">
            <v>279.65912357222447</v>
          </cell>
          <cell r="N317">
            <v>284.07956420812974</v>
          </cell>
          <cell r="O317">
            <v>262.10880256462053</v>
          </cell>
          <cell r="P317">
            <v>261.09582930082632</v>
          </cell>
          <cell r="Q317">
            <v>264.67904913195531</v>
          </cell>
          <cell r="R317">
            <v>279.30697955433766</v>
          </cell>
          <cell r="S317">
            <v>283.95483322054787</v>
          </cell>
          <cell r="T317">
            <v>281.9155721127309</v>
          </cell>
          <cell r="U317">
            <v>273.51087648921032</v>
          </cell>
          <cell r="V317">
            <v>257.63776652384649</v>
          </cell>
          <cell r="W317">
            <v>256.46821379656359</v>
          </cell>
          <cell r="X317">
            <v>337.9252178856961</v>
          </cell>
          <cell r="Y317">
            <v>266.17560794965334</v>
          </cell>
          <cell r="Z317">
            <v>258.36474260432971</v>
          </cell>
          <cell r="AA317">
            <v>262.10880256462053</v>
          </cell>
          <cell r="AB317">
            <v>261.09582930082632</v>
          </cell>
          <cell r="AC317">
            <v>264.67904913195531</v>
          </cell>
          <cell r="AD317">
            <v>279.30697955433766</v>
          </cell>
          <cell r="AE317">
            <v>283.95483322054787</v>
          </cell>
          <cell r="AF317">
            <v>281.9155721127309</v>
          </cell>
        </row>
        <row r="318">
          <cell r="D318">
            <v>8240</v>
          </cell>
          <cell r="E318"/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D319">
            <v>8250</v>
          </cell>
          <cell r="E319"/>
          <cell r="F319">
            <v>3345.04</v>
          </cell>
          <cell r="G319">
            <v>956.67000000000007</v>
          </cell>
          <cell r="H319">
            <v>2383.56</v>
          </cell>
          <cell r="I319">
            <v>3108.65</v>
          </cell>
          <cell r="J319">
            <v>841.48</v>
          </cell>
          <cell r="K319">
            <v>571.55999999999995</v>
          </cell>
          <cell r="L319">
            <v>1913.4618140135094</v>
          </cell>
          <cell r="M319">
            <v>1825.9045322456291</v>
          </cell>
          <cell r="N319">
            <v>1854.7657490317056</v>
          </cell>
          <cell r="O319">
            <v>1711.3178516438295</v>
          </cell>
          <cell r="P319">
            <v>1704.7041125682729</v>
          </cell>
          <cell r="Q319">
            <v>1728.0990844401672</v>
          </cell>
          <cell r="R319">
            <v>1823.6053712168396</v>
          </cell>
          <cell r="S319">
            <v>1853.9513759026331</v>
          </cell>
          <cell r="T319">
            <v>1840.6369663756593</v>
          </cell>
          <cell r="U319">
            <v>1785.7624046767344</v>
          </cell>
          <cell r="V319">
            <v>1682.1262956294786</v>
          </cell>
          <cell r="W319">
            <v>1674.4902435737886</v>
          </cell>
          <cell r="X319">
            <v>2206.3259693304212</v>
          </cell>
          <cell r="Y319">
            <v>1737.8701710870198</v>
          </cell>
          <cell r="Z319">
            <v>1686.8727487515262</v>
          </cell>
          <cell r="AA319">
            <v>1711.3178516438295</v>
          </cell>
          <cell r="AB319">
            <v>1704.7041125682729</v>
          </cell>
          <cell r="AC319">
            <v>1728.0990844401672</v>
          </cell>
          <cell r="AD319">
            <v>1823.6053712168396</v>
          </cell>
          <cell r="AE319">
            <v>1853.9513759026331</v>
          </cell>
          <cell r="AF319">
            <v>1840.6369663756593</v>
          </cell>
        </row>
        <row r="320">
          <cell r="D320">
            <v>8310</v>
          </cell>
          <cell r="E320"/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D321">
            <v>8320</v>
          </cell>
          <cell r="E321"/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8340</v>
          </cell>
          <cell r="E322"/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8350</v>
          </cell>
          <cell r="E323"/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8360</v>
          </cell>
          <cell r="E324"/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D325">
            <v>8370</v>
          </cell>
          <cell r="E325"/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D326">
            <v>8400</v>
          </cell>
          <cell r="E326"/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D327">
            <v>8410</v>
          </cell>
          <cell r="E327"/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D328">
            <v>8470</v>
          </cell>
          <cell r="E328"/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D329">
            <v>8500</v>
          </cell>
          <cell r="E329"/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D330">
            <v>8520</v>
          </cell>
          <cell r="E330"/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D331">
            <v>8560</v>
          </cell>
          <cell r="E331"/>
          <cell r="F331">
            <v>62.850000000000023</v>
          </cell>
          <cell r="G331">
            <v>64.649999999999977</v>
          </cell>
          <cell r="H331">
            <v>59.569999999999993</v>
          </cell>
          <cell r="I331">
            <v>58.06</v>
          </cell>
          <cell r="J331">
            <v>52.56</v>
          </cell>
          <cell r="K331">
            <v>46.520000000000039</v>
          </cell>
          <cell r="L331">
            <v>58.769968930163941</v>
          </cell>
          <cell r="M331">
            <v>56.080739026842934</v>
          </cell>
          <cell r="N331">
            <v>56.967180972735093</v>
          </cell>
          <cell r="O331">
            <v>52.561329541135365</v>
          </cell>
          <cell r="P331">
            <v>52.358195495221253</v>
          </cell>
          <cell r="Q331">
            <v>53.076747472566126</v>
          </cell>
          <cell r="R331">
            <v>56.010122711828046</v>
          </cell>
          <cell r="S331">
            <v>56.942168357828052</v>
          </cell>
          <cell r="T331">
            <v>56.533230260138794</v>
          </cell>
          <cell r="U331">
            <v>54.847815760364824</v>
          </cell>
          <cell r="V331">
            <v>51.664741572970968</v>
          </cell>
          <cell r="W331">
            <v>51.430208258130051</v>
          </cell>
          <cell r="X331">
            <v>67.764983715764515</v>
          </cell>
          <cell r="Y331">
            <v>53.376856131356135</v>
          </cell>
          <cell r="Z331">
            <v>51.810523892988158</v>
          </cell>
          <cell r="AA331">
            <v>52.561329541135365</v>
          </cell>
          <cell r="AB331">
            <v>52.358195495221253</v>
          </cell>
          <cell r="AC331">
            <v>53.076747472566126</v>
          </cell>
          <cell r="AD331">
            <v>56.010122711828046</v>
          </cell>
          <cell r="AE331">
            <v>56.942168357828052</v>
          </cell>
          <cell r="AF331">
            <v>56.533230260138794</v>
          </cell>
        </row>
        <row r="332">
          <cell r="D332">
            <v>8570</v>
          </cell>
          <cell r="E332"/>
          <cell r="F332">
            <v>94.04</v>
          </cell>
          <cell r="G332">
            <v>96.74</v>
          </cell>
          <cell r="H332">
            <v>89.14</v>
          </cell>
          <cell r="I332">
            <v>86.87</v>
          </cell>
          <cell r="J332">
            <v>78.63</v>
          </cell>
          <cell r="K332">
            <v>83.19</v>
          </cell>
          <cell r="L332">
            <v>90.25418574757839</v>
          </cell>
          <cell r="M332">
            <v>86.124283016122291</v>
          </cell>
          <cell r="N332">
            <v>87.4856091746245</v>
          </cell>
          <cell r="O332">
            <v>80.71945733342892</v>
          </cell>
          <cell r="P332">
            <v>80.407500423372142</v>
          </cell>
          <cell r="Q332">
            <v>81.510994687758028</v>
          </cell>
          <cell r="R332">
            <v>86.015836166001606</v>
          </cell>
          <cell r="S332">
            <v>87.447196814826754</v>
          </cell>
          <cell r="T332">
            <v>86.819182614717732</v>
          </cell>
          <cell r="U332">
            <v>84.230858746365513</v>
          </cell>
          <cell r="V332">
            <v>79.342549730943858</v>
          </cell>
          <cell r="W332">
            <v>78.982372352140132</v>
          </cell>
          <cell r="X332">
            <v>104.06800511893982</v>
          </cell>
          <cell r="Y332">
            <v>81.971877399250943</v>
          </cell>
          <cell r="Z332">
            <v>79.566430478697526</v>
          </cell>
          <cell r="AA332">
            <v>80.71945733342892</v>
          </cell>
          <cell r="AB332">
            <v>80.407500423372142</v>
          </cell>
          <cell r="AC332">
            <v>81.510994687758028</v>
          </cell>
          <cell r="AD332">
            <v>86.015836166001606</v>
          </cell>
          <cell r="AE332">
            <v>87.447196814826754</v>
          </cell>
          <cell r="AF332">
            <v>86.819182614717732</v>
          </cell>
        </row>
        <row r="333">
          <cell r="D333">
            <v>8580</v>
          </cell>
          <cell r="E333"/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D334">
            <v>8590</v>
          </cell>
          <cell r="E334"/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</row>
        <row r="335">
          <cell r="D335">
            <v>8600</v>
          </cell>
          <cell r="E335"/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D336">
            <v>8620</v>
          </cell>
          <cell r="E336"/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D337">
            <v>8630</v>
          </cell>
          <cell r="E337"/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</row>
        <row r="338">
          <cell r="D338">
            <v>8640</v>
          </cell>
          <cell r="E338"/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</row>
        <row r="339">
          <cell r="D339">
            <v>8650</v>
          </cell>
          <cell r="E339"/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444.74</v>
          </cell>
          <cell r="L339">
            <v>66.1802107197569</v>
          </cell>
          <cell r="M339">
            <v>74.363810028914457</v>
          </cell>
          <cell r="N339">
            <v>57.894614769732961</v>
          </cell>
          <cell r="O339">
            <v>40.326994147374954</v>
          </cell>
          <cell r="P339">
            <v>70.442018540508542</v>
          </cell>
          <cell r="Q339">
            <v>96.505257345864763</v>
          </cell>
          <cell r="R339">
            <v>82.857528679329747</v>
          </cell>
          <cell r="S339">
            <v>108.97775346217409</v>
          </cell>
          <cell r="T339">
            <v>62.941342489103334</v>
          </cell>
          <cell r="U339">
            <v>82.20920994993611</v>
          </cell>
          <cell r="V339">
            <v>45.663854821695629</v>
          </cell>
          <cell r="W339">
            <v>57.569794698050764</v>
          </cell>
          <cell r="X339">
            <v>40.068492539349208</v>
          </cell>
          <cell r="Y339">
            <v>58.428713779030872</v>
          </cell>
          <cell r="Z339">
            <v>46.738494733398824</v>
          </cell>
          <cell r="AA339">
            <v>40.326994147374954</v>
          </cell>
          <cell r="AB339">
            <v>70.442018540508542</v>
          </cell>
          <cell r="AC339">
            <v>96.505257345864763</v>
          </cell>
          <cell r="AD339">
            <v>82.857528679329747</v>
          </cell>
          <cell r="AE339">
            <v>108.97775346217409</v>
          </cell>
          <cell r="AF339">
            <v>62.941342489103334</v>
          </cell>
        </row>
        <row r="340">
          <cell r="D340">
            <v>8670</v>
          </cell>
          <cell r="E340"/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</row>
        <row r="341">
          <cell r="D341">
            <v>8700</v>
          </cell>
          <cell r="E341"/>
          <cell r="F341">
            <v>293118.21000000002</v>
          </cell>
          <cell r="G341">
            <v>240515.67999999988</v>
          </cell>
          <cell r="H341">
            <v>223258.58999999991</v>
          </cell>
          <cell r="I341">
            <v>246464.21000000002</v>
          </cell>
          <cell r="J341">
            <v>254197.19000000006</v>
          </cell>
          <cell r="K341">
            <v>238115.81999999995</v>
          </cell>
          <cell r="L341">
            <v>281149.71381776006</v>
          </cell>
          <cell r="M341">
            <v>294870.09092174401</v>
          </cell>
          <cell r="N341">
            <v>305142.18191878434</v>
          </cell>
          <cell r="O341">
            <v>322467.26428149309</v>
          </cell>
          <cell r="P341">
            <v>348949.03615560388</v>
          </cell>
          <cell r="Q341">
            <v>302321.29306661879</v>
          </cell>
          <cell r="R341">
            <v>347849.26917710947</v>
          </cell>
          <cell r="S341">
            <v>315991.79427726916</v>
          </cell>
          <cell r="T341">
            <v>329826.15700502973</v>
          </cell>
          <cell r="U341">
            <v>363370.24106817547</v>
          </cell>
          <cell r="V341">
            <v>330918.98617644393</v>
          </cell>
          <cell r="W341">
            <v>307582.35552223923</v>
          </cell>
          <cell r="X341">
            <v>323442.59377583815</v>
          </cell>
          <cell r="Y341">
            <v>319922.14845974825</v>
          </cell>
          <cell r="Z341">
            <v>340520.14598185191</v>
          </cell>
          <cell r="AA341">
            <v>326572.54946827336</v>
          </cell>
          <cell r="AB341">
            <v>352877.13079750963</v>
          </cell>
          <cell r="AC341">
            <v>306072.19724807446</v>
          </cell>
          <cell r="AD341">
            <v>351954.55436388974</v>
          </cell>
          <cell r="AE341">
            <v>319565.50874683924</v>
          </cell>
          <cell r="AF341">
            <v>333577.06118648546</v>
          </cell>
        </row>
        <row r="342">
          <cell r="D342">
            <v>8710</v>
          </cell>
          <cell r="E342"/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</row>
        <row r="343">
          <cell r="D343">
            <v>8711</v>
          </cell>
          <cell r="E343"/>
          <cell r="F343">
            <v>16631.21</v>
          </cell>
          <cell r="G343">
            <v>13456.7</v>
          </cell>
          <cell r="H343">
            <v>0</v>
          </cell>
          <cell r="I343">
            <v>2264.35</v>
          </cell>
          <cell r="J343">
            <v>0</v>
          </cell>
          <cell r="K343">
            <v>3084.98</v>
          </cell>
          <cell r="L343">
            <v>5273.2922843157758</v>
          </cell>
          <cell r="M343">
            <v>5925.3680426969659</v>
          </cell>
          <cell r="N343">
            <v>4613.0893517618642</v>
          </cell>
          <cell r="O343">
            <v>3213.2872466589952</v>
          </cell>
          <cell r="P343">
            <v>5612.8765505788788</v>
          </cell>
          <cell r="Q343">
            <v>7689.6163282528496</v>
          </cell>
          <cell r="R343">
            <v>6602.1543589879284</v>
          </cell>
          <cell r="S343">
            <v>8683.4348250660914</v>
          </cell>
          <cell r="T343">
            <v>5015.2166652618425</v>
          </cell>
          <cell r="U343">
            <v>6550.4958025054493</v>
          </cell>
          <cell r="V343">
            <v>3638.5325867733623</v>
          </cell>
          <cell r="W343">
            <v>4587.2074278579666</v>
          </cell>
          <cell r="X343">
            <v>3192.6896311443252</v>
          </cell>
          <cell r="Y343">
            <v>4655.6467893124609</v>
          </cell>
          <cell r="Z343">
            <v>3724.1607570854658</v>
          </cell>
          <cell r="AA343">
            <v>3213.2872466589952</v>
          </cell>
          <cell r="AB343">
            <v>5612.8765505788788</v>
          </cell>
          <cell r="AC343">
            <v>7689.6163282528496</v>
          </cell>
          <cell r="AD343">
            <v>6602.1543589879284</v>
          </cell>
          <cell r="AE343">
            <v>8683.4348250660914</v>
          </cell>
          <cell r="AF343">
            <v>5015.2166652618425</v>
          </cell>
        </row>
        <row r="344">
          <cell r="D344">
            <v>8720</v>
          </cell>
          <cell r="E344"/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</row>
        <row r="345">
          <cell r="D345">
            <v>8740</v>
          </cell>
          <cell r="E345"/>
          <cell r="F345">
            <v>14446.55</v>
          </cell>
          <cell r="G345">
            <v>8226.41</v>
          </cell>
          <cell r="H345">
            <v>6437.23</v>
          </cell>
          <cell r="I345">
            <v>7402.23</v>
          </cell>
          <cell r="J345">
            <v>10511.759999999998</v>
          </cell>
          <cell r="K345">
            <v>-11155.19</v>
          </cell>
          <cell r="L345">
            <v>9350.4692040977152</v>
          </cell>
          <cell r="M345">
            <v>9782.4445751946732</v>
          </cell>
          <cell r="N345">
            <v>10690.539691641072</v>
          </cell>
          <cell r="O345">
            <v>9999.6985109545913</v>
          </cell>
          <cell r="P345">
            <v>10262.22928596758</v>
          </cell>
          <cell r="Q345">
            <v>10807.773645629333</v>
          </cell>
          <cell r="R345">
            <v>12207.874143586272</v>
          </cell>
          <cell r="S345">
            <v>11489.964573787236</v>
          </cell>
          <cell r="T345">
            <v>10689.660938232726</v>
          </cell>
          <cell r="U345">
            <v>11474.504566221227</v>
          </cell>
          <cell r="V345">
            <v>11448.934980176169</v>
          </cell>
          <cell r="W345">
            <v>11435.225326857319</v>
          </cell>
          <cell r="X345">
            <v>11774.249084253192</v>
          </cell>
          <cell r="Y345">
            <v>12951.946770479744</v>
          </cell>
          <cell r="Z345">
            <v>12331.715411043153</v>
          </cell>
          <cell r="AA345">
            <v>10000.146838008446</v>
          </cell>
          <cell r="AB345">
            <v>10262.658262522909</v>
          </cell>
          <cell r="AC345">
            <v>10808.183271695356</v>
          </cell>
          <cell r="AD345">
            <v>12208.322470640127</v>
          </cell>
          <cell r="AE345">
            <v>11490.354849445703</v>
          </cell>
          <cell r="AF345">
            <v>10690.070564298749</v>
          </cell>
        </row>
        <row r="346">
          <cell r="D346">
            <v>8750</v>
          </cell>
          <cell r="E346"/>
          <cell r="F346">
            <v>12539.32</v>
          </cell>
          <cell r="G346">
            <v>9849.65</v>
          </cell>
          <cell r="H346">
            <v>13718.970000000001</v>
          </cell>
          <cell r="I346">
            <v>18886.350000000002</v>
          </cell>
          <cell r="J346">
            <v>14789.86</v>
          </cell>
          <cell r="K346">
            <v>12619.23</v>
          </cell>
          <cell r="L346">
            <v>13054.063460912779</v>
          </cell>
          <cell r="M346">
            <v>13600.592205399724</v>
          </cell>
          <cell r="N346">
            <v>12744.240553805761</v>
          </cell>
          <cell r="O346">
            <v>13325.440798026568</v>
          </cell>
          <cell r="P346">
            <v>14678.386214154609</v>
          </cell>
          <cell r="Q346">
            <v>14331.834561032712</v>
          </cell>
          <cell r="R346">
            <v>15286.808350942996</v>
          </cell>
          <cell r="S346">
            <v>14536.441945778522</v>
          </cell>
          <cell r="T346">
            <v>13775.884553300695</v>
          </cell>
          <cell r="U346">
            <v>15088.284354892747</v>
          </cell>
          <cell r="V346">
            <v>14175.290020829772</v>
          </cell>
          <cell r="W346">
            <v>13200.648820818493</v>
          </cell>
          <cell r="X346">
            <v>13393.80728191989</v>
          </cell>
          <cell r="Y346">
            <v>13711.153723082054</v>
          </cell>
          <cell r="Z346">
            <v>13936.268305175377</v>
          </cell>
          <cell r="AA346">
            <v>13620.984094197553</v>
          </cell>
          <cell r="AB346">
            <v>14961.17339831388</v>
          </cell>
          <cell r="AC346">
            <v>14601.865639258076</v>
          </cell>
          <cell r="AD346">
            <v>15582.351647113981</v>
          </cell>
          <cell r="AE346">
            <v>14793.716971959837</v>
          </cell>
          <cell r="AF346">
            <v>14045.915631526057</v>
          </cell>
        </row>
        <row r="347">
          <cell r="D347">
            <v>8760</v>
          </cell>
          <cell r="E347"/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8770</v>
          </cell>
          <cell r="E348"/>
          <cell r="F348">
            <v>240</v>
          </cell>
          <cell r="G348">
            <v>3984.12</v>
          </cell>
          <cell r="H348">
            <v>4153.6000000000004</v>
          </cell>
          <cell r="I348">
            <v>0</v>
          </cell>
          <cell r="J348">
            <v>2043.1</v>
          </cell>
          <cell r="K348">
            <v>0</v>
          </cell>
          <cell r="L348">
            <v>1550.6859366655963</v>
          </cell>
          <cell r="M348">
            <v>1742.4380060833578</v>
          </cell>
          <cell r="N348">
            <v>1356.543957109162</v>
          </cell>
          <cell r="O348">
            <v>944.91241433387574</v>
          </cell>
          <cell r="P348">
            <v>1650.5454774639165</v>
          </cell>
          <cell r="Q348">
            <v>2261.2400860164016</v>
          </cell>
          <cell r="R348">
            <v>1941.4565634126302</v>
          </cell>
          <cell r="S348">
            <v>2553.4864254029167</v>
          </cell>
          <cell r="T348">
            <v>1474.7951626507574</v>
          </cell>
          <cell r="U348">
            <v>1926.2656366202575</v>
          </cell>
          <cell r="V348">
            <v>1069.9618015087967</v>
          </cell>
          <cell r="W348">
            <v>1348.9330125136964</v>
          </cell>
          <cell r="X348">
            <v>938.85539511602519</v>
          </cell>
          <cell r="Y348">
            <v>1369.0585715762031</v>
          </cell>
          <cell r="Z348">
            <v>1095.1419721358484</v>
          </cell>
          <cell r="AA348">
            <v>944.91241433387574</v>
          </cell>
          <cell r="AB348">
            <v>1650.5454774639165</v>
          </cell>
          <cell r="AC348">
            <v>2261.2400860164016</v>
          </cell>
          <cell r="AD348">
            <v>1941.4565634126302</v>
          </cell>
          <cell r="AE348">
            <v>2553.4864254029167</v>
          </cell>
          <cell r="AF348">
            <v>1474.7951626507574</v>
          </cell>
        </row>
        <row r="349">
          <cell r="D349">
            <v>8780</v>
          </cell>
          <cell r="E349"/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</row>
        <row r="350">
          <cell r="D350">
            <v>8790</v>
          </cell>
          <cell r="E350"/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</row>
        <row r="351">
          <cell r="D351">
            <v>8800</v>
          </cell>
          <cell r="E351"/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</row>
        <row r="352">
          <cell r="D352">
            <v>8810</v>
          </cell>
          <cell r="E352"/>
          <cell r="F352">
            <v>23863.189999999995</v>
          </cell>
          <cell r="G352">
            <v>23776.41</v>
          </cell>
          <cell r="H352">
            <v>23072.84</v>
          </cell>
          <cell r="I352">
            <v>21788.319999999996</v>
          </cell>
          <cell r="J352">
            <v>23331.980000000003</v>
          </cell>
          <cell r="K352">
            <v>23465.510000000002</v>
          </cell>
          <cell r="L352">
            <v>23783.602523245143</v>
          </cell>
          <cell r="M352">
            <v>22695.298815101047</v>
          </cell>
          <cell r="N352">
            <v>23054.032761788727</v>
          </cell>
          <cell r="O352">
            <v>21271.029960644559</v>
          </cell>
          <cell r="P352">
            <v>21188.823699608412</v>
          </cell>
          <cell r="Q352">
            <v>21479.614301212601</v>
          </cell>
          <cell r="R352">
            <v>22666.721118046837</v>
          </cell>
          <cell r="S352">
            <v>23043.910413558089</v>
          </cell>
          <cell r="T352">
            <v>22878.417367550002</v>
          </cell>
          <cell r="U352">
            <v>22196.347438311634</v>
          </cell>
          <cell r="V352">
            <v>20908.1900230008</v>
          </cell>
          <cell r="W352">
            <v>20813.276800479569</v>
          </cell>
          <cell r="X352">
            <v>27423.792576870204</v>
          </cell>
          <cell r="Y352">
            <v>21601.065191597223</v>
          </cell>
          <cell r="Z352">
            <v>20967.186629895823</v>
          </cell>
          <cell r="AA352">
            <v>21271.029960644559</v>
          </cell>
          <cell r="AB352">
            <v>21188.823699608412</v>
          </cell>
          <cell r="AC352">
            <v>21479.614301212601</v>
          </cell>
          <cell r="AD352">
            <v>22666.721118046837</v>
          </cell>
          <cell r="AE352">
            <v>23043.910413558089</v>
          </cell>
          <cell r="AF352">
            <v>22878.417367550002</v>
          </cell>
        </row>
        <row r="353">
          <cell r="D353">
            <v>8850</v>
          </cell>
          <cell r="E353"/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</row>
        <row r="354">
          <cell r="D354">
            <v>8860</v>
          </cell>
          <cell r="E354"/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</row>
        <row r="355">
          <cell r="D355">
            <v>8870</v>
          </cell>
          <cell r="E355"/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D356">
            <v>8890</v>
          </cell>
          <cell r="E356"/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D357">
            <v>8900</v>
          </cell>
          <cell r="E357"/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8910</v>
          </cell>
          <cell r="E358"/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</row>
        <row r="359">
          <cell r="D359">
            <v>8920</v>
          </cell>
          <cell r="E359"/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</row>
        <row r="360">
          <cell r="D360">
            <v>8930</v>
          </cell>
          <cell r="E360"/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</row>
        <row r="361">
          <cell r="D361">
            <v>8940</v>
          </cell>
          <cell r="E361"/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</row>
        <row r="362">
          <cell r="D362">
            <v>8950</v>
          </cell>
          <cell r="E362"/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</row>
        <row r="363">
          <cell r="D363">
            <v>9010</v>
          </cell>
          <cell r="E363"/>
          <cell r="F363">
            <v>1990.21</v>
          </cell>
          <cell r="G363">
            <v>2055.58</v>
          </cell>
          <cell r="H363">
            <v>3097.59</v>
          </cell>
          <cell r="I363">
            <v>2446.7799999999997</v>
          </cell>
          <cell r="J363">
            <v>2901.1800000000003</v>
          </cell>
          <cell r="K363">
            <v>2562.1</v>
          </cell>
          <cell r="L363">
            <v>2259.7247548384976</v>
          </cell>
          <cell r="M363">
            <v>2314.0964463713467</v>
          </cell>
          <cell r="N363">
            <v>2210.0914163303837</v>
          </cell>
          <cell r="O363">
            <v>2512.9203971462121</v>
          </cell>
          <cell r="P363">
            <v>2697.2324430215049</v>
          </cell>
          <cell r="Q363">
            <v>2338.3397343132847</v>
          </cell>
          <cell r="R363">
            <v>2616.2474647160134</v>
          </cell>
          <cell r="S363">
            <v>2264.3480300109609</v>
          </cell>
          <cell r="T363">
            <v>2390.5839351414452</v>
          </cell>
          <cell r="U363">
            <v>2606.0411959227285</v>
          </cell>
          <cell r="V363">
            <v>2527.3628462553825</v>
          </cell>
          <cell r="W363">
            <v>2338.4962512904635</v>
          </cell>
          <cell r="X363">
            <v>2478.4189462122854</v>
          </cell>
          <cell r="Y363">
            <v>2443.8622591305293</v>
          </cell>
          <cell r="Z363">
            <v>2571.7710263434838</v>
          </cell>
          <cell r="AA363">
            <v>2576.4387006482002</v>
          </cell>
          <cell r="AB363">
            <v>2758.009196961169</v>
          </cell>
          <cell r="AC363">
            <v>2396.3749399968697</v>
          </cell>
          <cell r="AD363">
            <v>2679.7657682180015</v>
          </cell>
          <cell r="AE363">
            <v>2319.6416990205007</v>
          </cell>
          <cell r="AF363">
            <v>2448.6191408250302</v>
          </cell>
        </row>
        <row r="364">
          <cell r="D364">
            <v>9020</v>
          </cell>
          <cell r="E364"/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</row>
        <row r="365">
          <cell r="D365">
            <v>9030</v>
          </cell>
          <cell r="E365"/>
          <cell r="F365">
            <v>164974.76999999999</v>
          </cell>
          <cell r="G365">
            <v>161951.00000000003</v>
          </cell>
          <cell r="H365">
            <v>176360.4</v>
          </cell>
          <cell r="I365">
            <v>160299.22</v>
          </cell>
          <cell r="J365">
            <v>168108.40000000002</v>
          </cell>
          <cell r="K365">
            <v>148875.79</v>
          </cell>
          <cell r="L365">
            <v>317887.65532023268</v>
          </cell>
          <cell r="M365">
            <v>321274.83210177516</v>
          </cell>
          <cell r="N365">
            <v>387514.33385776274</v>
          </cell>
          <cell r="O365">
            <v>290541.19030467479</v>
          </cell>
          <cell r="P365">
            <v>313968.56638822058</v>
          </cell>
          <cell r="Q365">
            <v>325653.04248203861</v>
          </cell>
          <cell r="R365">
            <v>375972.0812758212</v>
          </cell>
          <cell r="S365">
            <v>366027.46459758753</v>
          </cell>
          <cell r="T365">
            <v>378357.6569134398</v>
          </cell>
          <cell r="U365">
            <v>377114.09473338287</v>
          </cell>
          <cell r="V365">
            <v>417775.51809268846</v>
          </cell>
          <cell r="W365">
            <v>355005.80339655664</v>
          </cell>
          <cell r="X365">
            <v>323142.6635887117</v>
          </cell>
          <cell r="Y365">
            <v>331169.94362827472</v>
          </cell>
          <cell r="Z365">
            <v>401812.882471341</v>
          </cell>
          <cell r="AA365">
            <v>292343.63620697038</v>
          </cell>
          <cell r="AB365">
            <v>315693.2158995216</v>
          </cell>
          <cell r="AC365">
            <v>327299.89563941211</v>
          </cell>
          <cell r="AD365">
            <v>377774.52717811678</v>
          </cell>
          <cell r="AE365">
            <v>367596.52172969456</v>
          </cell>
          <cell r="AF365">
            <v>380004.5100708133</v>
          </cell>
        </row>
        <row r="366">
          <cell r="D366">
            <v>9040</v>
          </cell>
          <cell r="E366"/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</row>
        <row r="367">
          <cell r="D367">
            <v>9070</v>
          </cell>
          <cell r="E367"/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</row>
        <row r="368">
          <cell r="D368">
            <v>9080</v>
          </cell>
          <cell r="E368"/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</row>
        <row r="369">
          <cell r="D369">
            <v>9090</v>
          </cell>
          <cell r="E369"/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</row>
        <row r="370">
          <cell r="D370">
            <v>9100</v>
          </cell>
          <cell r="E370"/>
          <cell r="F370">
            <v>79.75</v>
          </cell>
          <cell r="G370">
            <v>0</v>
          </cell>
          <cell r="H370">
            <v>61.18</v>
          </cell>
          <cell r="I370">
            <v>0</v>
          </cell>
          <cell r="J370">
            <v>394.68</v>
          </cell>
          <cell r="K370">
            <v>61.46</v>
          </cell>
          <cell r="L370">
            <v>101.37212021676829</v>
          </cell>
          <cell r="M370">
            <v>121.70662507838662</v>
          </cell>
          <cell r="N370">
            <v>120.74042252973317</v>
          </cell>
          <cell r="O370">
            <v>141.65605469744054</v>
          </cell>
          <cell r="P370">
            <v>170.1588436048599</v>
          </cell>
          <cell r="Q370">
            <v>110.53693119059989</v>
          </cell>
          <cell r="R370">
            <v>122.39637307286375</v>
          </cell>
          <cell r="S370">
            <v>131.96501126023531</v>
          </cell>
          <cell r="T370">
            <v>129.60532615319443</v>
          </cell>
          <cell r="U370">
            <v>238.81692929996089</v>
          </cell>
          <cell r="V370">
            <v>119.69633762286291</v>
          </cell>
          <cell r="W370">
            <v>109.93426022937949</v>
          </cell>
          <cell r="X370">
            <v>108.63197103094593</v>
          </cell>
          <cell r="Y370">
            <v>114.31849588050771</v>
          </cell>
          <cell r="Z370">
            <v>118.28833698222263</v>
          </cell>
          <cell r="AA370">
            <v>141.65605469744054</v>
          </cell>
          <cell r="AB370">
            <v>170.1588436048599</v>
          </cell>
          <cell r="AC370">
            <v>110.53693119059989</v>
          </cell>
          <cell r="AD370">
            <v>122.39637307286375</v>
          </cell>
          <cell r="AE370">
            <v>131.96501126023531</v>
          </cell>
          <cell r="AF370">
            <v>129.60532615319443</v>
          </cell>
        </row>
        <row r="371">
          <cell r="D371">
            <v>9110</v>
          </cell>
          <cell r="E371"/>
          <cell r="F371">
            <v>14900.009999999998</v>
          </cell>
          <cell r="G371">
            <v>10718.380000000003</v>
          </cell>
          <cell r="H371">
            <v>14997.630000000001</v>
          </cell>
          <cell r="I371">
            <v>32050.830000000005</v>
          </cell>
          <cell r="J371">
            <v>10611.88</v>
          </cell>
          <cell r="K371">
            <v>11034.45</v>
          </cell>
          <cell r="L371">
            <v>15420.743066895013</v>
          </cell>
          <cell r="M371">
            <v>15360.159726628004</v>
          </cell>
          <cell r="N371">
            <v>16667.232679414828</v>
          </cell>
          <cell r="O371">
            <v>16510.97054018372</v>
          </cell>
          <cell r="P371">
            <v>20662.916214629851</v>
          </cell>
          <cell r="Q371">
            <v>15758.41854598453</v>
          </cell>
          <cell r="R371">
            <v>18223.447809236721</v>
          </cell>
          <cell r="S371">
            <v>15630.796310416414</v>
          </cell>
          <cell r="T371">
            <v>16648.654658922511</v>
          </cell>
          <cell r="U371">
            <v>19147.225173964674</v>
          </cell>
          <cell r="V371">
            <v>16739.779434278644</v>
          </cell>
          <cell r="W371">
            <v>16891.450239697111</v>
          </cell>
          <cell r="X371">
            <v>15910.881765337152</v>
          </cell>
          <cell r="Y371">
            <v>16487.209980884531</v>
          </cell>
          <cell r="Z371">
            <v>19717.287415727747</v>
          </cell>
          <cell r="AA371">
            <v>16808.328507381008</v>
          </cell>
          <cell r="AB371">
            <v>20947.439745768912</v>
          </cell>
          <cell r="AC371">
            <v>16030.107647180488</v>
          </cell>
          <cell r="AD371">
            <v>18520.805776434005</v>
          </cell>
          <cell r="AE371">
            <v>15889.651035890018</v>
          </cell>
          <cell r="AF371">
            <v>16920.343760118471</v>
          </cell>
        </row>
        <row r="372">
          <cell r="D372">
            <v>9120</v>
          </cell>
          <cell r="E372"/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D373">
            <v>9130</v>
          </cell>
          <cell r="E373"/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411.8</v>
          </cell>
          <cell r="K373">
            <v>126.84</v>
          </cell>
          <cell r="L373">
            <v>91.451720624985455</v>
          </cell>
          <cell r="M373">
            <v>109.79626598593492</v>
          </cell>
          <cell r="N373">
            <v>108.92461719968423</v>
          </cell>
          <cell r="O373">
            <v>127.79342003823565</v>
          </cell>
          <cell r="P373">
            <v>153.50689118415215</v>
          </cell>
          <cell r="Q373">
            <v>99.719651994748887</v>
          </cell>
          <cell r="R373">
            <v>110.41851439859201</v>
          </cell>
          <cell r="S373">
            <v>119.05075395717945</v>
          </cell>
          <cell r="T373">
            <v>116.92199051896199</v>
          </cell>
          <cell r="U373">
            <v>215.44601269219845</v>
          </cell>
          <cell r="V373">
            <v>107.98270771798762</v>
          </cell>
          <cell r="W373">
            <v>99.175959150439581</v>
          </cell>
          <cell r="X373">
            <v>98.001113564755755</v>
          </cell>
          <cell r="Y373">
            <v>103.13114814188732</v>
          </cell>
          <cell r="Z373">
            <v>106.71249574104274</v>
          </cell>
          <cell r="AA373">
            <v>127.79342003823565</v>
          </cell>
          <cell r="AB373">
            <v>153.50689118415215</v>
          </cell>
          <cell r="AC373">
            <v>99.719651994748887</v>
          </cell>
          <cell r="AD373">
            <v>110.41851439859201</v>
          </cell>
          <cell r="AE373">
            <v>119.05075395717945</v>
          </cell>
          <cell r="AF373">
            <v>116.92199051896199</v>
          </cell>
        </row>
        <row r="374">
          <cell r="D374">
            <v>9160</v>
          </cell>
          <cell r="E374"/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D375">
            <v>9200</v>
          </cell>
          <cell r="E375"/>
          <cell r="F375">
            <v>-9381.69</v>
          </cell>
          <cell r="G375">
            <v>-31796</v>
          </cell>
          <cell r="H375">
            <v>-6412.89</v>
          </cell>
          <cell r="I375">
            <v>-14768.94</v>
          </cell>
          <cell r="J375">
            <v>-29538.82</v>
          </cell>
          <cell r="K375">
            <v>-14680.71</v>
          </cell>
          <cell r="L375">
            <v>7981.4041839653391</v>
          </cell>
          <cell r="M375">
            <v>7914.7534589537645</v>
          </cell>
          <cell r="N375">
            <v>10225.379046590671</v>
          </cell>
          <cell r="O375">
            <v>1359.1915221393576</v>
          </cell>
          <cell r="P375">
            <v>654.42554769672779</v>
          </cell>
          <cell r="Q375">
            <v>755.106401188532</v>
          </cell>
          <cell r="R375">
            <v>654.42554769672779</v>
          </cell>
          <cell r="S375">
            <v>1066.2102384782072</v>
          </cell>
          <cell r="T375">
            <v>6272.4171725394062</v>
          </cell>
          <cell r="U375">
            <v>1420.6068427693583</v>
          </cell>
          <cell r="V375">
            <v>1419.6000342344403</v>
          </cell>
          <cell r="W375">
            <v>666.50725011574423</v>
          </cell>
          <cell r="X375">
            <v>2033.7532405344461</v>
          </cell>
          <cell r="Y375">
            <v>654.42554769672779</v>
          </cell>
          <cell r="Z375">
            <v>863.84172295968062</v>
          </cell>
          <cell r="AA375">
            <v>1359.1915221393576</v>
          </cell>
          <cell r="AB375">
            <v>654.42554769672779</v>
          </cell>
          <cell r="AC375">
            <v>755.106401188532</v>
          </cell>
          <cell r="AD375">
            <v>654.42554769672779</v>
          </cell>
          <cell r="AE375">
            <v>1066.2102384782072</v>
          </cell>
          <cell r="AF375">
            <v>6272.4171725394062</v>
          </cell>
        </row>
        <row r="376">
          <cell r="D376">
            <v>9210</v>
          </cell>
          <cell r="E376"/>
          <cell r="F376">
            <v>25.27</v>
          </cell>
          <cell r="G376">
            <v>280.61</v>
          </cell>
          <cell r="H376">
            <v>1997.2</v>
          </cell>
          <cell r="I376">
            <v>0</v>
          </cell>
          <cell r="J376">
            <v>0</v>
          </cell>
          <cell r="K376">
            <v>49.97</v>
          </cell>
          <cell r="L376">
            <v>470.68833282734886</v>
          </cell>
          <cell r="M376">
            <v>437.99766155910766</v>
          </cell>
          <cell r="N376">
            <v>610.02316128563143</v>
          </cell>
          <cell r="O376">
            <v>466.45155695377315</v>
          </cell>
          <cell r="P376">
            <v>785.36246202372126</v>
          </cell>
          <cell r="Q376">
            <v>468.07286082746401</v>
          </cell>
          <cell r="R376">
            <v>583.31945076832972</v>
          </cell>
          <cell r="S376">
            <v>487.02761382578973</v>
          </cell>
          <cell r="T376">
            <v>529.41622222108765</v>
          </cell>
          <cell r="U376">
            <v>675.56197419693115</v>
          </cell>
          <cell r="V376">
            <v>477.52425828053526</v>
          </cell>
          <cell r="W376">
            <v>579.68796925302638</v>
          </cell>
          <cell r="X376">
            <v>418.68806513434464</v>
          </cell>
          <cell r="Y376">
            <v>488.2499144067848</v>
          </cell>
          <cell r="Z376">
            <v>745.67191708391522</v>
          </cell>
          <cell r="AA376">
            <v>466.45155695377315</v>
          </cell>
          <cell r="AB376">
            <v>785.36246202372126</v>
          </cell>
          <cell r="AC376">
            <v>468.07286082746401</v>
          </cell>
          <cell r="AD376">
            <v>583.31945076832972</v>
          </cell>
          <cell r="AE376">
            <v>487.02761382578973</v>
          </cell>
          <cell r="AF376">
            <v>529.41622222108765</v>
          </cell>
        </row>
        <row r="377">
          <cell r="D377">
            <v>9220</v>
          </cell>
          <cell r="E377"/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</row>
        <row r="378">
          <cell r="D378">
            <v>9230</v>
          </cell>
          <cell r="E378"/>
          <cell r="F378">
            <v>1630</v>
          </cell>
          <cell r="G378">
            <v>1731.1899999999998</v>
          </cell>
          <cell r="H378">
            <v>13786.73</v>
          </cell>
          <cell r="I378">
            <v>7154.8099999999995</v>
          </cell>
          <cell r="J378">
            <v>8172.24</v>
          </cell>
          <cell r="K378">
            <v>22890.76</v>
          </cell>
          <cell r="L378">
            <v>24122.101972449793</v>
          </cell>
          <cell r="M378">
            <v>24216.42228321415</v>
          </cell>
          <cell r="N378">
            <v>30884.622559848012</v>
          </cell>
          <cell r="O378">
            <v>20947.690341120615</v>
          </cell>
          <cell r="P378">
            <v>23289.219886577797</v>
          </cell>
          <cell r="Q378">
            <v>24619.874997898696</v>
          </cell>
          <cell r="R378">
            <v>28720.041043834321</v>
          </cell>
          <cell r="S378">
            <v>28532.447485001401</v>
          </cell>
          <cell r="T378">
            <v>29415.488938411392</v>
          </cell>
          <cell r="U378">
            <v>29052.121493440987</v>
          </cell>
          <cell r="V378">
            <v>32533.215875496611</v>
          </cell>
          <cell r="W378">
            <v>27519.42828138086</v>
          </cell>
          <cell r="X378">
            <v>23922.054749006136</v>
          </cell>
          <cell r="Y378">
            <v>24881.095346293292</v>
          </cell>
          <cell r="Z378">
            <v>31530.896843575993</v>
          </cell>
          <cell r="AA378">
            <v>20947.690341120615</v>
          </cell>
          <cell r="AB378">
            <v>23289.219886577797</v>
          </cell>
          <cell r="AC378">
            <v>24619.874997898696</v>
          </cell>
          <cell r="AD378">
            <v>28720.041043834321</v>
          </cell>
          <cell r="AE378">
            <v>28532.447485001401</v>
          </cell>
          <cell r="AF378">
            <v>29415.488938411392</v>
          </cell>
        </row>
        <row r="379">
          <cell r="D379">
            <v>9240</v>
          </cell>
          <cell r="E379"/>
          <cell r="F379">
            <v>-1027.6899999999998</v>
          </cell>
          <cell r="G379">
            <v>-1105.1799999999998</v>
          </cell>
          <cell r="H379">
            <v>-1217.1300000000001</v>
          </cell>
          <cell r="I379">
            <v>-1119.44</v>
          </cell>
          <cell r="J379">
            <v>-1065.8600000000001</v>
          </cell>
          <cell r="K379">
            <v>-1092.7600000000002</v>
          </cell>
          <cell r="L379">
            <v>-6879.0051949034432</v>
          </cell>
          <cell r="M379">
            <v>-6929.5492456692746</v>
          </cell>
          <cell r="N379">
            <v>-7498.5709600449054</v>
          </cell>
          <cell r="O379">
            <v>-6781.5273827122001</v>
          </cell>
          <cell r="P379">
            <v>-6840.4954419390033</v>
          </cell>
          <cell r="Q379">
            <v>-6856.5411723408524</v>
          </cell>
          <cell r="R379">
            <v>-7073.3591043958604</v>
          </cell>
          <cell r="S379">
            <v>-6901.6697890960586</v>
          </cell>
          <cell r="T379">
            <v>-7160.006048565856</v>
          </cell>
          <cell r="U379">
            <v>-7314.2456320536457</v>
          </cell>
          <cell r="V379">
            <v>-7152.5848982549996</v>
          </cell>
          <cell r="W379">
            <v>-7151.5820401048841</v>
          </cell>
          <cell r="X379">
            <v>-7101.8402758591474</v>
          </cell>
          <cell r="Y379">
            <v>-7120.2928658212741</v>
          </cell>
          <cell r="Z379">
            <v>-7151.7826117349068</v>
          </cell>
          <cell r="AA379">
            <v>-6781.5273827122001</v>
          </cell>
          <cell r="AB379">
            <v>-6840.4954419390033</v>
          </cell>
          <cell r="AC379">
            <v>-6856.5411723408524</v>
          </cell>
          <cell r="AD379">
            <v>-7073.3591043958604</v>
          </cell>
          <cell r="AE379">
            <v>-6901.6697890960586</v>
          </cell>
          <cell r="AF379">
            <v>-7160.006048565856</v>
          </cell>
        </row>
        <row r="380">
          <cell r="D380">
            <v>9250</v>
          </cell>
          <cell r="E380"/>
          <cell r="F380">
            <v>19633.169999999998</v>
          </cell>
          <cell r="G380">
            <v>19705.46</v>
          </cell>
          <cell r="H380">
            <v>16366.97</v>
          </cell>
          <cell r="I380">
            <v>18873.91</v>
          </cell>
          <cell r="J380">
            <v>18864.689999999999</v>
          </cell>
          <cell r="K380">
            <v>18486.41</v>
          </cell>
          <cell r="L380">
            <v>34948.615995767919</v>
          </cell>
          <cell r="M380">
            <v>35748.264939847017</v>
          </cell>
          <cell r="N380">
            <v>34855.80316581409</v>
          </cell>
          <cell r="O380">
            <v>38633.872749034686</v>
          </cell>
          <cell r="P380">
            <v>37962.639858613373</v>
          </cell>
          <cell r="Q380">
            <v>37155.619991912266</v>
          </cell>
          <cell r="R380">
            <v>39333.014056680491</v>
          </cell>
          <cell r="S380">
            <v>36431.895077096247</v>
          </cell>
          <cell r="T380">
            <v>37775.858801396993</v>
          </cell>
          <cell r="U380">
            <v>38899.331037523989</v>
          </cell>
          <cell r="V380">
            <v>39391.89365379318</v>
          </cell>
          <cell r="W380">
            <v>36867.441258708466</v>
          </cell>
          <cell r="X380">
            <v>39261.292152417074</v>
          </cell>
          <cell r="Y380">
            <v>38440.370536875431</v>
          </cell>
          <cell r="Z380">
            <v>37677.010791056455</v>
          </cell>
          <cell r="AA380">
            <v>37671.268971167177</v>
          </cell>
          <cell r="AB380">
            <v>36779.704524074637</v>
          </cell>
          <cell r="AC380">
            <v>35798.506429085406</v>
          </cell>
          <cell r="AD380">
            <v>38280.697294239515</v>
          </cell>
          <cell r="AE380">
            <v>34878.046027623626</v>
          </cell>
          <cell r="AF380">
            <v>36432.228114864403</v>
          </cell>
        </row>
        <row r="381">
          <cell r="D381">
            <v>9260</v>
          </cell>
          <cell r="E381"/>
          <cell r="F381">
            <v>197785.25999999995</v>
          </cell>
          <cell r="G381">
            <v>132531.78999999998</v>
          </cell>
          <cell r="H381">
            <v>241000.49999999997</v>
          </cell>
          <cell r="I381">
            <v>163110.41000000003</v>
          </cell>
          <cell r="J381">
            <v>257903.09</v>
          </cell>
          <cell r="K381">
            <v>143958.49000000002</v>
          </cell>
          <cell r="L381">
            <v>257825.1235919212</v>
          </cell>
          <cell r="M381">
            <v>90977.88890929427</v>
          </cell>
          <cell r="N381">
            <v>86756.75508873837</v>
          </cell>
          <cell r="O381">
            <v>150291.04044934953</v>
          </cell>
          <cell r="P381">
            <v>166344.32002859205</v>
          </cell>
          <cell r="Q381">
            <v>175484.22499017647</v>
          </cell>
          <cell r="R381">
            <v>194436.73303783088</v>
          </cell>
          <cell r="S381">
            <v>171229.2193284902</v>
          </cell>
          <cell r="T381">
            <v>161632.90422824319</v>
          </cell>
          <cell r="U381">
            <v>154857.16640891612</v>
          </cell>
          <cell r="V381">
            <v>224403.63683829253</v>
          </cell>
          <cell r="W381">
            <v>145259.71104519337</v>
          </cell>
          <cell r="X381">
            <v>282772.12377076474</v>
          </cell>
          <cell r="Y381">
            <v>82187.307898539802</v>
          </cell>
          <cell r="Z381">
            <v>79832.470084015949</v>
          </cell>
          <cell r="AA381">
            <v>147541.12804323694</v>
          </cell>
          <cell r="AB381">
            <v>162964.97680672829</v>
          </cell>
          <cell r="AC381">
            <v>171607.29918879559</v>
          </cell>
          <cell r="AD381">
            <v>191430.53361629174</v>
          </cell>
          <cell r="AE381">
            <v>166790.27063888812</v>
          </cell>
          <cell r="AF381">
            <v>157794.49555056795</v>
          </cell>
        </row>
        <row r="382">
          <cell r="D382">
            <v>9270</v>
          </cell>
          <cell r="E382"/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</row>
        <row r="383">
          <cell r="D383">
            <v>9280</v>
          </cell>
          <cell r="E383"/>
          <cell r="F383">
            <v>441.4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107.81530727225447</v>
          </cell>
          <cell r="M383">
            <v>82.104914622518848</v>
          </cell>
          <cell r="N383">
            <v>74.759088151165813</v>
          </cell>
          <cell r="O383">
            <v>211.80466325734591</v>
          </cell>
          <cell r="P383">
            <v>142.24886885672183</v>
          </cell>
          <cell r="Q383">
            <v>74.070416919476457</v>
          </cell>
          <cell r="R383">
            <v>172.39736499956661</v>
          </cell>
          <cell r="S383">
            <v>53.945913148998869</v>
          </cell>
          <cell r="T383">
            <v>68.561047065961674</v>
          </cell>
          <cell r="U383">
            <v>73.458264713530369</v>
          </cell>
          <cell r="V383">
            <v>82.946623905694707</v>
          </cell>
          <cell r="W383">
            <v>126.48594955361011</v>
          </cell>
          <cell r="X383">
            <v>64.352500650082334</v>
          </cell>
          <cell r="Y383">
            <v>69.708832452110599</v>
          </cell>
          <cell r="Z383">
            <v>68.408009014475155</v>
          </cell>
          <cell r="AA383">
            <v>211.80466325734591</v>
          </cell>
          <cell r="AB383">
            <v>142.24886885672183</v>
          </cell>
          <cell r="AC383">
            <v>74.070416919476457</v>
          </cell>
          <cell r="AD383">
            <v>172.39736499956661</v>
          </cell>
          <cell r="AE383">
            <v>53.945913148998869</v>
          </cell>
          <cell r="AF383">
            <v>68.561047065961674</v>
          </cell>
        </row>
        <row r="384">
          <cell r="D384">
            <v>9290</v>
          </cell>
          <cell r="E384"/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</row>
        <row r="385">
          <cell r="D385">
            <v>9301</v>
          </cell>
          <cell r="E385"/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</row>
        <row r="386">
          <cell r="D386">
            <v>9302</v>
          </cell>
          <cell r="E386"/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7500</v>
          </cell>
          <cell r="K386">
            <v>0</v>
          </cell>
          <cell r="L386">
            <v>10369.888917020064</v>
          </cell>
          <cell r="M386">
            <v>14559.236344072409</v>
          </cell>
          <cell r="N386">
            <v>11331.183935692132</v>
          </cell>
          <cell r="O386">
            <v>7214.0641812772956</v>
          </cell>
          <cell r="P386">
            <v>7144.4395214887018</v>
          </cell>
          <cell r="Q386">
            <v>7479.1126020634219</v>
          </cell>
          <cell r="R386">
            <v>7161.8456864358504</v>
          </cell>
          <cell r="S386">
            <v>8197.6390910817136</v>
          </cell>
          <cell r="T386">
            <v>7506.0130387999243</v>
          </cell>
          <cell r="U386">
            <v>8710.2822963478702</v>
          </cell>
          <cell r="V386">
            <v>26021.425406671307</v>
          </cell>
          <cell r="W386">
            <v>7267.0738654345214</v>
          </cell>
          <cell r="X386">
            <v>11650.594974365466</v>
          </cell>
          <cell r="Y386">
            <v>18337.647952402051</v>
          </cell>
          <cell r="Z386">
            <v>12328.090385467434</v>
          </cell>
          <cell r="AA386">
            <v>7214.0641812772956</v>
          </cell>
          <cell r="AB386">
            <v>7144.4395214887018</v>
          </cell>
          <cell r="AC386">
            <v>7479.1126020634219</v>
          </cell>
          <cell r="AD386">
            <v>7161.8456864358504</v>
          </cell>
          <cell r="AE386">
            <v>8197.6390910817136</v>
          </cell>
          <cell r="AF386">
            <v>7506.0130387999243</v>
          </cell>
        </row>
        <row r="387">
          <cell r="D387">
            <v>9310</v>
          </cell>
          <cell r="E387"/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</row>
        <row r="388">
          <cell r="D388">
            <v>9320</v>
          </cell>
          <cell r="E388"/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</sheetData>
      <sheetData sheetId="6"/>
      <sheetData sheetId="7"/>
      <sheetData sheetId="8"/>
      <sheetData sheetId="9"/>
      <sheetData sheetId="10">
        <row r="73">
          <cell r="B73">
            <v>3664608.47</v>
          </cell>
        </row>
      </sheetData>
      <sheetData sheetId="11"/>
      <sheetData sheetId="12"/>
      <sheetData sheetId="13"/>
      <sheetData sheetId="14"/>
      <sheetData sheetId="15">
        <row r="6">
          <cell r="H6">
            <v>4619226.5692848982</v>
          </cell>
        </row>
        <row r="10">
          <cell r="H10">
            <v>0</v>
          </cell>
        </row>
        <row r="14">
          <cell r="H14">
            <v>846073</v>
          </cell>
        </row>
        <row r="30">
          <cell r="H30">
            <v>1992898.6133238107</v>
          </cell>
        </row>
        <row r="34">
          <cell r="H34">
            <v>2176607.9147419627</v>
          </cell>
        </row>
        <row r="38">
          <cell r="H38">
            <v>51606.655958830859</v>
          </cell>
        </row>
        <row r="42">
          <cell r="H42">
            <v>58920.900528394508</v>
          </cell>
        </row>
        <row r="46">
          <cell r="H46">
            <v>154626.35999999999</v>
          </cell>
        </row>
        <row r="50">
          <cell r="H50">
            <v>7224.4377140000088</v>
          </cell>
        </row>
        <row r="54">
          <cell r="H54">
            <v>0</v>
          </cell>
        </row>
        <row r="58">
          <cell r="H58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case"/>
      <sheetName val="Div 9 gas cost"/>
    </sheetNames>
    <sheetDataSet>
      <sheetData sheetId="0">
        <row r="7"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O8">
            <v>7324.2615980656183</v>
          </cell>
          <cell r="P8">
            <v>5554.5048695551986</v>
          </cell>
          <cell r="Q8">
            <v>5780.096747083735</v>
          </cell>
          <cell r="R8">
            <v>6580.9363857371791</v>
          </cell>
          <cell r="S8">
            <v>4318.9815720120605</v>
          </cell>
          <cell r="T8">
            <v>4014.4276462716489</v>
          </cell>
          <cell r="Y8">
            <v>3586.6638410069272</v>
          </cell>
          <cell r="Z8">
            <v>6498.2402368425446</v>
          </cell>
          <cell r="AA8">
            <v>6066.7425515505611</v>
          </cell>
          <cell r="AB8">
            <v>6533.1244579465729</v>
          </cell>
          <cell r="AC8">
            <v>5608.7518491276314</v>
          </cell>
          <cell r="AD8">
            <v>5836.4110435169632</v>
          </cell>
          <cell r="AE8">
            <v>6646.5570595755271</v>
          </cell>
          <cell r="AF8">
            <v>4207.5874879541889</v>
          </cell>
          <cell r="AG8">
            <v>3910.9402805402028</v>
          </cell>
          <cell r="AH8">
            <v>3185.8556916948978</v>
          </cell>
          <cell r="AI8">
            <v>4967.839963210834</v>
          </cell>
          <cell r="AJ8">
            <v>4191.1586332012757</v>
          </cell>
        </row>
        <row r="9">
          <cell r="O9">
            <v>5782058.4411809836</v>
          </cell>
          <cell r="P9">
            <v>3445775.071468797</v>
          </cell>
          <cell r="Q9">
            <v>3107251.4596612607</v>
          </cell>
          <cell r="R9">
            <v>3438833.3638782799</v>
          </cell>
          <cell r="S9">
            <v>4828545.1402501734</v>
          </cell>
          <cell r="T9">
            <v>2228393.9559807465</v>
          </cell>
          <cell r="Y9">
            <v>790374.1919631788</v>
          </cell>
          <cell r="Z9">
            <v>8617999.1670782939</v>
          </cell>
          <cell r="AA9">
            <v>5454285.6793332733</v>
          </cell>
          <cell r="AB9">
            <v>5157503.8539492507</v>
          </cell>
          <cell r="AC9">
            <v>3479427.5561281783</v>
          </cell>
          <cell r="AD9">
            <v>3137524.7729721894</v>
          </cell>
          <cell r="AE9">
            <v>3473123.0985495574</v>
          </cell>
          <cell r="AF9">
            <v>4704008.5210814839</v>
          </cell>
          <cell r="AG9">
            <v>2170948.5015756832</v>
          </cell>
          <cell r="AH9">
            <v>4770002.9786155894</v>
          </cell>
          <cell r="AI9">
            <v>7781592.0058075618</v>
          </cell>
          <cell r="AJ9">
            <v>1864527.7360798607</v>
          </cell>
        </row>
        <row r="10">
          <cell r="O10">
            <v>-293.53013022036407</v>
          </cell>
          <cell r="P10">
            <v>-701.50265946338197</v>
          </cell>
          <cell r="Q10">
            <v>-1696.0802371570996</v>
          </cell>
          <cell r="R10">
            <v>-1026.7316105785051</v>
          </cell>
          <cell r="S10">
            <v>-72.123899498415383</v>
          </cell>
          <cell r="T10">
            <v>-1267.0630474528411</v>
          </cell>
          <cell r="Y10">
            <v>-1129.2762361200871</v>
          </cell>
          <cell r="Z10">
            <v>-90.882472707643046</v>
          </cell>
          <cell r="AA10">
            <v>0</v>
          </cell>
          <cell r="AB10">
            <v>-261.82419172375967</v>
          </cell>
          <cell r="AC10">
            <v>-708.35374724377027</v>
          </cell>
          <cell r="AD10">
            <v>-1712.6047988433716</v>
          </cell>
          <cell r="AE10">
            <v>-1036.9694880154173</v>
          </cell>
          <cell r="AF10">
            <v>-70.263698062185341</v>
          </cell>
          <cell r="AG10">
            <v>-1234.3996073436806</v>
          </cell>
          <cell r="AH10">
            <v>-798.5500495604382</v>
          </cell>
          <cell r="AI10">
            <v>-301.43366523988402</v>
          </cell>
          <cell r="AJ10">
            <v>-257.14120645865165</v>
          </cell>
        </row>
        <row r="11">
          <cell r="O11">
            <v>842169.92141525832</v>
          </cell>
          <cell r="P11">
            <v>633324.81376741116</v>
          </cell>
          <cell r="Q11">
            <v>656352.35715170437</v>
          </cell>
          <cell r="R11">
            <v>686034.32081669837</v>
          </cell>
          <cell r="S11">
            <v>2799494.3176577878</v>
          </cell>
          <cell r="T11">
            <v>5211307.2135423655</v>
          </cell>
          <cell r="Y11">
            <v>5479164.7008747552</v>
          </cell>
          <cell r="Z11">
            <v>3599785.2337756976</v>
          </cell>
          <cell r="AA11">
            <v>927598.55447845976</v>
          </cell>
          <cell r="AB11">
            <v>751202.12975436042</v>
          </cell>
          <cell r="AC11">
            <v>639510.05602427979</v>
          </cell>
          <cell r="AD11">
            <v>662747.06347282918</v>
          </cell>
          <cell r="AE11">
            <v>692874.9939017311</v>
          </cell>
          <cell r="AF11">
            <v>2727290.4658605163</v>
          </cell>
          <cell r="AG11">
            <v>5076965.6577672474</v>
          </cell>
          <cell r="AH11">
            <v>9419573.9626285583</v>
          </cell>
          <cell r="AI11">
            <v>12045677.216553343</v>
          </cell>
          <cell r="AJ11">
            <v>5495036.9617113387</v>
          </cell>
        </row>
        <row r="12">
          <cell r="O12">
            <v>757374.05991727882</v>
          </cell>
          <cell r="P12">
            <v>660615.50745652197</v>
          </cell>
          <cell r="Q12">
            <v>753215.40531069785</v>
          </cell>
          <cell r="R12">
            <v>766363.28117374331</v>
          </cell>
          <cell r="S12">
            <v>1468924.1463515474</v>
          </cell>
          <cell r="T12">
            <v>2433567.1194687164</v>
          </cell>
          <cell r="Y12">
            <v>2504115.0790251358</v>
          </cell>
          <cell r="Z12">
            <v>1997380.1153309604</v>
          </cell>
          <cell r="AA12">
            <v>820665.54214418773</v>
          </cell>
          <cell r="AB12">
            <v>675565.57455111505</v>
          </cell>
          <cell r="AC12">
            <v>667067.27890687203</v>
          </cell>
          <cell r="AD12">
            <v>760553.82843210001</v>
          </cell>
          <cell r="AE12">
            <v>774004.94065317232</v>
          </cell>
          <cell r="AF12">
            <v>1431038.0250275584</v>
          </cell>
          <cell r="AG12">
            <v>2370832.5349362548</v>
          </cell>
          <cell r="AH12">
            <v>4356114.6386678871</v>
          </cell>
          <cell r="AI12">
            <v>5641449.6746461364</v>
          </cell>
          <cell r="AJ12">
            <v>2565523.6379590835</v>
          </cell>
        </row>
        <row r="13">
          <cell r="O13">
            <v>177083.1641640086</v>
          </cell>
          <cell r="P13">
            <v>150310.06025453439</v>
          </cell>
          <cell r="Q13">
            <v>130195.95226936085</v>
          </cell>
          <cell r="R13">
            <v>178489.03715741987</v>
          </cell>
          <cell r="S13">
            <v>228686.11565799391</v>
          </cell>
          <cell r="T13">
            <v>318471.91582604626</v>
          </cell>
          <cell r="Y13">
            <v>452926.51032822736</v>
          </cell>
          <cell r="Z13">
            <v>468623.60817401164</v>
          </cell>
          <cell r="AA13">
            <v>176125.23973326126</v>
          </cell>
          <cell r="AB13">
            <v>157955.35637285246</v>
          </cell>
          <cell r="AC13">
            <v>151778.03390108765</v>
          </cell>
          <cell r="AD13">
            <v>131464.42471390989</v>
          </cell>
          <cell r="AE13">
            <v>180268.80985305211</v>
          </cell>
          <cell r="AF13">
            <v>222787.90100582832</v>
          </cell>
          <cell r="AG13">
            <v>310262.07309569005</v>
          </cell>
          <cell r="AH13">
            <v>645928.38648293167</v>
          </cell>
          <cell r="AI13">
            <v>1306608.5850706864</v>
          </cell>
          <cell r="AJ13">
            <v>649412.81680689938</v>
          </cell>
        </row>
        <row r="14">
          <cell r="O14">
            <v>119398.91110083784</v>
          </cell>
          <cell r="P14">
            <v>103655.18345780151</v>
          </cell>
          <cell r="Q14">
            <v>90544.068939283447</v>
          </cell>
          <cell r="R14">
            <v>121015.56018335611</v>
          </cell>
          <cell r="S14">
            <v>274988.49662852997</v>
          </cell>
          <cell r="T14">
            <v>460088.04176891362</v>
          </cell>
          <cell r="Y14">
            <v>486524.52888002997</v>
          </cell>
          <cell r="Z14">
            <v>416844.83979424043</v>
          </cell>
          <cell r="AA14">
            <v>160924.20691505069</v>
          </cell>
          <cell r="AB14">
            <v>106501.92322064079</v>
          </cell>
          <cell r="AC14">
            <v>104667.51142431969</v>
          </cell>
          <cell r="AD14">
            <v>91426.22122178461</v>
          </cell>
          <cell r="AE14">
            <v>122222.24600110199</v>
          </cell>
          <cell r="AF14">
            <v>267896.06263740378</v>
          </cell>
          <cell r="AG14">
            <v>448227.49684380466</v>
          </cell>
          <cell r="AH14">
            <v>786578.38213279576</v>
          </cell>
          <cell r="AI14">
            <v>1107854.0403507324</v>
          </cell>
          <cell r="AJ14">
            <v>485814.36560709961</v>
          </cell>
        </row>
        <row r="15">
          <cell r="O15">
            <v>-77607.598373707428</v>
          </cell>
          <cell r="P15">
            <v>85243.046248953266</v>
          </cell>
          <cell r="Q15">
            <v>-4047.8485697393185</v>
          </cell>
          <cell r="R15">
            <v>1158383.0539583352</v>
          </cell>
          <cell r="S15">
            <v>1984840.1719477675</v>
          </cell>
          <cell r="T15">
            <v>3086269.6882969714</v>
          </cell>
          <cell r="Y15">
            <v>-1786375.0331037717</v>
          </cell>
          <cell r="Z15">
            <v>-2960757.3048389964</v>
          </cell>
          <cell r="AA15">
            <v>-151496.61589355147</v>
          </cell>
          <cell r="AB15">
            <v>-69224.739213529698</v>
          </cell>
          <cell r="AC15">
            <v>86075.555697978052</v>
          </cell>
          <cell r="AD15">
            <v>-4087.2859276673025</v>
          </cell>
          <cell r="AE15">
            <v>1169933.6710906345</v>
          </cell>
          <cell r="AF15">
            <v>1933647.6745339877</v>
          </cell>
          <cell r="AG15">
            <v>3006709.1760343346</v>
          </cell>
          <cell r="AH15">
            <v>-96325.545794015619</v>
          </cell>
          <cell r="AI15">
            <v>-5403032.3904989883</v>
          </cell>
          <cell r="AJ15">
            <v>1150254.5191644239</v>
          </cell>
        </row>
        <row r="16">
          <cell r="O16">
            <v>-2938143.4967744481</v>
          </cell>
          <cell r="P16">
            <v>-2094408.5142190468</v>
          </cell>
          <cell r="Q16">
            <v>-2009257.8361541391</v>
          </cell>
          <cell r="R16">
            <v>-2346774.4690224743</v>
          </cell>
          <cell r="S16">
            <v>-3530039.1282410589</v>
          </cell>
          <cell r="T16">
            <v>-5662828.095563788</v>
          </cell>
          <cell r="Y16">
            <v>-7613424.9356455095</v>
          </cell>
          <cell r="Z16">
            <v>-8532907.5832408406</v>
          </cell>
          <cell r="AA16">
            <v>-3481430.1741535147</v>
          </cell>
          <cell r="AB16">
            <v>-2620777.1094363146</v>
          </cell>
          <cell r="AC16">
            <v>-2114863.1431293404</v>
          </cell>
          <cell r="AD16">
            <v>-2028833.6229180992</v>
          </cell>
          <cell r="AE16">
            <v>-2370174.9264919674</v>
          </cell>
          <cell r="AF16">
            <v>-3438993.2488311892</v>
          </cell>
          <cell r="AG16">
            <v>-5516846.8464698642</v>
          </cell>
          <cell r="AH16">
            <v>-9464121.4530690759</v>
          </cell>
          <cell r="AI16">
            <v>-16862795.9459095</v>
          </cell>
          <cell r="AJ16">
            <v>-7781002.1561101377</v>
          </cell>
        </row>
        <row r="17">
          <cell r="O17">
            <v>-2793874.8838667795</v>
          </cell>
          <cell r="P17">
            <v>-1537644.54769944</v>
          </cell>
          <cell r="Q17">
            <v>-914547.82522040326</v>
          </cell>
          <cell r="R17">
            <v>-1047042.391719118</v>
          </cell>
          <cell r="S17">
            <v>-1230718.8626861146</v>
          </cell>
          <cell r="T17">
            <v>428966.49338164646</v>
          </cell>
          <cell r="Y17">
            <v>1231297.4311803493</v>
          </cell>
          <cell r="Z17">
            <v>-1368385.6917066008</v>
          </cell>
          <cell r="AA17">
            <v>-1501512.8033388688</v>
          </cell>
          <cell r="AB17">
            <v>-2492091.8090983201</v>
          </cell>
          <cell r="AC17">
            <v>-1552661.6508126098</v>
          </cell>
          <cell r="AD17">
            <v>-923458.07700084464</v>
          </cell>
          <cell r="AE17">
            <v>-1057482.7946123648</v>
          </cell>
          <cell r="AF17">
            <v>-1198976.4719961267</v>
          </cell>
          <cell r="AG17">
            <v>417908.22647569003</v>
          </cell>
          <cell r="AH17">
            <v>1698159.8411006324</v>
          </cell>
          <cell r="AI17">
            <v>3040343.6163263246</v>
          </cell>
          <cell r="AJ17">
            <v>1559521.7938194678</v>
          </cell>
        </row>
        <row r="18">
          <cell r="O18">
            <v>0</v>
          </cell>
          <cell r="P18">
            <v>207.42057949657493</v>
          </cell>
          <cell r="Q18">
            <v>0</v>
          </cell>
          <cell r="R18">
            <v>0</v>
          </cell>
          <cell r="S18">
            <v>18607.384816867878</v>
          </cell>
          <cell r="T18">
            <v>1414768.4063697604</v>
          </cell>
          <cell r="Y18">
            <v>3565807.2322655031</v>
          </cell>
          <cell r="Z18">
            <v>134253.3070739182</v>
          </cell>
          <cell r="AA18">
            <v>0</v>
          </cell>
          <cell r="AB18">
            <v>0</v>
          </cell>
          <cell r="AC18">
            <v>209.44631179911119</v>
          </cell>
          <cell r="AD18">
            <v>0</v>
          </cell>
          <cell r="AE18">
            <v>0</v>
          </cell>
          <cell r="AF18">
            <v>18127.467837870045</v>
          </cell>
          <cell r="AG18">
            <v>1378297.2905853572</v>
          </cell>
          <cell r="AH18">
            <v>1623795.1522945259</v>
          </cell>
          <cell r="AI18">
            <v>3203605.6198149449</v>
          </cell>
          <cell r="AJ18">
            <v>2511941.7675222508</v>
          </cell>
        </row>
        <row r="19">
          <cell r="O19">
            <v>-1808945.5713518986</v>
          </cell>
          <cell r="P19">
            <v>-1190772.5920280172</v>
          </cell>
          <cell r="Q19">
            <v>-1392591.8772589799</v>
          </cell>
          <cell r="R19">
            <v>-1315934.0339575321</v>
          </cell>
          <cell r="S19">
            <v>-1769235.0825297958</v>
          </cell>
          <cell r="T19">
            <v>-313866.95897423191</v>
          </cell>
          <cell r="Y19">
            <v>-58250.151066670471</v>
          </cell>
          <cell r="Z19">
            <v>-1853715.2798672935</v>
          </cell>
          <cell r="AA19">
            <v>-2372685.9709928157</v>
          </cell>
          <cell r="AB19">
            <v>-1613550.5807731457</v>
          </cell>
          <cell r="AC19">
            <v>-1202402.0383949135</v>
          </cell>
          <cell r="AD19">
            <v>-1406159.6141357089</v>
          </cell>
          <cell r="AE19">
            <v>-1329055.6435543455</v>
          </cell>
          <cell r="AF19">
            <v>-1723603.4172366175</v>
          </cell>
          <cell r="AG19">
            <v>-305775.82677894877</v>
          </cell>
          <cell r="AH19">
            <v>-590083.28785560082</v>
          </cell>
          <cell r="AI19">
            <v>-93553.946638216512</v>
          </cell>
          <cell r="AJ19">
            <v>-77898.56494751203</v>
          </cell>
        </row>
        <row r="20">
          <cell r="O20">
            <v>760.10061049255467</v>
          </cell>
          <cell r="P20">
            <v>176.22297115463903</v>
          </cell>
          <cell r="Q20">
            <v>1082.8488807818489</v>
          </cell>
          <cell r="R20">
            <v>-8888.3043557450528</v>
          </cell>
          <cell r="S20">
            <v>7593.3452546804374</v>
          </cell>
          <cell r="T20">
            <v>-2933.3443691687239</v>
          </cell>
          <cell r="Y20">
            <v>-3252.498169802845</v>
          </cell>
          <cell r="Z20">
            <v>-1498.9296713934184</v>
          </cell>
          <cell r="AA20">
            <v>7995.668310147611</v>
          </cell>
          <cell r="AB20">
            <v>677.9976141513755</v>
          </cell>
          <cell r="AC20">
            <v>177.94401814999156</v>
          </cell>
          <cell r="AD20">
            <v>1093.3988552084024</v>
          </cell>
          <cell r="AE20">
            <v>-8976.9325519343365</v>
          </cell>
          <cell r="AF20">
            <v>7397.4996078590602</v>
          </cell>
          <cell r="AG20">
            <v>-2857.7260972015174</v>
          </cell>
          <cell r="AH20">
            <v>-2871.0639889581848</v>
          </cell>
          <cell r="AI20">
            <v>-5483.0899112261595</v>
          </cell>
          <cell r="AJ20">
            <v>-6731.2336609825015</v>
          </cell>
        </row>
        <row r="21">
          <cell r="O21">
            <v>1751874.7793442977</v>
          </cell>
          <cell r="P21">
            <v>1371990.1596881193</v>
          </cell>
          <cell r="Q21">
            <v>1205062.0624623343</v>
          </cell>
          <cell r="R21">
            <v>1265363.3260456857</v>
          </cell>
          <cell r="S21">
            <v>1678593.6907174131</v>
          </cell>
          <cell r="T21">
            <v>1901818.8342070479</v>
          </cell>
          <cell r="Y21">
            <v>2081738.8436982622</v>
          </cell>
          <cell r="Z21">
            <v>2996348.7228983887</v>
          </cell>
          <cell r="AA21">
            <v>1895276.5266003753</v>
          </cell>
          <cell r="AB21">
            <v>1562644.3450923078</v>
          </cell>
          <cell r="AC21">
            <v>1385389.4317950029</v>
          </cell>
          <cell r="AD21">
            <v>1216802.7348377891</v>
          </cell>
          <cell r="AE21">
            <v>1277980.6785375604</v>
          </cell>
          <cell r="AF21">
            <v>1635299.8253546865</v>
          </cell>
          <cell r="AG21">
            <v>1852792.1139388857</v>
          </cell>
          <cell r="AH21">
            <v>1959859.4632717941</v>
          </cell>
          <cell r="AI21">
            <v>2926142.2443009159</v>
          </cell>
          <cell r="AJ21">
            <v>1918975.4062093284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 monthly 9220"/>
    </sheetNames>
    <sheetDataSet>
      <sheetData sheetId="0">
        <row r="11">
          <cell r="C11">
            <v>376530.74</v>
          </cell>
          <cell r="D11">
            <v>297445.57</v>
          </cell>
          <cell r="E11">
            <v>365474.22</v>
          </cell>
          <cell r="F11">
            <v>332758.24</v>
          </cell>
          <cell r="G11">
            <v>373505.21</v>
          </cell>
          <cell r="H11">
            <v>298846.02</v>
          </cell>
        </row>
        <row r="12">
          <cell r="C12">
            <v>513970.03</v>
          </cell>
          <cell r="D12">
            <v>461379.6</v>
          </cell>
          <cell r="E12">
            <v>603222.18000000005</v>
          </cell>
          <cell r="F12">
            <v>490841.09</v>
          </cell>
          <cell r="G12">
            <v>747763.41</v>
          </cell>
          <cell r="H12">
            <v>314607.45</v>
          </cell>
        </row>
        <row r="13">
          <cell r="C13">
            <v>186586.44</v>
          </cell>
          <cell r="D13">
            <v>162752.47</v>
          </cell>
          <cell r="E13">
            <v>176247.34</v>
          </cell>
          <cell r="F13">
            <v>174271.12</v>
          </cell>
          <cell r="G13">
            <v>184806.63</v>
          </cell>
          <cell r="H13">
            <v>162958.17000000001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v 9"/>
      <sheetName val="Div 91"/>
      <sheetName val="Div 2"/>
      <sheetName val="Div 12"/>
      <sheetName val="2019 PlanIt Budget"/>
      <sheetName val="2018 PlanIt Budget"/>
    </sheetNames>
    <sheetDataSet>
      <sheetData sheetId="0">
        <row r="5">
          <cell r="C5">
            <v>245589.08</v>
          </cell>
          <cell r="D5">
            <v>242067.32</v>
          </cell>
          <cell r="E5">
            <v>213654.24999999997</v>
          </cell>
          <cell r="F5">
            <v>243911.03999999998</v>
          </cell>
          <cell r="G5">
            <v>333707.56</v>
          </cell>
          <cell r="H5">
            <v>217608.17</v>
          </cell>
          <cell r="I5">
            <v>319095.51659698557</v>
          </cell>
          <cell r="J5">
            <v>319095.51659698557</v>
          </cell>
          <cell r="K5">
            <v>319095.51659698557</v>
          </cell>
          <cell r="L5">
            <v>333299.79601866048</v>
          </cell>
          <cell r="M5">
            <v>333299.79601866048</v>
          </cell>
          <cell r="N5">
            <v>333299.79601866048</v>
          </cell>
        </row>
        <row r="6">
          <cell r="C6">
            <v>29755.010000000002</v>
          </cell>
          <cell r="D6">
            <v>-631.25</v>
          </cell>
          <cell r="E6">
            <v>-1029.44</v>
          </cell>
          <cell r="F6">
            <v>75.769999999999982</v>
          </cell>
          <cell r="G6">
            <v>694.58</v>
          </cell>
          <cell r="H6">
            <v>158.74</v>
          </cell>
          <cell r="I6">
            <v>6188.4453295903022</v>
          </cell>
          <cell r="J6">
            <v>6188.4453295903022</v>
          </cell>
          <cell r="K6">
            <v>6188.4453295903022</v>
          </cell>
          <cell r="L6">
            <v>6463.9189795641423</v>
          </cell>
          <cell r="M6">
            <v>6463.9189795641423</v>
          </cell>
          <cell r="N6">
            <v>6463.9189795641423</v>
          </cell>
        </row>
        <row r="7">
          <cell r="C7">
            <v>71227.33</v>
          </cell>
          <cell r="D7">
            <v>-15356.75</v>
          </cell>
          <cell r="E7">
            <v>4676.9700000000012</v>
          </cell>
          <cell r="F7">
            <v>434.41000000000008</v>
          </cell>
          <cell r="G7">
            <v>1470.72</v>
          </cell>
          <cell r="H7">
            <v>544.27</v>
          </cell>
          <cell r="I7">
            <v>13432.369973271014</v>
          </cell>
          <cell r="J7">
            <v>13432.369973271014</v>
          </cell>
          <cell r="K7">
            <v>13432.369973271014</v>
          </cell>
          <cell r="L7">
            <v>14030.301083148162</v>
          </cell>
          <cell r="M7">
            <v>14030.301083148162</v>
          </cell>
          <cell r="N7">
            <v>14030.301083148162</v>
          </cell>
        </row>
        <row r="8">
          <cell r="C8">
            <v>69700</v>
          </cell>
          <cell r="D8">
            <v>69700</v>
          </cell>
          <cell r="E8">
            <v>69700</v>
          </cell>
          <cell r="F8">
            <v>69700</v>
          </cell>
          <cell r="G8">
            <v>69700</v>
          </cell>
          <cell r="H8">
            <v>69700</v>
          </cell>
          <cell r="I8">
            <v>89169.668100153067</v>
          </cell>
          <cell r="J8">
            <v>89169.668100153067</v>
          </cell>
          <cell r="K8">
            <v>89169.668100153067</v>
          </cell>
          <cell r="L8">
            <v>93138.983918627186</v>
          </cell>
          <cell r="M8">
            <v>93138.983918627186</v>
          </cell>
          <cell r="N8">
            <v>93138.983918627186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-15845.68</v>
          </cell>
          <cell r="H9">
            <v>-1095601</v>
          </cell>
          <cell r="I9"/>
        </row>
        <row r="10">
          <cell r="C10">
            <v>0</v>
          </cell>
          <cell r="D10">
            <v>0</v>
          </cell>
          <cell r="E10">
            <v>13529.26</v>
          </cell>
          <cell r="F10">
            <v>742.73</v>
          </cell>
          <cell r="G10">
            <v>151.59</v>
          </cell>
          <cell r="H10">
            <v>0</v>
          </cell>
          <cell r="I10"/>
        </row>
        <row r="15">
          <cell r="C15">
            <v>183399.07</v>
          </cell>
          <cell r="D15">
            <v>162534.79</v>
          </cell>
          <cell r="E15">
            <v>190013.95</v>
          </cell>
          <cell r="F15">
            <v>166897.26999999999</v>
          </cell>
          <cell r="G15">
            <v>214727.33</v>
          </cell>
          <cell r="H15">
            <v>145476.67000000001</v>
          </cell>
          <cell r="I15">
            <v>202437.06290180641</v>
          </cell>
          <cell r="J15">
            <v>202437.06290180641</v>
          </cell>
          <cell r="K15">
            <v>202437.06290180641</v>
          </cell>
          <cell r="L15">
            <v>211448.3716155517</v>
          </cell>
          <cell r="M15">
            <v>211448.3716155517</v>
          </cell>
          <cell r="N15">
            <v>211448.3716155517</v>
          </cell>
        </row>
        <row r="16">
          <cell r="C16">
            <v>17825.919999999998</v>
          </cell>
          <cell r="D16">
            <v>-586.52000000000044</v>
          </cell>
          <cell r="E16">
            <v>-501.05000000000018</v>
          </cell>
          <cell r="F16">
            <v>38.490000000000009</v>
          </cell>
          <cell r="G16">
            <v>402.90999999999997</v>
          </cell>
          <cell r="H16">
            <v>90.98</v>
          </cell>
          <cell r="I16">
            <v>3288.8752938576599</v>
          </cell>
          <cell r="J16">
            <v>3288.8752938576599</v>
          </cell>
          <cell r="K16">
            <v>3288.8752938576599</v>
          </cell>
          <cell r="L16">
            <v>3435.2766996532814</v>
          </cell>
          <cell r="M16">
            <v>3435.2766996532814</v>
          </cell>
          <cell r="N16">
            <v>3435.2766996532814</v>
          </cell>
        </row>
        <row r="17">
          <cell r="C17">
            <v>42673.350000000006</v>
          </cell>
          <cell r="D17">
            <v>-9438.82</v>
          </cell>
          <cell r="E17">
            <v>2993.1299999999997</v>
          </cell>
          <cell r="F17">
            <v>239.33000000000004</v>
          </cell>
          <cell r="G17">
            <v>851.19</v>
          </cell>
          <cell r="H17">
            <v>313.21000000000004</v>
          </cell>
          <cell r="I17">
            <v>7166.1677789255127</v>
          </cell>
          <cell r="J17">
            <v>7166.1677789255127</v>
          </cell>
          <cell r="K17">
            <v>7166.1677789255127</v>
          </cell>
          <cell r="L17">
            <v>7485.1634668925699</v>
          </cell>
          <cell r="M17">
            <v>7485.1634668925699</v>
          </cell>
          <cell r="N17">
            <v>7485.1634668925699</v>
          </cell>
        </row>
        <row r="18">
          <cell r="C18">
            <v>52600</v>
          </cell>
          <cell r="D18">
            <v>52600</v>
          </cell>
          <cell r="E18">
            <v>52600</v>
          </cell>
          <cell r="F18">
            <v>52600</v>
          </cell>
          <cell r="G18">
            <v>52600</v>
          </cell>
          <cell r="H18">
            <v>52600</v>
          </cell>
          <cell r="I18">
            <v>60099.894025410482</v>
          </cell>
          <cell r="J18">
            <v>60099.894025410482</v>
          </cell>
          <cell r="K18">
            <v>60099.894025410482</v>
          </cell>
        </row>
        <row r="24">
          <cell r="C24">
            <v>34981.49</v>
          </cell>
          <cell r="D24">
            <v>36189.93</v>
          </cell>
          <cell r="E24">
            <v>14919.94</v>
          </cell>
          <cell r="F24">
            <v>31892.87</v>
          </cell>
          <cell r="G24">
            <v>36379.240000000005</v>
          </cell>
          <cell r="H24">
            <v>30789.21</v>
          </cell>
        </row>
        <row r="25">
          <cell r="C25">
            <v>1554.1599999999999</v>
          </cell>
          <cell r="D25">
            <v>-122.20000000000005</v>
          </cell>
          <cell r="E25">
            <v>-141.10000000000002</v>
          </cell>
          <cell r="F25">
            <v>3.16</v>
          </cell>
          <cell r="G25">
            <v>12.48</v>
          </cell>
          <cell r="H25">
            <v>3.5700000000000003</v>
          </cell>
        </row>
        <row r="26">
          <cell r="C26">
            <v>948.06</v>
          </cell>
          <cell r="D26">
            <v>-284.15999999999997</v>
          </cell>
          <cell r="E26">
            <v>60.66</v>
          </cell>
          <cell r="F26">
            <v>-5.2399999999999993</v>
          </cell>
          <cell r="G26">
            <v>2.2200000000000002</v>
          </cell>
          <cell r="H26">
            <v>3.69</v>
          </cell>
        </row>
        <row r="27">
          <cell r="C27">
            <v>0</v>
          </cell>
          <cell r="D27">
            <v>20.84</v>
          </cell>
          <cell r="E27">
            <v>41.69</v>
          </cell>
          <cell r="F27">
            <v>0</v>
          </cell>
          <cell r="G27">
            <v>0</v>
          </cell>
          <cell r="H27">
            <v>0</v>
          </cell>
          <cell r="I27"/>
        </row>
        <row r="28">
          <cell r="C28">
            <v>300</v>
          </cell>
          <cell r="D28">
            <v>-396474</v>
          </cell>
          <cell r="E28">
            <v>300</v>
          </cell>
          <cell r="F28">
            <v>300</v>
          </cell>
          <cell r="G28">
            <v>300</v>
          </cell>
          <cell r="H28">
            <v>800</v>
          </cell>
          <cell r="I28">
            <v>800</v>
          </cell>
          <cell r="J28">
            <v>800</v>
          </cell>
          <cell r="K28">
            <v>800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</row>
        <row r="35">
          <cell r="C35">
            <v>37939.85</v>
          </cell>
          <cell r="D35">
            <v>23145.31</v>
          </cell>
          <cell r="E35">
            <v>45027.98</v>
          </cell>
          <cell r="F35">
            <v>19475.150000000001</v>
          </cell>
          <cell r="G35">
            <v>23031.050000000003</v>
          </cell>
          <cell r="H35">
            <v>24152.219999999998</v>
          </cell>
        </row>
        <row r="36">
          <cell r="C36">
            <v>3586.75</v>
          </cell>
          <cell r="D36">
            <v>-414.59999999999991</v>
          </cell>
          <cell r="E36">
            <v>-292.8</v>
          </cell>
          <cell r="F36">
            <v>6.5</v>
          </cell>
          <cell r="G36">
            <v>26.33</v>
          </cell>
          <cell r="H36">
            <v>7.12</v>
          </cell>
        </row>
        <row r="37">
          <cell r="C37">
            <v>2187.94</v>
          </cell>
          <cell r="D37">
            <v>-679.84</v>
          </cell>
          <cell r="E37">
            <v>113.78999999999999</v>
          </cell>
          <cell r="F37">
            <v>-9.89</v>
          </cell>
          <cell r="G37">
            <v>4.67</v>
          </cell>
          <cell r="H37">
            <v>7.6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418588</v>
          </cell>
          <cell r="D39">
            <v>418588</v>
          </cell>
          <cell r="E39">
            <v>418588</v>
          </cell>
          <cell r="F39">
            <v>418588</v>
          </cell>
          <cell r="G39">
            <v>418588</v>
          </cell>
          <cell r="H39">
            <v>418588</v>
          </cell>
          <cell r="I39">
            <v>410845</v>
          </cell>
          <cell r="J39">
            <v>410845</v>
          </cell>
          <cell r="K39">
            <v>410841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137061.62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22304.63</v>
          </cell>
          <cell r="D41">
            <v>0</v>
          </cell>
          <cell r="E41">
            <v>2868.8900000000003</v>
          </cell>
          <cell r="F41">
            <v>45644.119999999995</v>
          </cell>
          <cell r="G41">
            <v>42.9</v>
          </cell>
          <cell r="H41">
            <v>0</v>
          </cell>
          <cell r="I41">
            <v>15032</v>
          </cell>
          <cell r="J41">
            <v>191</v>
          </cell>
          <cell r="K41">
            <v>47280</v>
          </cell>
          <cell r="L41">
            <v>11109.77</v>
          </cell>
          <cell r="M41">
            <v>66</v>
          </cell>
          <cell r="N41">
            <v>338</v>
          </cell>
        </row>
        <row r="42">
          <cell r="C42">
            <v>24522.720000000001</v>
          </cell>
          <cell r="D42">
            <v>24522.720000000001</v>
          </cell>
          <cell r="E42">
            <v>24522.720000000001</v>
          </cell>
          <cell r="F42">
            <v>24522.720000000001</v>
          </cell>
          <cell r="G42">
            <v>24522.720000000001</v>
          </cell>
          <cell r="H42">
            <v>24522.76</v>
          </cell>
          <cell r="I42">
            <v>26088</v>
          </cell>
          <cell r="J42">
            <v>26088</v>
          </cell>
          <cell r="K42">
            <v>26088</v>
          </cell>
          <cell r="L42">
            <v>27296</v>
          </cell>
          <cell r="M42">
            <v>27296</v>
          </cell>
          <cell r="N42">
            <v>27296</v>
          </cell>
        </row>
        <row r="43">
          <cell r="C43">
            <v>16726.78</v>
          </cell>
          <cell r="D43">
            <v>11571.12</v>
          </cell>
          <cell r="E43">
            <v>13827.51</v>
          </cell>
          <cell r="F43">
            <v>12398.48</v>
          </cell>
          <cell r="G43">
            <v>15151.86</v>
          </cell>
          <cell r="H43">
            <v>11197.18</v>
          </cell>
        </row>
        <row r="44">
          <cell r="C44">
            <v>21550.87</v>
          </cell>
          <cell r="D44">
            <v>15312.85</v>
          </cell>
          <cell r="E44">
            <v>15558.85</v>
          </cell>
          <cell r="F44">
            <v>16300.88</v>
          </cell>
          <cell r="G44">
            <v>20184.490000000002</v>
          </cell>
          <cell r="H44">
            <v>-41809.89</v>
          </cell>
        </row>
        <row r="45">
          <cell r="C45">
            <v>18808.73</v>
          </cell>
          <cell r="D45">
            <v>-179541.32</v>
          </cell>
          <cell r="E45">
            <v>7557.2</v>
          </cell>
          <cell r="F45">
            <v>16024.58</v>
          </cell>
          <cell r="G45">
            <v>18266.22</v>
          </cell>
          <cell r="H45">
            <v>15728.75</v>
          </cell>
        </row>
      </sheetData>
      <sheetData sheetId="1"/>
      <sheetData sheetId="2"/>
      <sheetData sheetId="3"/>
      <sheetData sheetId="4"/>
      <sheetData sheetId="5">
        <row r="8">
          <cell r="D8">
            <v>10432</v>
          </cell>
          <cell r="E8">
            <v>66</v>
          </cell>
          <cell r="F8">
            <v>338</v>
          </cell>
          <cell r="G8">
            <v>21742</v>
          </cell>
          <cell r="H8">
            <v>0</v>
          </cell>
          <cell r="I8">
            <v>83</v>
          </cell>
          <cell r="J8">
            <v>45101</v>
          </cell>
          <cell r="K8">
            <v>43</v>
          </cell>
          <cell r="L8">
            <v>0</v>
          </cell>
          <cell r="M8">
            <v>15828</v>
          </cell>
          <cell r="N8">
            <v>211</v>
          </cell>
          <cell r="O8">
            <v>83</v>
          </cell>
        </row>
        <row r="10">
          <cell r="D10">
            <v>677.77</v>
          </cell>
          <cell r="E10">
            <v>0</v>
          </cell>
          <cell r="F10">
            <v>0</v>
          </cell>
          <cell r="G10">
            <v>562.83000000000004</v>
          </cell>
          <cell r="H10">
            <v>0</v>
          </cell>
          <cell r="I10">
            <v>2785.59</v>
          </cell>
          <cell r="J10">
            <v>542.84</v>
          </cell>
          <cell r="K10">
            <v>0</v>
          </cell>
          <cell r="L10">
            <v>0</v>
          </cell>
          <cell r="M10">
            <v>602.51</v>
          </cell>
          <cell r="N10">
            <v>0</v>
          </cell>
          <cell r="O10">
            <v>0</v>
          </cell>
        </row>
        <row r="11">
          <cell r="D11"/>
          <cell r="E11"/>
          <cell r="F11"/>
          <cell r="G11"/>
          <cell r="H11"/>
          <cell r="I11"/>
          <cell r="J11"/>
          <cell r="K11">
            <v>137062</v>
          </cell>
          <cell r="L11"/>
          <cell r="M11"/>
          <cell r="N11"/>
          <cell r="O11"/>
        </row>
        <row r="34">
          <cell r="D34">
            <v>35671.339999999997</v>
          </cell>
          <cell r="E34">
            <v>73316.179999999993</v>
          </cell>
          <cell r="F34">
            <v>26669.72</v>
          </cell>
          <cell r="G34">
            <v>37483.710000000006</v>
          </cell>
          <cell r="H34">
            <v>35804.410000000003</v>
          </cell>
          <cell r="I34">
            <v>14881.190000000006</v>
          </cell>
          <cell r="J34">
            <v>31890.79</v>
          </cell>
          <cell r="K34">
            <v>36393.94000000001</v>
          </cell>
          <cell r="L34">
            <v>29695.5</v>
          </cell>
          <cell r="M34">
            <v>26788.799999999999</v>
          </cell>
          <cell r="N34">
            <v>34393.67</v>
          </cell>
          <cell r="O34">
            <v>4015.05</v>
          </cell>
        </row>
        <row r="35">
          <cell r="D35">
            <v>17707.460000000003</v>
          </cell>
          <cell r="E35">
            <v>62409.38</v>
          </cell>
          <cell r="F35">
            <v>10269.339999999995</v>
          </cell>
          <cell r="G35">
            <v>43714.539999999994</v>
          </cell>
          <cell r="H35">
            <v>22050.870000000006</v>
          </cell>
          <cell r="I35">
            <v>44848.97</v>
          </cell>
          <cell r="J35">
            <v>19471.759999999998</v>
          </cell>
          <cell r="K35">
            <v>23062.050000000003</v>
          </cell>
          <cell r="L35">
            <v>20041.669999999995</v>
          </cell>
          <cell r="M35">
            <v>22493.259999999995</v>
          </cell>
          <cell r="N35">
            <v>13986.169999999998</v>
          </cell>
          <cell r="O35">
            <v>49874.99</v>
          </cell>
        </row>
      </sheetData>
      <sheetData sheetId="6">
        <row r="34">
          <cell r="N34">
            <v>11661</v>
          </cell>
          <cell r="O34">
            <v>8544</v>
          </cell>
          <cell r="P34">
            <v>23449</v>
          </cell>
        </row>
        <row r="35">
          <cell r="N35">
            <v>25815</v>
          </cell>
          <cell r="O35">
            <v>16772</v>
          </cell>
          <cell r="P35">
            <v>47927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9 Budget"/>
    </sheetNames>
    <sheetDataSet>
      <sheetData sheetId="0">
        <row r="6">
          <cell r="D6">
            <v>52600</v>
          </cell>
        </row>
        <row r="15">
          <cell r="D15">
            <v>485000</v>
          </cell>
        </row>
        <row r="19">
          <cell r="D19">
            <v>800</v>
          </cell>
          <cell r="E19">
            <v>800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"/>
      <sheetName val="Pivot"/>
      <sheetName val="Database"/>
    </sheetNames>
    <sheetDataSet>
      <sheetData sheetId="0">
        <row r="15">
          <cell r="D15">
            <v>44365.33</v>
          </cell>
        </row>
        <row r="16">
          <cell r="D16">
            <v>100</v>
          </cell>
        </row>
        <row r="17">
          <cell r="D17">
            <v>140</v>
          </cell>
        </row>
        <row r="18">
          <cell r="D18">
            <v>100</v>
          </cell>
        </row>
        <row r="19">
          <cell r="D19">
            <v>26.95</v>
          </cell>
        </row>
        <row r="20">
          <cell r="D20">
            <v>130</v>
          </cell>
        </row>
        <row r="21">
          <cell r="D21">
            <v>75</v>
          </cell>
        </row>
        <row r="22">
          <cell r="D22">
            <v>200</v>
          </cell>
        </row>
        <row r="23">
          <cell r="D23">
            <v>59</v>
          </cell>
        </row>
        <row r="24">
          <cell r="D24">
            <v>510</v>
          </cell>
        </row>
        <row r="25">
          <cell r="D25">
            <v>2500</v>
          </cell>
        </row>
        <row r="26">
          <cell r="D26">
            <v>1250</v>
          </cell>
        </row>
        <row r="27">
          <cell r="D27">
            <v>75</v>
          </cell>
        </row>
        <row r="28">
          <cell r="D28">
            <v>200</v>
          </cell>
        </row>
        <row r="29">
          <cell r="D29">
            <v>150</v>
          </cell>
        </row>
        <row r="30">
          <cell r="D30">
            <v>300</v>
          </cell>
        </row>
        <row r="31">
          <cell r="D31">
            <v>235</v>
          </cell>
        </row>
        <row r="32">
          <cell r="D32">
            <v>250</v>
          </cell>
        </row>
        <row r="33">
          <cell r="D33">
            <v>421</v>
          </cell>
        </row>
        <row r="34">
          <cell r="D34">
            <v>300</v>
          </cell>
        </row>
        <row r="35">
          <cell r="D35">
            <v>350</v>
          </cell>
        </row>
        <row r="36">
          <cell r="D36">
            <v>10000</v>
          </cell>
        </row>
        <row r="37">
          <cell r="D37">
            <v>13735</v>
          </cell>
        </row>
        <row r="38">
          <cell r="D38">
            <v>400</v>
          </cell>
        </row>
        <row r="39">
          <cell r="D39">
            <v>150</v>
          </cell>
        </row>
        <row r="40">
          <cell r="D40">
            <v>760</v>
          </cell>
        </row>
        <row r="41">
          <cell r="D41">
            <v>295</v>
          </cell>
        </row>
        <row r="42">
          <cell r="D42">
            <v>300</v>
          </cell>
        </row>
        <row r="43">
          <cell r="D43">
            <v>3000</v>
          </cell>
        </row>
        <row r="44">
          <cell r="D44">
            <v>200</v>
          </cell>
        </row>
        <row r="45">
          <cell r="D45">
            <v>775</v>
          </cell>
        </row>
        <row r="46">
          <cell r="D46">
            <v>2500</v>
          </cell>
        </row>
        <row r="47">
          <cell r="D47">
            <v>187</v>
          </cell>
        </row>
        <row r="48">
          <cell r="D48">
            <v>2999.4</v>
          </cell>
        </row>
        <row r="49">
          <cell r="D49">
            <v>11000</v>
          </cell>
        </row>
        <row r="50">
          <cell r="D50">
            <v>1348.08</v>
          </cell>
        </row>
        <row r="51">
          <cell r="D51">
            <v>100</v>
          </cell>
        </row>
        <row r="52">
          <cell r="D52">
            <v>395</v>
          </cell>
        </row>
        <row r="53">
          <cell r="D53">
            <v>7500</v>
          </cell>
        </row>
        <row r="54">
          <cell r="D54">
            <v>305</v>
          </cell>
        </row>
        <row r="55">
          <cell r="D55">
            <v>200</v>
          </cell>
        </row>
        <row r="56">
          <cell r="D56">
            <v>415</v>
          </cell>
        </row>
        <row r="57">
          <cell r="D57">
            <v>421</v>
          </cell>
        </row>
        <row r="58">
          <cell r="D58">
            <v>256</v>
          </cell>
        </row>
        <row r="59">
          <cell r="D59">
            <v>500</v>
          </cell>
        </row>
        <row r="60">
          <cell r="D60">
            <v>100</v>
          </cell>
        </row>
        <row r="61">
          <cell r="D61">
            <v>100</v>
          </cell>
        </row>
        <row r="62">
          <cell r="D62">
            <v>75</v>
          </cell>
        </row>
        <row r="63">
          <cell r="D63">
            <v>450</v>
          </cell>
        </row>
        <row r="64">
          <cell r="D64">
            <v>100</v>
          </cell>
        </row>
        <row r="65">
          <cell r="D65">
            <v>1000</v>
          </cell>
        </row>
        <row r="66">
          <cell r="D66">
            <v>300</v>
          </cell>
        </row>
        <row r="67">
          <cell r="D67">
            <v>155</v>
          </cell>
        </row>
        <row r="68">
          <cell r="D68">
            <v>34.340000000000003</v>
          </cell>
        </row>
        <row r="69">
          <cell r="D69">
            <v>140</v>
          </cell>
        </row>
        <row r="70">
          <cell r="D70">
            <v>50</v>
          </cell>
        </row>
        <row r="71">
          <cell r="D71">
            <v>50</v>
          </cell>
        </row>
        <row r="72">
          <cell r="D72">
            <v>20</v>
          </cell>
        </row>
        <row r="73">
          <cell r="D73">
            <v>70</v>
          </cell>
        </row>
        <row r="74">
          <cell r="D74">
            <v>38</v>
          </cell>
        </row>
        <row r="75">
          <cell r="D75">
            <v>264</v>
          </cell>
        </row>
        <row r="76">
          <cell r="D76">
            <v>409.4</v>
          </cell>
        </row>
        <row r="77">
          <cell r="D77">
            <v>1000</v>
          </cell>
        </row>
        <row r="78">
          <cell r="D78">
            <v>350</v>
          </cell>
        </row>
        <row r="79">
          <cell r="D79">
            <v>140</v>
          </cell>
        </row>
        <row r="80">
          <cell r="D80">
            <v>420</v>
          </cell>
        </row>
        <row r="81">
          <cell r="D81">
            <v>250</v>
          </cell>
        </row>
        <row r="82">
          <cell r="D82">
            <v>250</v>
          </cell>
        </row>
        <row r="83">
          <cell r="D83">
            <v>300</v>
          </cell>
        </row>
        <row r="84">
          <cell r="D84">
            <v>200</v>
          </cell>
        </row>
        <row r="85">
          <cell r="D85">
            <v>11000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1"/>
      <sheetName val="DATABASE"/>
    </sheetNames>
    <sheetDataSet>
      <sheetData sheetId="0">
        <row r="15">
          <cell r="D15">
            <v>111309</v>
          </cell>
        </row>
        <row r="16">
          <cell r="D16">
            <v>36362.5</v>
          </cell>
        </row>
        <row r="17">
          <cell r="D17">
            <v>17865.12</v>
          </cell>
        </row>
        <row r="18">
          <cell r="D18">
            <v>6350</v>
          </cell>
        </row>
        <row r="19">
          <cell r="D19">
            <v>115000</v>
          </cell>
        </row>
        <row r="20">
          <cell r="D20">
            <v>5000</v>
          </cell>
        </row>
        <row r="25">
          <cell r="D25">
            <v>111309</v>
          </cell>
        </row>
        <row r="26">
          <cell r="D26">
            <v>36362.5</v>
          </cell>
        </row>
        <row r="27">
          <cell r="D27">
            <v>17865.12</v>
          </cell>
        </row>
        <row r="28">
          <cell r="D28">
            <v>6350</v>
          </cell>
        </row>
        <row r="29">
          <cell r="D29">
            <v>115000</v>
          </cell>
        </row>
        <row r="30">
          <cell r="D30">
            <v>5000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V Rates"/>
      <sheetName val="CKV detail"/>
      <sheetName val="Greenville"/>
      <sheetName val="Aligne"/>
    </sheetNames>
    <sheetDataSet>
      <sheetData sheetId="0">
        <row r="20">
          <cell r="L20">
            <v>2.3186160000000001E-2</v>
          </cell>
        </row>
      </sheetData>
      <sheetData sheetId="1"/>
      <sheetData sheetId="2">
        <row r="24">
          <cell r="J24">
            <v>1.570628E-2</v>
          </cell>
        </row>
      </sheetData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ert summary"/>
      <sheetName val="Div 9 adv"/>
      <sheetName val="6E0C513A2F9C450B86AA841589EF8A4"/>
      <sheetName val="Div 91 adv"/>
      <sheetName val="Div 2 adv"/>
      <sheetName val="Div 12 adv"/>
      <sheetName val="FF7FDFC85B524710987AB223481D523"/>
      <sheetName val="C0131B3DA4A74E9D8A9855EB618EDC9"/>
      <sheetName val="2018 Acct 4264"/>
      <sheetName val="KMD 4264"/>
      <sheetName val="SSU 4264"/>
      <sheetName val="4264 Div 9"/>
      <sheetName val="4264 Div 91"/>
      <sheetName val="4264 Div 002"/>
      <sheetName val="FY19 4264"/>
    </sheetNames>
    <sheetDataSet>
      <sheetData sheetId="0">
        <row r="16">
          <cell r="P16">
            <v>4894.4919417088386</v>
          </cell>
        </row>
        <row r="38">
          <cell r="P38">
            <v>184692.89006689138</v>
          </cell>
        </row>
        <row r="44">
          <cell r="P44">
            <v>318911.49409362144</v>
          </cell>
        </row>
        <row r="56">
          <cell r="P56">
            <v>1363.2409973177885</v>
          </cell>
        </row>
        <row r="68">
          <cell r="P68">
            <v>209133.11833171119</v>
          </cell>
        </row>
        <row r="74">
          <cell r="P74">
            <v>1752.1399999999999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6">
          <cell r="S66">
            <v>55500</v>
          </cell>
        </row>
        <row r="67">
          <cell r="S67">
            <v>2202</v>
          </cell>
        </row>
        <row r="68">
          <cell r="S68">
            <v>562153.58890000009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"/>
      <sheetName val="Pivot"/>
      <sheetName val="2017.2018 Rate Case Expenses"/>
      <sheetName val="Sheet3"/>
    </sheetNames>
    <sheetDataSet>
      <sheetData sheetId="0">
        <row r="15">
          <cell r="D15">
            <v>13650</v>
          </cell>
        </row>
        <row r="16">
          <cell r="D16">
            <v>23063.65</v>
          </cell>
        </row>
        <row r="17">
          <cell r="D17">
            <v>16200</v>
          </cell>
        </row>
        <row r="21">
          <cell r="E21">
            <v>164183.54999999999</v>
          </cell>
        </row>
        <row r="24">
          <cell r="E24">
            <v>23813.300000000003</v>
          </cell>
        </row>
        <row r="27">
          <cell r="E27">
            <v>96393.17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09 Summary"/>
    </sheetNames>
    <sheetDataSet>
      <sheetData sheetId="0">
        <row r="19">
          <cell r="D19">
            <v>34635.56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91 Summary"/>
    </sheetNames>
    <sheetDataSet>
      <sheetData sheetId="0">
        <row r="19">
          <cell r="D19">
            <v>45057.120000000003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'18-Jun'18 002 IEXP"/>
    </sheetNames>
    <sheetDataSet>
      <sheetData sheetId="0">
        <row r="1454">
          <cell r="BN1454">
            <v>358331.55366850429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Jun'18 012 IEXP Review"/>
    </sheetNames>
    <sheetDataSet>
      <sheetData sheetId="0">
        <row r="14">
          <cell r="BN14">
            <v>75042.553999999989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9 Schedule"/>
      <sheetName val="Rent Adjustment"/>
      <sheetName val="Sheet1"/>
    </sheetNames>
    <sheetDataSet>
      <sheetData sheetId="0"/>
      <sheetData sheetId="1">
        <row r="5">
          <cell r="K5">
            <v>19375.2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17"/>
      <sheetName val="Jan'17 - Dec'17"/>
      <sheetName val="CY18 Actual"/>
      <sheetName val="Jan'18 - Jun'18"/>
    </sheetNames>
    <sheetDataSet>
      <sheetData sheetId="0"/>
      <sheetData sheetId="1"/>
      <sheetData sheetId="2">
        <row r="9">
          <cell r="C9">
            <v>1161418.7800000003</v>
          </cell>
        </row>
        <row r="10">
          <cell r="C10">
            <v>339022.81999999989</v>
          </cell>
        </row>
        <row r="11">
          <cell r="C11">
            <v>664152.70000000042</v>
          </cell>
        </row>
        <row r="12">
          <cell r="C12">
            <v>164728.26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Y18"/>
      <sheetName val="Worker's Comp from PlanIt"/>
    </sheetNames>
    <sheetDataSet>
      <sheetData sheetId="0">
        <row r="68">
          <cell r="K68">
            <v>-9.558331668870771E-3</v>
          </cell>
        </row>
        <row r="76">
          <cell r="K76">
            <v>0.21505769803395991</v>
          </cell>
        </row>
        <row r="77">
          <cell r="K77">
            <v>4.1782449753929467E-2</v>
          </cell>
        </row>
        <row r="78">
          <cell r="K78">
            <v>5.6551084911125385E-2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</sheetNames>
    <sheetDataSet>
      <sheetData sheetId="0">
        <row r="35">
          <cell r="B35">
            <v>0.42769415040620795</v>
          </cell>
        </row>
        <row r="43">
          <cell r="B43">
            <v>0.40594931549269297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 ADIT-Feb 2019 ALG"/>
      <sheetName val="KY ADIT-August 2018"/>
    </sheetNames>
    <sheetDataSet>
      <sheetData sheetId="0">
        <row r="218">
          <cell r="O218">
            <v>-34149563.861111104</v>
          </cell>
          <cell r="R218">
            <v>-33781755.559027769</v>
          </cell>
          <cell r="S218">
            <v>-33664787.945406757</v>
          </cell>
          <cell r="T218">
            <v>-33558180.320420749</v>
          </cell>
          <cell r="U218">
            <v>-33461598.49088797</v>
          </cell>
          <cell r="V218">
            <v>-33375376.649990194</v>
          </cell>
          <cell r="W218">
            <v>-33299514.797727421</v>
          </cell>
          <cell r="X218">
            <v>-33233678.74091788</v>
          </cell>
          <cell r="Y218">
            <v>-33178202.672743343</v>
          </cell>
          <cell r="Z218">
            <v>-33132752.400022034</v>
          </cell>
          <cell r="AA218">
            <v>-33097662.115935728</v>
          </cell>
          <cell r="AB218">
            <v>-33072931.82048443</v>
          </cell>
          <cell r="AC218">
            <v>-33057558.934122812</v>
          </cell>
          <cell r="AD218">
            <v>-33052546.036396198</v>
          </cell>
        </row>
      </sheetData>
      <sheetData sheetId="1">
        <row r="212">
          <cell r="S212">
            <v>121980.51134762984</v>
          </cell>
          <cell r="T212">
            <v>121980.51134762984</v>
          </cell>
          <cell r="U212">
            <v>121980.51134762984</v>
          </cell>
          <cell r="V212">
            <v>121980.51134762984</v>
          </cell>
          <cell r="W212">
            <v>121980.51134762984</v>
          </cell>
          <cell r="X212">
            <v>121980.51134762984</v>
          </cell>
          <cell r="Y212">
            <v>121980.51134762984</v>
          </cell>
          <cell r="Z212">
            <v>121980.51134762984</v>
          </cell>
          <cell r="AA212">
            <v>121980.51134762984</v>
          </cell>
          <cell r="AB212">
            <v>121980.51134762984</v>
          </cell>
          <cell r="AC212">
            <v>121980.51134762984</v>
          </cell>
          <cell r="AD212">
            <v>121980.51134762984</v>
          </cell>
        </row>
        <row r="218">
          <cell r="C218">
            <v>-35309597</v>
          </cell>
          <cell r="D218">
            <v>-35309597</v>
          </cell>
          <cell r="E218">
            <v>-35309597</v>
          </cell>
          <cell r="F218">
            <v>-35123135</v>
          </cell>
          <cell r="G218">
            <v>-35123135</v>
          </cell>
          <cell r="H218">
            <v>-35123135</v>
          </cell>
          <cell r="I218">
            <v>-34885180.465277776</v>
          </cell>
          <cell r="J218">
            <v>-34762577.697916664</v>
          </cell>
          <cell r="K218">
            <v>-34639974.930555552</v>
          </cell>
          <cell r="L218">
            <v>-34517372.16319444</v>
          </cell>
          <cell r="M218">
            <v>-34394769.395833328</v>
          </cell>
          <cell r="N218">
            <v>-34272166.628472216</v>
          </cell>
          <cell r="O218">
            <v>-34149563.861111104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"/>
      <sheetName val="G.3"/>
    </sheetNames>
    <sheetDataSet>
      <sheetData sheetId="0"/>
      <sheetData sheetId="1">
        <row r="20">
          <cell r="G20">
            <v>3378041.3</v>
          </cell>
        </row>
        <row r="21">
          <cell r="G21">
            <v>9311146.3711550012</v>
          </cell>
        </row>
        <row r="24">
          <cell r="D24" t="str">
            <v>FY17</v>
          </cell>
          <cell r="E24" t="str">
            <v>FY18</v>
          </cell>
          <cell r="F24" t="str">
            <v>Wtd Avg</v>
          </cell>
        </row>
        <row r="25">
          <cell r="D25">
            <v>0.06</v>
          </cell>
          <cell r="E25">
            <v>4.3999999999999997E-2</v>
          </cell>
          <cell r="F25">
            <v>4.7999999999999994E-2</v>
          </cell>
        </row>
        <row r="26">
          <cell r="G26">
            <v>2758681.47</v>
          </cell>
        </row>
        <row r="27">
          <cell r="D27">
            <v>0.27999999999999997</v>
          </cell>
          <cell r="E27">
            <v>0.28700000000000003</v>
          </cell>
          <cell r="F27">
            <v>0.28525</v>
          </cell>
        </row>
        <row r="31">
          <cell r="G31">
            <v>247462.07999999996</v>
          </cell>
          <cell r="K31">
            <v>257360.56319999998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9">
          <cell r="D19">
            <v>2E-3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AFUDC"/>
      <sheetName val="gas rev"/>
      <sheetName val="gas customers"/>
      <sheetName val="vols"/>
      <sheetName val="Gas Customers (2)"/>
    </sheetNames>
    <sheetDataSet>
      <sheetData sheetId="0">
        <row r="12">
          <cell r="C12">
            <v>148864673.19999999</v>
          </cell>
          <cell r="D12">
            <v>180147322.19999999</v>
          </cell>
          <cell r="E12">
            <v>153227917.80000001</v>
          </cell>
          <cell r="F12">
            <v>129826663.40000001</v>
          </cell>
          <cell r="G12">
            <v>144869826.69999999</v>
          </cell>
        </row>
        <row r="13">
          <cell r="C13">
            <v>12586588.68</v>
          </cell>
          <cell r="D13">
            <v>14310851.76</v>
          </cell>
          <cell r="E13">
            <v>15087053.26</v>
          </cell>
          <cell r="F13">
            <v>15747936.09</v>
          </cell>
          <cell r="G13">
            <v>17214913.699999999</v>
          </cell>
        </row>
        <row r="14">
          <cell r="C14">
            <v>885729.76</v>
          </cell>
          <cell r="D14">
            <v>1567528.5</v>
          </cell>
          <cell r="E14">
            <v>1373001.49</v>
          </cell>
          <cell r="F14">
            <v>1073091.24</v>
          </cell>
          <cell r="G14">
            <v>1217619.83</v>
          </cell>
        </row>
        <row r="15">
          <cell r="C15">
            <v>631461.59</v>
          </cell>
          <cell r="D15">
            <v>856034.64</v>
          </cell>
          <cell r="E15">
            <v>779580.59</v>
          </cell>
          <cell r="F15">
            <v>783510</v>
          </cell>
          <cell r="G15">
            <v>799624</v>
          </cell>
        </row>
        <row r="18">
          <cell r="C18">
            <v>94656999.469999999</v>
          </cell>
          <cell r="D18">
            <v>118107394</v>
          </cell>
          <cell r="E18">
            <v>87746322.200000003</v>
          </cell>
          <cell r="F18">
            <v>61180230.950000003</v>
          </cell>
          <cell r="G18">
            <v>70880021.340000004</v>
          </cell>
        </row>
        <row r="23">
          <cell r="C23">
            <v>13868993.41</v>
          </cell>
          <cell r="D23">
            <v>13722772.91</v>
          </cell>
          <cell r="E23">
            <v>13878738.939999999</v>
          </cell>
          <cell r="F23">
            <v>14027820.779999999</v>
          </cell>
          <cell r="G23">
            <v>15137831.26</v>
          </cell>
        </row>
        <row r="24">
          <cell r="C24">
            <v>507630.14</v>
          </cell>
          <cell r="D24">
            <v>1092228.3500000001</v>
          </cell>
          <cell r="E24">
            <v>1047950.11</v>
          </cell>
          <cell r="F24">
            <v>490588.54</v>
          </cell>
          <cell r="G24">
            <v>893212.49</v>
          </cell>
        </row>
        <row r="25">
          <cell r="C25">
            <v>11534019.539999999</v>
          </cell>
          <cell r="D25">
            <v>12035970.23</v>
          </cell>
          <cell r="E25">
            <v>12874015.01</v>
          </cell>
          <cell r="F25">
            <v>12708206.439999999</v>
          </cell>
          <cell r="G25">
            <v>11828783.84</v>
          </cell>
        </row>
        <row r="26">
          <cell r="C26">
            <v>14919020.949999999</v>
          </cell>
          <cell r="D26">
            <v>16845712.129999999</v>
          </cell>
          <cell r="E26">
            <v>18635692.59</v>
          </cell>
          <cell r="F26">
            <v>19120630.43</v>
          </cell>
          <cell r="G26">
            <v>19379359.539999999</v>
          </cell>
        </row>
        <row r="27">
          <cell r="C27">
            <v>3871444.56</v>
          </cell>
          <cell r="D27">
            <v>4647807.2</v>
          </cell>
          <cell r="E27">
            <v>7342972.1100000003</v>
          </cell>
          <cell r="F27">
            <v>5919120.1500000004</v>
          </cell>
          <cell r="G27">
            <v>6335917.8899999997</v>
          </cell>
        </row>
        <row r="33">
          <cell r="C33">
            <v>82738.509999999995</v>
          </cell>
          <cell r="D33">
            <v>69150.83</v>
          </cell>
          <cell r="E33">
            <v>39563.760000000002</v>
          </cell>
          <cell r="F33">
            <v>42014.34</v>
          </cell>
          <cell r="G33">
            <v>32014.84</v>
          </cell>
        </row>
        <row r="34">
          <cell r="C34">
            <v>2658631.4700000002</v>
          </cell>
          <cell r="D34">
            <v>2704801.99</v>
          </cell>
          <cell r="E34">
            <v>2795006.35</v>
          </cell>
          <cell r="F34">
            <v>2791577.28</v>
          </cell>
          <cell r="G34">
            <v>3246148.76</v>
          </cell>
        </row>
        <row r="35">
          <cell r="C35">
            <v>71223.429999999993</v>
          </cell>
          <cell r="D35">
            <v>60734.15</v>
          </cell>
          <cell r="E35">
            <v>65329.61</v>
          </cell>
          <cell r="F35">
            <v>71948.31</v>
          </cell>
          <cell r="G35">
            <v>75077.42</v>
          </cell>
        </row>
        <row r="38">
          <cell r="C38">
            <v>6343914.1299999999</v>
          </cell>
          <cell r="D38">
            <v>6341749.6699999999</v>
          </cell>
          <cell r="E38">
            <v>6693478.3200000003</v>
          </cell>
          <cell r="F38">
            <v>7078294.7199999997</v>
          </cell>
          <cell r="G38">
            <v>7817928.4000000004</v>
          </cell>
        </row>
        <row r="39">
          <cell r="C39">
            <v>92203.94</v>
          </cell>
          <cell r="D39">
            <v>77320.100000000006</v>
          </cell>
          <cell r="E39">
            <v>50164.39</v>
          </cell>
          <cell r="F39">
            <v>299158.92</v>
          </cell>
          <cell r="G39">
            <v>190665.08</v>
          </cell>
        </row>
        <row r="40">
          <cell r="C40">
            <v>193897.32</v>
          </cell>
          <cell r="D40">
            <v>298851.59999999998</v>
          </cell>
          <cell r="E40">
            <v>427169.68</v>
          </cell>
          <cell r="F40">
            <v>354798.07</v>
          </cell>
          <cell r="G40">
            <v>360836.71</v>
          </cell>
        </row>
        <row r="41">
          <cell r="C41">
            <v>585414.6</v>
          </cell>
          <cell r="D41">
            <v>516637.84</v>
          </cell>
          <cell r="E41">
            <v>409669.26</v>
          </cell>
          <cell r="F41">
            <v>463390.97</v>
          </cell>
          <cell r="G41">
            <v>478577.09</v>
          </cell>
        </row>
        <row r="48">
          <cell r="C48">
            <v>7419823.4199999999</v>
          </cell>
          <cell r="D48">
            <v>9671535.3699999992</v>
          </cell>
          <cell r="E48">
            <v>9884342.8100000005</v>
          </cell>
          <cell r="F48">
            <v>9516433.3000000007</v>
          </cell>
          <cell r="G48">
            <v>9696755</v>
          </cell>
        </row>
      </sheetData>
      <sheetData sheetId="1"/>
      <sheetData sheetId="2">
        <row r="12">
          <cell r="C12">
            <v>94408622.760000005</v>
          </cell>
          <cell r="D12">
            <v>114830243.90000001</v>
          </cell>
          <cell r="E12">
            <v>101727579.7</v>
          </cell>
          <cell r="F12">
            <v>83512504.329999998</v>
          </cell>
          <cell r="G12">
            <v>89663466.730000004</v>
          </cell>
        </row>
        <row r="13">
          <cell r="C13">
            <v>1646587.61</v>
          </cell>
          <cell r="D13">
            <v>496890.57</v>
          </cell>
          <cell r="E13">
            <v>-4516560.3099999996</v>
          </cell>
          <cell r="F13">
            <v>2084327.48</v>
          </cell>
          <cell r="G13">
            <v>4474954.88</v>
          </cell>
        </row>
        <row r="14">
          <cell r="C14">
            <v>39938783.520000003</v>
          </cell>
          <cell r="D14">
            <v>49294803.939999998</v>
          </cell>
          <cell r="E14">
            <v>42476905.359999999</v>
          </cell>
          <cell r="F14">
            <v>34032004.469999999</v>
          </cell>
          <cell r="G14">
            <v>38222731.340000004</v>
          </cell>
        </row>
        <row r="15">
          <cell r="C15">
            <v>4796885.17</v>
          </cell>
          <cell r="D15">
            <v>5845776.3600000003</v>
          </cell>
          <cell r="E15">
            <v>5705426.8300000001</v>
          </cell>
          <cell r="F15">
            <v>4441439.42</v>
          </cell>
          <cell r="G15">
            <v>6400149.6799999997</v>
          </cell>
        </row>
        <row r="16">
          <cell r="C16">
            <v>8073794.1100000003</v>
          </cell>
          <cell r="D16">
            <v>9679607.4199999999</v>
          </cell>
          <cell r="E16">
            <v>7834566.2000000002</v>
          </cell>
          <cell r="F16">
            <v>5756387.6699999999</v>
          </cell>
          <cell r="G16">
            <v>6108524.0199999996</v>
          </cell>
        </row>
      </sheetData>
      <sheetData sheetId="3"/>
      <sheetData sheetId="4">
        <row r="13">
          <cell r="C13">
            <v>10662876.41</v>
          </cell>
          <cell r="D13">
            <v>11757006.99</v>
          </cell>
          <cell r="E13">
            <v>10133137.57</v>
          </cell>
          <cell r="F13">
            <v>8859272.2200000007</v>
          </cell>
          <cell r="G13">
            <v>8360876.4699999997</v>
          </cell>
        </row>
        <row r="14">
          <cell r="C14">
            <v>5112547.93</v>
          </cell>
          <cell r="D14">
            <v>5657641.1699999999</v>
          </cell>
          <cell r="E14">
            <v>4981322.42</v>
          </cell>
          <cell r="F14">
            <v>4436287.6000000006</v>
          </cell>
          <cell r="G14">
            <v>4415168.33</v>
          </cell>
        </row>
        <row r="15">
          <cell r="C15">
            <v>807005.98999999987</v>
          </cell>
          <cell r="D15">
            <v>780038.61999999976</v>
          </cell>
          <cell r="E15">
            <v>706192.47</v>
          </cell>
          <cell r="F15">
            <v>1021717.6900000001</v>
          </cell>
          <cell r="G15">
            <v>1517001.09</v>
          </cell>
        </row>
        <row r="16">
          <cell r="C16">
            <v>1185264.3900000001</v>
          </cell>
          <cell r="D16">
            <v>1241309.8799999999</v>
          </cell>
          <cell r="E16">
            <v>1055743.3699999999</v>
          </cell>
          <cell r="F16">
            <v>896168.19</v>
          </cell>
          <cell r="G16">
            <v>824971.11999999988</v>
          </cell>
        </row>
      </sheetData>
      <sheetData sheetId="5">
        <row r="28">
          <cell r="H28">
            <v>153903.75</v>
          </cell>
          <cell r="I28">
            <v>155702.08333333334</v>
          </cell>
          <cell r="J28">
            <v>155280.75</v>
          </cell>
          <cell r="K28">
            <v>155597.41666666666</v>
          </cell>
          <cell r="L28">
            <v>156173.75</v>
          </cell>
        </row>
        <row r="42">
          <cell r="H42">
            <v>17318</v>
          </cell>
          <cell r="I42">
            <v>17435.166666666668</v>
          </cell>
          <cell r="J42">
            <v>17333.333333333332</v>
          </cell>
          <cell r="K42">
            <v>17339</v>
          </cell>
          <cell r="L42">
            <v>17353.666666666668</v>
          </cell>
        </row>
        <row r="56">
          <cell r="H56">
            <v>206.91666666666666</v>
          </cell>
          <cell r="I56">
            <v>203.66666666666666</v>
          </cell>
          <cell r="J56">
            <v>201.16666666666666</v>
          </cell>
          <cell r="K56">
            <v>205.33333333333334</v>
          </cell>
          <cell r="L56">
            <v>205.83333333333334</v>
          </cell>
        </row>
        <row r="70">
          <cell r="H70">
            <v>1575.3333333333333</v>
          </cell>
          <cell r="I70">
            <v>1576.1666666666667</v>
          </cell>
          <cell r="J70">
            <v>1560.8333333333333</v>
          </cell>
          <cell r="K70">
            <v>1550</v>
          </cell>
          <cell r="L70">
            <v>1548.5833333333333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ap Structure"/>
      <sheetName val="Consolidated Balance Detail"/>
      <sheetName val="LTD rate"/>
      <sheetName val="Oct16_$200MM TL"/>
      <sheetName val="2250 LTDebt Premium"/>
      <sheetName val="2260 LTDebt Discount"/>
      <sheetName val="Acct 2241 Unamort Debt Exp"/>
      <sheetName val="Acct 1650.13201 Prepayments"/>
      <sheetName val="1810 Unamort Debt exp"/>
      <sheetName val="20102"/>
      <sheetName val="20104"/>
      <sheetName val="20105"/>
      <sheetName val="20107"/>
      <sheetName val="20108"/>
      <sheetName val="20109"/>
      <sheetName val="1890 Unamort Loss on Reacq Debt"/>
      <sheetName val="June-18"/>
    </sheetNames>
    <sheetDataSet>
      <sheetData sheetId="0"/>
      <sheetData sheetId="1">
        <row r="23">
          <cell r="D23">
            <v>3068314702.8199997</v>
          </cell>
        </row>
      </sheetData>
      <sheetData sheetId="2">
        <row r="37">
          <cell r="Q37">
            <v>5.2157448386390269E-2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ap Structure"/>
      <sheetName val="Consolidated Balance Detail"/>
      <sheetName val="LTD rate"/>
      <sheetName val="Oct16_$200MM TL"/>
      <sheetName val="2250 LTDebt Premium"/>
      <sheetName val="2260 LTDebt Discount"/>
      <sheetName val="Acct 2241 Unamort Debt Exp"/>
      <sheetName val="Acct 1650.13201 Prepayments"/>
      <sheetName val="1810 Unamort Debt exp"/>
      <sheetName val="20102"/>
      <sheetName val="20104"/>
      <sheetName val="20105"/>
      <sheetName val="20107"/>
      <sheetName val="20108"/>
      <sheetName val="20109"/>
      <sheetName val="1890 Unamort Loss on Reacq Debt"/>
      <sheetName val="June-18"/>
    </sheetNames>
    <sheetDataSet>
      <sheetData sheetId="0">
        <row r="27">
          <cell r="C27">
            <v>4760180677.6799994</v>
          </cell>
        </row>
      </sheetData>
      <sheetData sheetId="1">
        <row r="24">
          <cell r="N24">
            <v>1552080.9833333339</v>
          </cell>
          <cell r="O24">
            <v>1225678.68</v>
          </cell>
        </row>
        <row r="26">
          <cell r="I26">
            <v>281542431.34917945</v>
          </cell>
        </row>
        <row r="28">
          <cell r="K28">
            <v>1.4143231126541896E-2</v>
          </cell>
        </row>
      </sheetData>
      <sheetData sheetId="2">
        <row r="11">
          <cell r="P11">
            <v>150000000</v>
          </cell>
          <cell r="Q11">
            <v>6.7500000000000004E-2</v>
          </cell>
        </row>
        <row r="17">
          <cell r="P17">
            <v>10000000</v>
          </cell>
          <cell r="Q17">
            <v>6.6699999999999995E-2</v>
          </cell>
        </row>
        <row r="19">
          <cell r="P19">
            <v>200000000</v>
          </cell>
          <cell r="Q19">
            <v>5.9499999999999997E-2</v>
          </cell>
        </row>
        <row r="21">
          <cell r="P21">
            <v>400000000</v>
          </cell>
          <cell r="Q21">
            <v>5.5E-2</v>
          </cell>
        </row>
        <row r="22">
          <cell r="P22">
            <v>513000000</v>
          </cell>
          <cell r="Q22">
            <v>5.0743976608187136E-2</v>
          </cell>
        </row>
        <row r="23">
          <cell r="P23">
            <v>500000000</v>
          </cell>
          <cell r="Q23">
            <v>4.1500000000000002E-2</v>
          </cell>
        </row>
        <row r="24">
          <cell r="P24">
            <v>750000000</v>
          </cell>
          <cell r="Q24">
            <v>4.1250000000000002E-2</v>
          </cell>
        </row>
        <row r="25">
          <cell r="P25">
            <v>500000000</v>
          </cell>
          <cell r="Q25">
            <v>0.03</v>
          </cell>
        </row>
        <row r="27">
          <cell r="P27">
            <v>125000000</v>
          </cell>
          <cell r="Q27">
            <v>3.0599999999999999E-2</v>
          </cell>
          <cell r="T27">
            <v>125000000</v>
          </cell>
        </row>
        <row r="33">
          <cell r="P33">
            <v>-4425157.5699999994</v>
          </cell>
        </row>
        <row r="34">
          <cell r="P34">
            <v>21110454.75</v>
          </cell>
        </row>
        <row r="35">
          <cell r="R35">
            <v>6580965.7455365621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</sheetNames>
    <sheetDataSet>
      <sheetData sheetId="0">
        <row r="17">
          <cell r="I17">
            <v>128</v>
          </cell>
          <cell r="J17">
            <v>128</v>
          </cell>
          <cell r="K17">
            <v>128</v>
          </cell>
          <cell r="L17">
            <v>128</v>
          </cell>
          <cell r="M17">
            <v>128</v>
          </cell>
          <cell r="N17">
            <v>128</v>
          </cell>
          <cell r="O17">
            <v>128</v>
          </cell>
          <cell r="P17">
            <v>128</v>
          </cell>
          <cell r="Q17">
            <v>128</v>
          </cell>
          <cell r="R17">
            <v>128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636</v>
          </cell>
          <cell r="M18">
            <v>901</v>
          </cell>
          <cell r="N18">
            <v>901</v>
          </cell>
          <cell r="O18">
            <v>901</v>
          </cell>
          <cell r="P18">
            <v>901</v>
          </cell>
          <cell r="Q18">
            <v>901</v>
          </cell>
          <cell r="R18">
            <v>901</v>
          </cell>
        </row>
        <row r="19">
          <cell r="I19">
            <v>13329</v>
          </cell>
          <cell r="J19">
            <v>12454</v>
          </cell>
          <cell r="K19">
            <v>11560</v>
          </cell>
          <cell r="L19">
            <v>10792</v>
          </cell>
          <cell r="M19">
            <v>9630</v>
          </cell>
          <cell r="N19">
            <v>10104</v>
          </cell>
          <cell r="O19">
            <v>9388</v>
          </cell>
          <cell r="P19">
            <v>7731</v>
          </cell>
          <cell r="Q19">
            <v>7540</v>
          </cell>
          <cell r="R19">
            <v>6950</v>
          </cell>
        </row>
        <row r="20">
          <cell r="I20">
            <v>31784</v>
          </cell>
          <cell r="J20">
            <v>31814</v>
          </cell>
          <cell r="K20">
            <v>31808</v>
          </cell>
          <cell r="L20">
            <v>31877</v>
          </cell>
          <cell r="M20">
            <v>32962</v>
          </cell>
          <cell r="N20">
            <v>32836</v>
          </cell>
          <cell r="O20">
            <v>33144</v>
          </cell>
          <cell r="P20">
            <v>31189</v>
          </cell>
          <cell r="Q20">
            <v>31202</v>
          </cell>
          <cell r="R20">
            <v>28807</v>
          </cell>
        </row>
        <row r="21">
          <cell r="I21">
            <v>517179</v>
          </cell>
          <cell r="J21">
            <v>472849</v>
          </cell>
          <cell r="K21">
            <v>413302</v>
          </cell>
          <cell r="L21">
            <v>381623</v>
          </cell>
          <cell r="M21">
            <v>340200</v>
          </cell>
          <cell r="N21">
            <v>323036</v>
          </cell>
          <cell r="O21">
            <v>296493</v>
          </cell>
          <cell r="P21">
            <v>283474</v>
          </cell>
          <cell r="Q21">
            <v>271463</v>
          </cell>
          <cell r="R21">
            <v>260621</v>
          </cell>
        </row>
        <row r="22">
          <cell r="I22">
            <v>21675</v>
          </cell>
          <cell r="J22">
            <v>21271</v>
          </cell>
          <cell r="K22">
            <v>18126</v>
          </cell>
          <cell r="L22">
            <v>16683</v>
          </cell>
          <cell r="M22">
            <v>15589</v>
          </cell>
          <cell r="N22">
            <v>15238</v>
          </cell>
          <cell r="O22">
            <v>16000</v>
          </cell>
          <cell r="P22">
            <v>15103</v>
          </cell>
          <cell r="Q22">
            <v>14696</v>
          </cell>
          <cell r="R22">
            <v>15422</v>
          </cell>
        </row>
        <row r="23">
          <cell r="I23">
            <v>3279</v>
          </cell>
          <cell r="J23">
            <v>3279</v>
          </cell>
          <cell r="K23">
            <v>3279</v>
          </cell>
          <cell r="L23">
            <v>3279</v>
          </cell>
          <cell r="M23">
            <v>3279</v>
          </cell>
          <cell r="N23">
            <v>3279</v>
          </cell>
          <cell r="O23">
            <v>3279</v>
          </cell>
          <cell r="P23">
            <v>3337</v>
          </cell>
          <cell r="Q23">
            <v>3337</v>
          </cell>
          <cell r="R23">
            <v>3337</v>
          </cell>
        </row>
        <row r="26">
          <cell r="I26">
            <v>175150</v>
          </cell>
          <cell r="J26">
            <v>167228</v>
          </cell>
          <cell r="K26">
            <v>165298</v>
          </cell>
          <cell r="L26">
            <v>160839</v>
          </cell>
          <cell r="M26">
            <v>158300</v>
          </cell>
          <cell r="N26">
            <v>151849</v>
          </cell>
          <cell r="O26">
            <v>150795</v>
          </cell>
          <cell r="P26">
            <v>147462</v>
          </cell>
          <cell r="Q26">
            <v>144016</v>
          </cell>
          <cell r="R26">
            <v>139212</v>
          </cell>
        </row>
        <row r="29">
          <cell r="I29">
            <v>32838</v>
          </cell>
          <cell r="J29">
            <v>10146.378000000001</v>
          </cell>
          <cell r="K29">
            <v>26310.035</v>
          </cell>
          <cell r="L29">
            <v>12708</v>
          </cell>
          <cell r="M29">
            <v>16578</v>
          </cell>
          <cell r="N29">
            <v>6006</v>
          </cell>
          <cell r="O29">
            <v>3306</v>
          </cell>
          <cell r="P29">
            <v>7197</v>
          </cell>
          <cell r="Q29">
            <v>4851</v>
          </cell>
          <cell r="R29">
            <v>5215</v>
          </cell>
        </row>
        <row r="40">
          <cell r="I40">
            <v>447745</v>
          </cell>
          <cell r="J40">
            <v>829811</v>
          </cell>
          <cell r="K40">
            <v>457927</v>
          </cell>
          <cell r="L40">
            <v>196695</v>
          </cell>
          <cell r="M40">
            <v>367984</v>
          </cell>
          <cell r="N40">
            <v>570929</v>
          </cell>
          <cell r="O40">
            <v>206396</v>
          </cell>
          <cell r="P40">
            <v>126100</v>
          </cell>
          <cell r="Q40">
            <v>72550</v>
          </cell>
          <cell r="R40">
            <v>350542</v>
          </cell>
        </row>
        <row r="41">
          <cell r="I41">
            <v>3067045</v>
          </cell>
          <cell r="J41">
            <v>2438779</v>
          </cell>
          <cell r="K41">
            <v>2437515</v>
          </cell>
          <cell r="L41">
            <v>2455986</v>
          </cell>
          <cell r="M41">
            <v>2455671</v>
          </cell>
          <cell r="N41">
            <v>1956305</v>
          </cell>
          <cell r="O41">
            <v>2206117</v>
          </cell>
          <cell r="P41">
            <v>1809551</v>
          </cell>
          <cell r="Q41">
            <v>2169400</v>
          </cell>
          <cell r="R41">
            <v>2119792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I43">
            <v>3898666</v>
          </cell>
          <cell r="J43">
            <v>3463059</v>
          </cell>
          <cell r="K43">
            <v>3194797</v>
          </cell>
          <cell r="L43">
            <v>3086232</v>
          </cell>
          <cell r="M43">
            <v>2580409</v>
          </cell>
          <cell r="N43">
            <v>2359243</v>
          </cell>
          <cell r="O43">
            <v>2255421</v>
          </cell>
          <cell r="P43">
            <v>2178348</v>
          </cell>
          <cell r="Q43">
            <v>2176761</v>
          </cell>
          <cell r="R43">
            <v>2052492</v>
          </cell>
        </row>
        <row r="48">
          <cell r="I48">
            <v>164102</v>
          </cell>
          <cell r="J48">
            <v>147431</v>
          </cell>
          <cell r="K48">
            <v>170468</v>
          </cell>
          <cell r="L48">
            <v>196882</v>
          </cell>
          <cell r="M48">
            <v>162968</v>
          </cell>
          <cell r="N48">
            <v>134778</v>
          </cell>
          <cell r="O48">
            <v>149662</v>
          </cell>
          <cell r="P48">
            <v>156816</v>
          </cell>
          <cell r="Q48">
            <v>190356</v>
          </cell>
          <cell r="R48">
            <v>244308.47516</v>
          </cell>
        </row>
        <row r="49"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I50">
            <v>124455</v>
          </cell>
          <cell r="J50">
            <v>113447</v>
          </cell>
          <cell r="K50">
            <v>141526</v>
          </cell>
          <cell r="L50">
            <v>166452</v>
          </cell>
          <cell r="M50">
            <v>139358</v>
          </cell>
          <cell r="N50">
            <v>112027</v>
          </cell>
          <cell r="O50">
            <v>126219</v>
          </cell>
          <cell r="P50">
            <v>136649</v>
          </cell>
          <cell r="Q50">
            <v>176587</v>
          </cell>
          <cell r="R50">
            <v>224347.66394</v>
          </cell>
        </row>
        <row r="51"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I53">
            <v>9697</v>
          </cell>
          <cell r="J53">
            <v>9516</v>
          </cell>
          <cell r="K53">
            <v>9884</v>
          </cell>
          <cell r="L53">
            <v>9671</v>
          </cell>
          <cell r="M53">
            <v>7060</v>
          </cell>
          <cell r="N53">
            <v>8157</v>
          </cell>
          <cell r="O53">
            <v>8094</v>
          </cell>
          <cell r="P53">
            <v>5654</v>
          </cell>
          <cell r="Q53">
            <v>2889</v>
          </cell>
          <cell r="R53">
            <v>6985</v>
          </cell>
        </row>
        <row r="54"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6">
          <cell r="I56">
            <v>379</v>
          </cell>
          <cell r="J56">
            <v>179</v>
          </cell>
          <cell r="K56">
            <v>182</v>
          </cell>
          <cell r="L56">
            <v>139</v>
          </cell>
          <cell r="M56">
            <v>88</v>
          </cell>
          <cell r="N56">
            <v>101</v>
          </cell>
          <cell r="O56">
            <v>22</v>
          </cell>
          <cell r="P56">
            <v>286</v>
          </cell>
          <cell r="Q56">
            <v>199</v>
          </cell>
          <cell r="R56">
            <v>160</v>
          </cell>
        </row>
        <row r="57">
          <cell r="I57">
            <v>2514</v>
          </cell>
          <cell r="J57">
            <v>2087</v>
          </cell>
          <cell r="K57">
            <v>2063</v>
          </cell>
          <cell r="L57">
            <v>2019</v>
          </cell>
          <cell r="M57">
            <v>2033</v>
          </cell>
          <cell r="N57">
            <v>2046</v>
          </cell>
          <cell r="O57">
            <v>2657</v>
          </cell>
          <cell r="P57">
            <v>1748</v>
          </cell>
          <cell r="Q57">
            <v>2278</v>
          </cell>
          <cell r="R57">
            <v>2529</v>
          </cell>
        </row>
        <row r="59">
          <cell r="I59">
            <v>8388</v>
          </cell>
          <cell r="J59">
            <v>7556</v>
          </cell>
          <cell r="K59">
            <v>6926</v>
          </cell>
          <cell r="L59">
            <v>6559</v>
          </cell>
          <cell r="M59">
            <v>6524</v>
          </cell>
          <cell r="N59">
            <v>5612</v>
          </cell>
          <cell r="O59">
            <v>5792</v>
          </cell>
          <cell r="P59">
            <v>6270</v>
          </cell>
          <cell r="Q59">
            <v>6633</v>
          </cell>
          <cell r="R59">
            <v>6138</v>
          </cell>
        </row>
        <row r="71">
          <cell r="I71">
            <v>1.6799999999999999E-2</v>
          </cell>
          <cell r="J71">
            <v>1.12E-2</v>
          </cell>
          <cell r="K71">
            <v>1.09E-2</v>
          </cell>
          <cell r="L71">
            <v>1.49E-2</v>
          </cell>
          <cell r="M71">
            <v>1.17E-2</v>
          </cell>
          <cell r="N71">
            <v>1.2200000000000001E-2</v>
          </cell>
          <cell r="O71">
            <v>1.03E-2</v>
          </cell>
          <cell r="P71">
            <v>3.2300000000000002E-2</v>
          </cell>
          <cell r="Q71">
            <v>6.8000000000000005E-2</v>
          </cell>
          <cell r="R71">
            <v>4.3999999999999997E-2</v>
          </cell>
        </row>
        <row r="72">
          <cell r="I72">
            <v>5.45E-2</v>
          </cell>
          <cell r="J72">
            <v>5.8900000000000001E-2</v>
          </cell>
          <cell r="K72">
            <v>5.8999999999999997E-2</v>
          </cell>
          <cell r="L72">
            <v>6.0299999999999999E-2</v>
          </cell>
          <cell r="M72">
            <v>6.2600000000000003E-2</v>
          </cell>
          <cell r="N72">
            <v>6.5100000000000005E-2</v>
          </cell>
          <cell r="O72">
            <v>6.7500000000000004E-2</v>
          </cell>
          <cell r="P72">
            <v>6.88E-2</v>
          </cell>
          <cell r="Q72">
            <v>6.9000000000000006E-2</v>
          </cell>
          <cell r="R72">
            <v>6.0999999999999999E-2</v>
          </cell>
        </row>
        <row r="76">
          <cell r="I76">
            <v>6.03</v>
          </cell>
          <cell r="J76">
            <v>5.72</v>
          </cell>
          <cell r="K76">
            <v>5.26</v>
          </cell>
          <cell r="L76">
            <v>4.6900000000000004</v>
          </cell>
          <cell r="M76">
            <v>3.91</v>
          </cell>
          <cell r="N76">
            <v>3.0571918341904318</v>
          </cell>
          <cell r="O76">
            <v>2.9660460457804634</v>
          </cell>
          <cell r="P76">
            <v>3.0043972293563703</v>
          </cell>
          <cell r="Q76">
            <v>2.8387360945505051</v>
          </cell>
          <cell r="R76">
            <v>3.06</v>
          </cell>
        </row>
        <row r="77">
          <cell r="I77">
            <v>6.06</v>
          </cell>
          <cell r="J77">
            <v>5.74</v>
          </cell>
          <cell r="K77">
            <v>5.28</v>
          </cell>
          <cell r="L77">
            <v>4.7</v>
          </cell>
          <cell r="M77">
            <v>3.92</v>
          </cell>
          <cell r="N77">
            <v>3.0409960261804581</v>
          </cell>
          <cell r="O77">
            <v>2.9527909831987955</v>
          </cell>
          <cell r="P77">
            <v>2.9852512711754482</v>
          </cell>
          <cell r="Q77">
            <v>2.8022744139729294</v>
          </cell>
          <cell r="R77">
            <v>3.12</v>
          </cell>
        </row>
        <row r="78">
          <cell r="I78">
            <v>4.18</v>
          </cell>
          <cell r="J78">
            <v>4.01</v>
          </cell>
          <cell r="K78">
            <v>3.63</v>
          </cell>
          <cell r="L78">
            <v>3.24</v>
          </cell>
          <cell r="M78">
            <v>2.89</v>
          </cell>
          <cell r="N78">
            <v>2.3614121580460989</v>
          </cell>
          <cell r="O78">
            <v>2.2575233976506173</v>
          </cell>
          <cell r="P78">
            <v>2.2312955612628738</v>
          </cell>
          <cell r="Q78">
            <v>2.200873963233271</v>
          </cell>
          <cell r="R78">
            <v>2.2599999999999998</v>
          </cell>
        </row>
        <row r="79">
          <cell r="I79">
            <v>5.45</v>
          </cell>
          <cell r="J79">
            <v>5.16</v>
          </cell>
          <cell r="K79">
            <v>4.7699999999999996</v>
          </cell>
          <cell r="L79">
            <v>4.1100000000000003</v>
          </cell>
          <cell r="M79">
            <v>3.63</v>
          </cell>
          <cell r="N79">
            <v>2.84</v>
          </cell>
          <cell r="O79">
            <v>2.78</v>
          </cell>
          <cell r="P79">
            <v>2.78</v>
          </cell>
          <cell r="Q79">
            <v>2.5499999999999998</v>
          </cell>
          <cell r="R79">
            <v>2.76</v>
          </cell>
        </row>
        <row r="80">
          <cell r="I80">
            <v>4.21</v>
          </cell>
          <cell r="J80">
            <v>4.03</v>
          </cell>
          <cell r="K80">
            <v>3.65</v>
          </cell>
          <cell r="L80">
            <v>3.25</v>
          </cell>
          <cell r="M80">
            <v>2.91</v>
          </cell>
          <cell r="N80">
            <v>2.3452163500361256</v>
          </cell>
          <cell r="O80">
            <v>2.244268335068949</v>
          </cell>
          <cell r="P80">
            <v>2.2121496030819521</v>
          </cell>
          <cell r="Q80">
            <v>2.1644122826556949</v>
          </cell>
          <cell r="R80">
            <v>2.31</v>
          </cell>
        </row>
        <row r="82">
          <cell r="I82">
            <v>3.81</v>
          </cell>
          <cell r="J82">
            <v>3.64</v>
          </cell>
          <cell r="K82">
            <v>3.32</v>
          </cell>
          <cell r="L82">
            <v>3.02</v>
          </cell>
          <cell r="M82">
            <v>2.7</v>
          </cell>
          <cell r="N82">
            <v>2.2116799519301451</v>
          </cell>
          <cell r="O82">
            <v>2.1340881930445068</v>
          </cell>
          <cell r="P82">
            <v>2.0837815317021438</v>
          </cell>
          <cell r="Q82">
            <v>2.1800332256334456</v>
          </cell>
          <cell r="R82">
            <v>2.15</v>
          </cell>
        </row>
        <row r="85">
          <cell r="I85" t="str">
            <v>A2</v>
          </cell>
          <cell r="J85" t="str">
            <v>A2</v>
          </cell>
          <cell r="K85" t="str">
            <v>A2</v>
          </cell>
          <cell r="L85" t="str">
            <v>A2</v>
          </cell>
          <cell r="M85" t="str">
            <v>Baa1</v>
          </cell>
          <cell r="N85" t="str">
            <v>Baa1</v>
          </cell>
          <cell r="O85" t="str">
            <v>Baa1</v>
          </cell>
          <cell r="P85" t="str">
            <v>Baa2</v>
          </cell>
          <cell r="Q85" t="str">
            <v>Baa2</v>
          </cell>
          <cell r="R85" t="str">
            <v>Baa3</v>
          </cell>
        </row>
        <row r="86">
          <cell r="I86" t="str">
            <v>A</v>
          </cell>
          <cell r="J86" t="str">
            <v>A</v>
          </cell>
          <cell r="K86" t="str">
            <v>A-</v>
          </cell>
          <cell r="L86" t="str">
            <v>A-</v>
          </cell>
          <cell r="M86" t="str">
            <v>A-</v>
          </cell>
          <cell r="N86" t="str">
            <v>BBB+</v>
          </cell>
          <cell r="O86" t="str">
            <v>BBB+</v>
          </cell>
          <cell r="P86" t="str">
            <v>BBB+</v>
          </cell>
          <cell r="Q86" t="str">
            <v>BBB+</v>
          </cell>
          <cell r="R86" t="str">
            <v>BBB</v>
          </cell>
        </row>
        <row r="91">
          <cell r="I91">
            <v>106105</v>
          </cell>
          <cell r="J91">
            <v>103931</v>
          </cell>
          <cell r="K91">
            <v>101479</v>
          </cell>
          <cell r="L91">
            <v>100388</v>
          </cell>
          <cell r="M91">
            <v>90640</v>
          </cell>
          <cell r="N91">
            <v>90240</v>
          </cell>
          <cell r="O91">
            <v>90296</v>
          </cell>
          <cell r="P91">
            <v>90164</v>
          </cell>
          <cell r="Q91">
            <v>92552</v>
          </cell>
          <cell r="R91">
            <v>90814</v>
          </cell>
        </row>
        <row r="92">
          <cell r="I92"/>
          <cell r="J92"/>
          <cell r="K92"/>
          <cell r="L92"/>
          <cell r="M92"/>
          <cell r="N92"/>
          <cell r="O92"/>
          <cell r="P92"/>
          <cell r="Q92"/>
          <cell r="R92"/>
        </row>
        <row r="93">
          <cell r="I93">
            <v>106100</v>
          </cell>
          <cell r="J93">
            <v>103524</v>
          </cell>
          <cell r="K93">
            <v>101892</v>
          </cell>
          <cell r="L93">
            <v>97608</v>
          </cell>
          <cell r="M93">
            <v>91711</v>
          </cell>
          <cell r="N93">
            <v>91172</v>
          </cell>
          <cell r="O93">
            <v>90652</v>
          </cell>
          <cell r="P93">
            <v>92422</v>
          </cell>
          <cell r="Q93">
            <v>91620</v>
          </cell>
          <cell r="R93">
            <v>89941</v>
          </cell>
        </row>
        <row r="94">
          <cell r="I94">
            <v>3.73</v>
          </cell>
          <cell r="J94">
            <v>3.38</v>
          </cell>
          <cell r="K94">
            <v>3.09</v>
          </cell>
          <cell r="L94">
            <v>2.96</v>
          </cell>
          <cell r="M94">
            <v>2.64</v>
          </cell>
          <cell r="N94">
            <v>2.37</v>
          </cell>
          <cell r="O94">
            <v>2.27</v>
          </cell>
          <cell r="P94">
            <v>2.2000000000000002</v>
          </cell>
          <cell r="Q94">
            <v>2.0699999999999998</v>
          </cell>
          <cell r="R94">
            <v>1.99</v>
          </cell>
        </row>
        <row r="95">
          <cell r="I95">
            <v>1.8</v>
          </cell>
          <cell r="J95">
            <v>1.68</v>
          </cell>
          <cell r="K95">
            <v>1.56</v>
          </cell>
          <cell r="L95">
            <v>1.48</v>
          </cell>
          <cell r="M95">
            <v>1.4</v>
          </cell>
          <cell r="N95">
            <v>1.38</v>
          </cell>
          <cell r="O95">
            <v>1.36</v>
          </cell>
          <cell r="P95">
            <v>1.34</v>
          </cell>
          <cell r="Q95">
            <v>1.32</v>
          </cell>
          <cell r="R95">
            <v>1.3</v>
          </cell>
        </row>
        <row r="96">
          <cell r="I96">
            <v>1.8</v>
          </cell>
          <cell r="J96">
            <v>1.68</v>
          </cell>
          <cell r="K96">
            <v>1.56</v>
          </cell>
          <cell r="L96">
            <v>1.48</v>
          </cell>
          <cell r="M96">
            <v>1.4</v>
          </cell>
          <cell r="N96">
            <v>1.38</v>
          </cell>
          <cell r="O96">
            <v>1.36</v>
          </cell>
          <cell r="P96">
            <v>1.34</v>
          </cell>
          <cell r="Q96">
            <v>1.32</v>
          </cell>
          <cell r="R96">
            <v>1.3</v>
          </cell>
        </row>
        <row r="100">
          <cell r="I100">
            <v>74.73</v>
          </cell>
          <cell r="J100">
            <v>64.25</v>
          </cell>
          <cell r="K100">
            <v>58.08</v>
          </cell>
          <cell r="L100">
            <v>47.06</v>
          </cell>
          <cell r="M100">
            <v>36.86</v>
          </cell>
          <cell r="N100">
            <v>35.4</v>
          </cell>
          <cell r="O100">
            <v>31.72</v>
          </cell>
          <cell r="P100">
            <v>30.06</v>
          </cell>
          <cell r="Q100">
            <v>27.88</v>
          </cell>
          <cell r="R100">
            <v>29.46</v>
          </cell>
        </row>
        <row r="101">
          <cell r="I101">
            <v>68.959999999999994</v>
          </cell>
          <cell r="J101">
            <v>57.82</v>
          </cell>
          <cell r="K101">
            <v>47.35</v>
          </cell>
          <cell r="L101">
            <v>41.08</v>
          </cell>
          <cell r="M101">
            <v>33.200000000000003</v>
          </cell>
          <cell r="N101">
            <v>30.97</v>
          </cell>
          <cell r="O101">
            <v>29.1</v>
          </cell>
          <cell r="P101">
            <v>27.39</v>
          </cell>
          <cell r="Q101">
            <v>21.17</v>
          </cell>
          <cell r="R101">
            <v>26.11</v>
          </cell>
        </row>
        <row r="102">
          <cell r="I102">
            <v>80.400000000000006</v>
          </cell>
          <cell r="J102">
            <v>74.33</v>
          </cell>
          <cell r="K102">
            <v>58.81</v>
          </cell>
          <cell r="L102">
            <v>48.01</v>
          </cell>
          <cell r="M102">
            <v>42.69</v>
          </cell>
          <cell r="N102">
            <v>33.15</v>
          </cell>
          <cell r="O102">
            <v>34.979999999999997</v>
          </cell>
          <cell r="P102">
            <v>29.52</v>
          </cell>
          <cell r="Q102">
            <v>25.95</v>
          </cell>
          <cell r="R102">
            <v>28.96</v>
          </cell>
        </row>
        <row r="103">
          <cell r="I103">
            <v>73.209999999999994</v>
          </cell>
          <cell r="J103">
            <v>61.74</v>
          </cell>
          <cell r="K103">
            <v>52.02</v>
          </cell>
          <cell r="L103">
            <v>44.19</v>
          </cell>
          <cell r="M103">
            <v>35.11</v>
          </cell>
          <cell r="N103">
            <v>30.6</v>
          </cell>
          <cell r="O103">
            <v>31.51</v>
          </cell>
          <cell r="P103">
            <v>26.52</v>
          </cell>
          <cell r="Q103">
            <v>20.2</v>
          </cell>
          <cell r="R103">
            <v>25.09</v>
          </cell>
        </row>
        <row r="104">
          <cell r="I104">
            <v>85.54</v>
          </cell>
          <cell r="J104">
            <v>81.319999999999993</v>
          </cell>
          <cell r="K104">
            <v>56.41</v>
          </cell>
          <cell r="L104">
            <v>53.4</v>
          </cell>
          <cell r="M104">
            <v>44.87</v>
          </cell>
          <cell r="N104">
            <v>35.07</v>
          </cell>
          <cell r="O104">
            <v>34.94</v>
          </cell>
          <cell r="P104">
            <v>29.98</v>
          </cell>
          <cell r="Q104">
            <v>26.37</v>
          </cell>
          <cell r="R104">
            <v>28.54</v>
          </cell>
        </row>
        <row r="105">
          <cell r="I105">
            <v>78.900000000000006</v>
          </cell>
          <cell r="J105">
            <v>70.599999999999994</v>
          </cell>
          <cell r="K105">
            <v>51.28</v>
          </cell>
          <cell r="L105">
            <v>46.94</v>
          </cell>
          <cell r="M105">
            <v>38.590000000000003</v>
          </cell>
          <cell r="N105">
            <v>30.91</v>
          </cell>
          <cell r="O105">
            <v>31.34</v>
          </cell>
          <cell r="P105">
            <v>26.41</v>
          </cell>
          <cell r="Q105">
            <v>22.81</v>
          </cell>
          <cell r="R105">
            <v>25.81</v>
          </cell>
        </row>
        <row r="106">
          <cell r="I106">
            <v>88.69</v>
          </cell>
          <cell r="J106">
            <v>81.16</v>
          </cell>
          <cell r="K106">
            <v>58.18</v>
          </cell>
          <cell r="L106">
            <v>52.68</v>
          </cell>
          <cell r="M106">
            <v>45.19</v>
          </cell>
          <cell r="N106">
            <v>36.94</v>
          </cell>
          <cell r="O106">
            <v>34.32</v>
          </cell>
          <cell r="P106">
            <v>29.81</v>
          </cell>
          <cell r="Q106">
            <v>28.8</v>
          </cell>
          <cell r="R106">
            <v>28.25</v>
          </cell>
        </row>
        <row r="107">
          <cell r="I107">
            <v>82.42</v>
          </cell>
          <cell r="J107">
            <v>71.88</v>
          </cell>
          <cell r="K107">
            <v>51.48</v>
          </cell>
          <cell r="L107">
            <v>47.01</v>
          </cell>
          <cell r="M107">
            <v>39.4</v>
          </cell>
          <cell r="N107">
            <v>34.94</v>
          </cell>
          <cell r="O107">
            <v>28.87</v>
          </cell>
          <cell r="P107">
            <v>26.82</v>
          </cell>
          <cell r="Q107">
            <v>24.65</v>
          </cell>
          <cell r="R107">
            <v>25.49</v>
          </cell>
        </row>
        <row r="108">
          <cell r="I108">
            <v>36.745202639019794</v>
          </cell>
          <cell r="J108">
            <v>33.450000000000003</v>
          </cell>
          <cell r="K108">
            <v>31.35</v>
          </cell>
          <cell r="L108">
            <v>31.62</v>
          </cell>
          <cell r="M108">
            <v>28.14</v>
          </cell>
          <cell r="N108">
            <v>25.876837186855614</v>
          </cell>
          <cell r="O108">
            <v>24.879991616290869</v>
          </cell>
          <cell r="P108">
            <v>23.569582999718683</v>
          </cell>
          <cell r="Q108">
            <v>23.758578912901115</v>
          </cell>
          <cell r="R108">
            <v>22.820426724185854</v>
          </cell>
        </row>
        <row r="113">
          <cell r="I113">
            <v>0.108</v>
          </cell>
          <cell r="J113">
            <v>0.105</v>
          </cell>
          <cell r="K113">
            <v>0.1</v>
          </cell>
          <cell r="L113">
            <v>0.10199999999999999</v>
          </cell>
          <cell r="M113">
            <v>9.8000000000000004E-2</v>
          </cell>
          <cell r="N113">
            <v>8.3297938918196424E-2</v>
          </cell>
          <cell r="O113">
            <v>8.5520016942695926E-2</v>
          </cell>
          <cell r="P113">
            <v>8.7185418321332489E-2</v>
          </cell>
          <cell r="Q113">
            <v>8.6681501437724351E-2</v>
          </cell>
          <cell r="R113">
            <v>8.7999999999999995E-2</v>
          </cell>
        </row>
        <row r="114">
          <cell r="I114">
            <v>5.6000000000000001E-2</v>
          </cell>
          <cell r="J114">
            <v>5.5E-2</v>
          </cell>
          <cell r="K114">
            <v>5.1999999999999998E-2</v>
          </cell>
          <cell r="L114">
            <v>5.1999999999999998E-2</v>
          </cell>
          <cell r="M114">
            <v>4.8000000000000001E-2</v>
          </cell>
          <cell r="N114">
            <v>4.0231888705646007E-2</v>
          </cell>
          <cell r="O114">
            <v>4.3176826787451009E-2</v>
          </cell>
          <cell r="P114">
            <v>4.4499578680161404E-2</v>
          </cell>
          <cell r="Q114">
            <v>4.2668457525681526E-2</v>
          </cell>
          <cell r="R114">
            <v>4.2999999999999997E-2</v>
          </cell>
        </row>
        <row r="115">
          <cell r="I115">
            <v>4.4999999999999998E-2</v>
          </cell>
          <cell r="J115">
            <v>4.4999999999999998E-2</v>
          </cell>
          <cell r="K115">
            <v>4.4999999999999998E-2</v>
          </cell>
          <cell r="L115">
            <v>4.4999999999999998E-2</v>
          </cell>
          <cell r="M115">
            <v>4.2999999999999997E-2</v>
          </cell>
          <cell r="N115">
            <v>3.618310387082551E-2</v>
          </cell>
          <cell r="O115">
            <v>3.8142668443685655E-2</v>
          </cell>
          <cell r="P115">
            <v>4.1128106498813176E-2</v>
          </cell>
          <cell r="Q115">
            <v>4.2747157694961804E-2</v>
          </cell>
          <cell r="R115">
            <v>4.4999999999999998E-2</v>
          </cell>
        </row>
        <row r="119">
          <cell r="I119">
            <v>8724</v>
          </cell>
          <cell r="J119">
            <v>9094</v>
          </cell>
          <cell r="K119">
            <v>9826</v>
          </cell>
          <cell r="L119">
            <v>11729</v>
          </cell>
          <cell r="M119">
            <v>10695</v>
          </cell>
          <cell r="N119">
            <v>8433</v>
          </cell>
          <cell r="O119">
            <v>10187</v>
          </cell>
          <cell r="P119">
            <v>10735</v>
          </cell>
          <cell r="Q119">
            <v>10261</v>
          </cell>
          <cell r="R119">
            <v>10854.609817299999</v>
          </cell>
        </row>
        <row r="120">
          <cell r="I120">
            <v>4575</v>
          </cell>
          <cell r="J120">
            <v>4538</v>
          </cell>
          <cell r="K120">
            <v>4845</v>
          </cell>
          <cell r="L120">
            <v>5650</v>
          </cell>
          <cell r="M120">
            <v>5143</v>
          </cell>
          <cell r="N120">
            <v>3972</v>
          </cell>
          <cell r="O120">
            <v>4642</v>
          </cell>
          <cell r="P120">
            <v>5049</v>
          </cell>
          <cell r="Q120">
            <v>4659</v>
          </cell>
          <cell r="R120">
            <v>5017.1545153999996</v>
          </cell>
        </row>
        <row r="121">
          <cell r="I121">
            <v>1517</v>
          </cell>
          <cell r="J121">
            <v>1048</v>
          </cell>
          <cell r="K121">
            <v>693</v>
          </cell>
          <cell r="L121">
            <v>810</v>
          </cell>
          <cell r="M121">
            <v>811</v>
          </cell>
          <cell r="N121">
            <v>995</v>
          </cell>
          <cell r="O121">
            <v>821</v>
          </cell>
          <cell r="P121">
            <v>724</v>
          </cell>
          <cell r="Q121">
            <v>960</v>
          </cell>
          <cell r="R121">
            <v>1714.5599533</v>
          </cell>
        </row>
        <row r="122">
          <cell r="I122">
            <v>859</v>
          </cell>
          <cell r="J122">
            <v>916</v>
          </cell>
          <cell r="K122">
            <v>1025</v>
          </cell>
          <cell r="L122">
            <v>1234</v>
          </cell>
          <cell r="M122">
            <v>1179</v>
          </cell>
          <cell r="N122">
            <v>980</v>
          </cell>
          <cell r="O122">
            <v>1111</v>
          </cell>
          <cell r="P122">
            <v>1192</v>
          </cell>
          <cell r="Q122">
            <v>1176</v>
          </cell>
          <cell r="R122">
            <v>1252.6995403999999</v>
          </cell>
        </row>
        <row r="130">
          <cell r="I130">
            <v>16060</v>
          </cell>
          <cell r="J130">
            <v>15417</v>
          </cell>
          <cell r="K130">
            <v>18606</v>
          </cell>
          <cell r="L130">
            <v>21324</v>
          </cell>
          <cell r="M130">
            <v>18367</v>
          </cell>
          <cell r="N130">
            <v>17441</v>
          </cell>
          <cell r="O130">
            <v>16748</v>
          </cell>
          <cell r="P130">
            <v>17596</v>
          </cell>
          <cell r="Q130">
            <v>17034</v>
          </cell>
          <cell r="R130">
            <v>18789.664000000001</v>
          </cell>
        </row>
        <row r="132">
          <cell r="I132">
            <v>3.1199999999999999E-2</v>
          </cell>
          <cell r="J132">
            <v>3.3300000000000003E-2</v>
          </cell>
          <cell r="K132">
            <v>3.6578607167145429E-2</v>
          </cell>
          <cell r="L132">
            <v>3.5000000000000003E-2</v>
          </cell>
          <cell r="M132">
            <v>3.3099999999999997E-2</v>
          </cell>
          <cell r="N132">
            <v>3.49E-2</v>
          </cell>
          <cell r="O132">
            <v>3.5799999999999998E-2</v>
          </cell>
          <cell r="P132">
            <v>3.4000000000000002E-2</v>
          </cell>
          <cell r="Q132">
            <v>3.4299999999999997E-2</v>
          </cell>
          <cell r="R132">
            <v>3.1732611870051476E-2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Plant"/>
      <sheetName val="Reserve"/>
      <sheetName val="Net Plant"/>
      <sheetName val="Capital Spending"/>
      <sheetName val="2019 Capital Budget"/>
    </sheetNames>
    <sheetDataSet>
      <sheetData sheetId="0">
        <row r="7">
          <cell r="C7">
            <v>1466644.813847549</v>
          </cell>
          <cell r="D7">
            <v>1779523.200019439</v>
          </cell>
          <cell r="Q7">
            <v>1586282.2275308841</v>
          </cell>
          <cell r="AF7">
            <v>1906437.8822358211</v>
          </cell>
        </row>
        <row r="8">
          <cell r="C8">
            <v>9187158.2392307688</v>
          </cell>
          <cell r="D8">
            <v>9187141.9699999988</v>
          </cell>
          <cell r="Q8">
            <v>9187141.9699999988</v>
          </cell>
          <cell r="AF8">
            <v>9187141.9699999988</v>
          </cell>
        </row>
        <row r="9">
          <cell r="C9">
            <v>9316001.1800000034</v>
          </cell>
          <cell r="D9">
            <v>9316001.1800000034</v>
          </cell>
          <cell r="Q9">
            <v>9316001.1799999997</v>
          </cell>
          <cell r="AF9">
            <v>9316001.1799999997</v>
          </cell>
        </row>
        <row r="10">
          <cell r="C10">
            <v>0</v>
          </cell>
          <cell r="D10">
            <v>0</v>
          </cell>
          <cell r="Q10">
            <v>0</v>
          </cell>
          <cell r="AF10">
            <v>0</v>
          </cell>
        </row>
        <row r="11">
          <cell r="C11">
            <v>2772.3765844204895</v>
          </cell>
          <cell r="D11">
            <v>16610.270993162954</v>
          </cell>
          <cell r="Q11">
            <v>7891.1869509959633</v>
          </cell>
          <cell r="AF11">
            <v>22336.69518871027</v>
          </cell>
        </row>
        <row r="12">
          <cell r="C12">
            <v>5127587.4098251574</v>
          </cell>
          <cell r="D12">
            <v>5173166.5316175232</v>
          </cell>
          <cell r="Q12">
            <v>5144630.4368824754</v>
          </cell>
          <cell r="AF12">
            <v>5191908.1543094171</v>
          </cell>
        </row>
        <row r="13">
          <cell r="C13">
            <v>0</v>
          </cell>
          <cell r="D13">
            <v>0</v>
          </cell>
          <cell r="Q13">
            <v>0</v>
          </cell>
          <cell r="AF13">
            <v>0</v>
          </cell>
        </row>
        <row r="14">
          <cell r="C14">
            <v>0</v>
          </cell>
          <cell r="D14">
            <v>0</v>
          </cell>
          <cell r="Q14">
            <v>0</v>
          </cell>
          <cell r="AF14">
            <v>0</v>
          </cell>
        </row>
        <row r="15">
          <cell r="C15">
            <v>78243.774345026046</v>
          </cell>
          <cell r="D15">
            <v>149149.01237200247</v>
          </cell>
          <cell r="Q15">
            <v>104316.45389568045</v>
          </cell>
          <cell r="AF15">
            <v>178593.64742374749</v>
          </cell>
        </row>
        <row r="16">
          <cell r="C16">
            <v>263337.89000000007</v>
          </cell>
          <cell r="D16">
            <v>263337.89000000007</v>
          </cell>
          <cell r="Q16">
            <v>263337.89</v>
          </cell>
          <cell r="AF16">
            <v>263337.89</v>
          </cell>
        </row>
        <row r="17">
          <cell r="C17">
            <v>7125.4100000000026</v>
          </cell>
          <cell r="D17">
            <v>7125.4100000000026</v>
          </cell>
          <cell r="Q17">
            <v>7125.41</v>
          </cell>
          <cell r="AF17">
            <v>7125.41</v>
          </cell>
        </row>
        <row r="18">
          <cell r="C18">
            <v>0</v>
          </cell>
          <cell r="D18">
            <v>0</v>
          </cell>
          <cell r="Q18">
            <v>0</v>
          </cell>
          <cell r="AF18">
            <v>0</v>
          </cell>
        </row>
        <row r="19">
          <cell r="C19">
            <v>76071.339999999982</v>
          </cell>
          <cell r="D19">
            <v>76071.339999999982</v>
          </cell>
          <cell r="Q19">
            <v>76071.34</v>
          </cell>
          <cell r="AF19">
            <v>76071.34</v>
          </cell>
        </row>
        <row r="20">
          <cell r="C20">
            <v>0</v>
          </cell>
          <cell r="D20">
            <v>0</v>
          </cell>
          <cell r="Q20">
            <v>0</v>
          </cell>
          <cell r="AF20">
            <v>0</v>
          </cell>
        </row>
        <row r="21">
          <cell r="C21">
            <v>0</v>
          </cell>
          <cell r="D21">
            <v>0</v>
          </cell>
          <cell r="Q21">
            <v>0</v>
          </cell>
          <cell r="AF21">
            <v>0</v>
          </cell>
        </row>
        <row r="22">
          <cell r="C22">
            <v>1039344.41</v>
          </cell>
          <cell r="D22">
            <v>1039344.41</v>
          </cell>
          <cell r="Q22">
            <v>1039344.41</v>
          </cell>
          <cell r="AF22">
            <v>1039344.41</v>
          </cell>
        </row>
        <row r="23">
          <cell r="C23">
            <v>8824.3399999999983</v>
          </cell>
          <cell r="D23">
            <v>8824.3399999999983</v>
          </cell>
          <cell r="Q23">
            <v>8824.34</v>
          </cell>
          <cell r="AF23">
            <v>8824.34</v>
          </cell>
        </row>
        <row r="24">
          <cell r="C24">
            <v>136509.51999999999</v>
          </cell>
          <cell r="D24">
            <v>136509.51999999999</v>
          </cell>
          <cell r="Q24">
            <v>136509.51999999999</v>
          </cell>
          <cell r="AF24">
            <v>136509.51999999999</v>
          </cell>
        </row>
        <row r="25">
          <cell r="C25">
            <v>7388.39</v>
          </cell>
          <cell r="D25">
            <v>7388.39</v>
          </cell>
          <cell r="Q25">
            <v>7388.39</v>
          </cell>
          <cell r="AF25">
            <v>7388.39</v>
          </cell>
        </row>
        <row r="26">
          <cell r="C26">
            <v>162203.40513103298</v>
          </cell>
          <cell r="D26">
            <v>161815.07353029138</v>
          </cell>
          <cell r="Q26">
            <v>162075.01267508627</v>
          </cell>
          <cell r="AF26">
            <v>161644.35355547245</v>
          </cell>
        </row>
        <row r="27">
          <cell r="C27">
            <v>37881111.426958598</v>
          </cell>
          <cell r="D27">
            <v>42848022.998476818</v>
          </cell>
          <cell r="Q27">
            <v>39780342.823798552</v>
          </cell>
          <cell r="AF27">
            <v>44862780.270172134</v>
          </cell>
        </row>
        <row r="28">
          <cell r="C28">
            <v>20046455.105479833</v>
          </cell>
          <cell r="D28">
            <v>25907654.764438707</v>
          </cell>
          <cell r="Q28">
            <v>22284605.143400677</v>
          </cell>
          <cell r="AF28">
            <v>28287161.477671895</v>
          </cell>
        </row>
        <row r="29">
          <cell r="C29">
            <v>4287497.3489874136</v>
          </cell>
          <cell r="D29">
            <v>8469471.429379439</v>
          </cell>
          <cell r="Q29">
            <v>5886586.9159924621</v>
          </cell>
          <cell r="AF29">
            <v>10165829.93449687</v>
          </cell>
        </row>
        <row r="30">
          <cell r="C30">
            <v>0</v>
          </cell>
          <cell r="D30">
            <v>0</v>
          </cell>
          <cell r="Q30">
            <v>0</v>
          </cell>
          <cell r="AF30">
            <v>0</v>
          </cell>
        </row>
        <row r="31">
          <cell r="C31">
            <v>0</v>
          </cell>
          <cell r="D31">
            <v>0</v>
          </cell>
          <cell r="Q31">
            <v>0</v>
          </cell>
          <cell r="AF31">
            <v>0</v>
          </cell>
        </row>
        <row r="32">
          <cell r="C32">
            <v>2484331.0274204458</v>
          </cell>
          <cell r="D32">
            <v>2624239.8617039579</v>
          </cell>
          <cell r="Q32">
            <v>2537000.2289227215</v>
          </cell>
          <cell r="AF32">
            <v>2681536.1489691255</v>
          </cell>
        </row>
        <row r="33">
          <cell r="C33">
            <v>1504610.5911255197</v>
          </cell>
          <cell r="D33">
            <v>1665290.7183161215</v>
          </cell>
          <cell r="Q33">
            <v>1564492.3401954449</v>
          </cell>
          <cell r="AF33">
            <v>1731491.9693363735</v>
          </cell>
        </row>
        <row r="34">
          <cell r="C34">
            <v>68387776.507712141</v>
          </cell>
          <cell r="D34">
            <v>74938242.899011001</v>
          </cell>
          <cell r="Q34">
            <v>70884070.994293749</v>
          </cell>
          <cell r="AF34">
            <v>77600897.367737845</v>
          </cell>
        </row>
        <row r="35">
          <cell r="C35">
            <v>39251.620000000003</v>
          </cell>
          <cell r="D35">
            <v>39251.620000000003</v>
          </cell>
          <cell r="Q35">
            <v>39251.620000000003</v>
          </cell>
          <cell r="AF35">
            <v>39251.620000000003</v>
          </cell>
        </row>
        <row r="36">
          <cell r="C36">
            <v>1628899.91</v>
          </cell>
          <cell r="D36">
            <v>1628899.91</v>
          </cell>
          <cell r="Q36">
            <v>1628899.91</v>
          </cell>
          <cell r="AF36">
            <v>1628899.91</v>
          </cell>
        </row>
        <row r="37">
          <cell r="C37">
            <v>961255.64000000013</v>
          </cell>
          <cell r="D37">
            <v>961255.64000000013</v>
          </cell>
          <cell r="Q37">
            <v>961255.64</v>
          </cell>
          <cell r="AF37">
            <v>961255.64</v>
          </cell>
        </row>
        <row r="38">
          <cell r="C38">
            <v>60170.359999999993</v>
          </cell>
          <cell r="D38">
            <v>60170.359999999993</v>
          </cell>
          <cell r="Q38">
            <v>60170.36</v>
          </cell>
          <cell r="AF38">
            <v>60170.36</v>
          </cell>
        </row>
        <row r="39">
          <cell r="C39">
            <v>0</v>
          </cell>
          <cell r="D39">
            <v>0</v>
          </cell>
          <cell r="Q39">
            <v>0</v>
          </cell>
          <cell r="AF39">
            <v>0</v>
          </cell>
        </row>
        <row r="40">
          <cell r="C40">
            <v>314379.42</v>
          </cell>
          <cell r="D40">
            <v>314379.42</v>
          </cell>
          <cell r="Q40">
            <v>314379.42</v>
          </cell>
          <cell r="AF40">
            <v>314379.42</v>
          </cell>
        </row>
        <row r="41">
          <cell r="C41">
            <v>20690005.245267909</v>
          </cell>
          <cell r="D41">
            <v>20761925.421449766</v>
          </cell>
          <cell r="Q41">
            <v>20716774.299255569</v>
          </cell>
          <cell r="AF41">
            <v>20791579.279279158</v>
          </cell>
        </row>
        <row r="42">
          <cell r="C42">
            <v>297266.60999999993</v>
          </cell>
          <cell r="D42">
            <v>297266.60999999993</v>
          </cell>
          <cell r="Q42">
            <v>297266.61</v>
          </cell>
          <cell r="AF42">
            <v>297266.61</v>
          </cell>
        </row>
        <row r="43">
          <cell r="C43">
            <v>345729.64000000007</v>
          </cell>
          <cell r="D43">
            <v>345729.64000000007</v>
          </cell>
          <cell r="Q43">
            <v>345729.64</v>
          </cell>
          <cell r="AF43">
            <v>345729.64</v>
          </cell>
        </row>
        <row r="44">
          <cell r="C44">
            <v>17976335.601161104</v>
          </cell>
          <cell r="D44">
            <v>20120780.247922525</v>
          </cell>
          <cell r="Q44">
            <v>18754055.436205696</v>
          </cell>
          <cell r="AF44">
            <v>21018402.749623403</v>
          </cell>
        </row>
        <row r="50">
          <cell r="C50">
            <v>2874239.86</v>
          </cell>
          <cell r="D50">
            <v>2874239.86</v>
          </cell>
          <cell r="Q50">
            <v>2874239.86</v>
          </cell>
          <cell r="AF50">
            <v>2874239.86</v>
          </cell>
        </row>
        <row r="51">
          <cell r="C51">
            <v>1886442.9200000006</v>
          </cell>
          <cell r="D51">
            <v>1886442.9200000006</v>
          </cell>
          <cell r="Q51">
            <v>1886442.92</v>
          </cell>
          <cell r="AF51">
            <v>1886442.92</v>
          </cell>
        </row>
        <row r="52">
          <cell r="C52">
            <v>12669002.610000001</v>
          </cell>
          <cell r="D52">
            <v>12669002.610000001</v>
          </cell>
          <cell r="Q52">
            <v>12669002.609999999</v>
          </cell>
          <cell r="AF52">
            <v>12669002.609999999</v>
          </cell>
        </row>
        <row r="53">
          <cell r="C53">
            <v>2820613.55</v>
          </cell>
          <cell r="D53">
            <v>2820613.55</v>
          </cell>
          <cell r="Q53">
            <v>2820613.55</v>
          </cell>
          <cell r="AF53">
            <v>2820613.55</v>
          </cell>
        </row>
        <row r="54">
          <cell r="C54">
            <v>12305840</v>
          </cell>
          <cell r="D54">
            <v>12305840</v>
          </cell>
          <cell r="Q54">
            <v>12305840</v>
          </cell>
          <cell r="AF54">
            <v>12305840</v>
          </cell>
        </row>
        <row r="55">
          <cell r="C55">
            <v>2389011.0344963623</v>
          </cell>
          <cell r="D55">
            <v>2530129.2800050252</v>
          </cell>
          <cell r="Q55">
            <v>2418422.2050698451</v>
          </cell>
          <cell r="AF55">
            <v>2601911.9417261141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Q57">
            <v>0</v>
          </cell>
          <cell r="AF57">
            <v>0</v>
          </cell>
        </row>
        <row r="58">
          <cell r="C58">
            <v>0</v>
          </cell>
          <cell r="D58">
            <v>0</v>
          </cell>
          <cell r="Q58">
            <v>0</v>
          </cell>
          <cell r="AF58">
            <v>0</v>
          </cell>
        </row>
        <row r="59">
          <cell r="C59">
            <v>395234.07290416886</v>
          </cell>
          <cell r="D59">
            <v>515906.87122588517</v>
          </cell>
          <cell r="Q59">
            <v>417639.07316438382</v>
          </cell>
          <cell r="AF59">
            <v>579053.49027770583</v>
          </cell>
        </row>
        <row r="60">
          <cell r="C60">
            <v>96290.219999999987</v>
          </cell>
          <cell r="D60">
            <v>96290.219999999987</v>
          </cell>
          <cell r="Q60">
            <v>96290.22</v>
          </cell>
          <cell r="AF60">
            <v>96290.22</v>
          </cell>
        </row>
        <row r="61">
          <cell r="C61">
            <v>419762.49121308059</v>
          </cell>
          <cell r="D61">
            <v>607804.29194008734</v>
          </cell>
          <cell r="Q61">
            <v>458264.58504472178</v>
          </cell>
          <cell r="AF61">
            <v>703898.09978681128</v>
          </cell>
        </row>
        <row r="62">
          <cell r="C62">
            <v>23632.070000000003</v>
          </cell>
          <cell r="D62">
            <v>23632.070000000003</v>
          </cell>
          <cell r="Q62">
            <v>23632.07</v>
          </cell>
          <cell r="AF62">
            <v>23632.07</v>
          </cell>
        </row>
        <row r="63">
          <cell r="C63">
            <v>1913117.1099999996</v>
          </cell>
          <cell r="D63">
            <v>1913117.1099999996</v>
          </cell>
          <cell r="Q63">
            <v>1913117.11</v>
          </cell>
          <cell r="AF63">
            <v>1913117.11</v>
          </cell>
        </row>
        <row r="64">
          <cell r="C64">
            <v>291500.62000000005</v>
          </cell>
          <cell r="D64">
            <v>291500.62000000005</v>
          </cell>
          <cell r="Q64">
            <v>291500.62</v>
          </cell>
          <cell r="AF64">
            <v>291500.62</v>
          </cell>
        </row>
        <row r="65">
          <cell r="C65">
            <v>70015.660000000018</v>
          </cell>
          <cell r="D65">
            <v>70015.660000000018</v>
          </cell>
          <cell r="Q65">
            <v>70015.66</v>
          </cell>
          <cell r="AF65">
            <v>70015.66</v>
          </cell>
        </row>
        <row r="66">
          <cell r="C66">
            <v>509282.84999999992</v>
          </cell>
          <cell r="D66">
            <v>509282.84999999992</v>
          </cell>
          <cell r="Q66">
            <v>509282.85</v>
          </cell>
          <cell r="AF66">
            <v>509282.85</v>
          </cell>
        </row>
        <row r="67">
          <cell r="C67">
            <v>629166.46</v>
          </cell>
          <cell r="D67">
            <v>629166.46</v>
          </cell>
          <cell r="Q67">
            <v>629166.46</v>
          </cell>
          <cell r="AF67">
            <v>629166.46</v>
          </cell>
        </row>
        <row r="68">
          <cell r="C68">
            <v>10343248.639999999</v>
          </cell>
          <cell r="D68">
            <v>10343248.639999999</v>
          </cell>
          <cell r="Q68">
            <v>10343248.640000001</v>
          </cell>
          <cell r="AF68">
            <v>10343248.640000001</v>
          </cell>
        </row>
        <row r="69">
          <cell r="C69">
            <v>2023936.4499999995</v>
          </cell>
          <cell r="D69">
            <v>2023936.4499999995</v>
          </cell>
          <cell r="Q69">
            <v>2023936.45</v>
          </cell>
          <cell r="AF69">
            <v>2023936.45</v>
          </cell>
        </row>
        <row r="70">
          <cell r="C70">
            <v>629225.62</v>
          </cell>
          <cell r="D70">
            <v>629225.62</v>
          </cell>
          <cell r="Q70">
            <v>629225.62</v>
          </cell>
          <cell r="AF70">
            <v>629225.62</v>
          </cell>
        </row>
        <row r="71">
          <cell r="C71">
            <v>1003829.4933386662</v>
          </cell>
          <cell r="D71">
            <v>1046767.6452688724</v>
          </cell>
          <cell r="Q71">
            <v>1012629.3512530879</v>
          </cell>
          <cell r="AF71">
            <v>1068704.8199061288</v>
          </cell>
        </row>
        <row r="72">
          <cell r="C72">
            <v>190246.97000000003</v>
          </cell>
          <cell r="D72">
            <v>190246.97000000003</v>
          </cell>
          <cell r="Q72">
            <v>190246.97</v>
          </cell>
          <cell r="AF72">
            <v>190246.97</v>
          </cell>
        </row>
        <row r="73">
          <cell r="C73">
            <v>90401788.944546491</v>
          </cell>
          <cell r="D73">
            <v>93042822.981155649</v>
          </cell>
          <cell r="Q73">
            <v>90927931.236683995</v>
          </cell>
          <cell r="AF73">
            <v>94401846.64870961</v>
          </cell>
        </row>
        <row r="74">
          <cell r="C74">
            <v>339657.73000000004</v>
          </cell>
          <cell r="D74">
            <v>339657.73000000004</v>
          </cell>
          <cell r="Q74">
            <v>339657.73</v>
          </cell>
          <cell r="AF74">
            <v>339657.73</v>
          </cell>
        </row>
        <row r="75">
          <cell r="C75">
            <v>274365.75350122631</v>
          </cell>
          <cell r="D75">
            <v>449494.70809674636</v>
          </cell>
          <cell r="Q75">
            <v>309715.19878395781</v>
          </cell>
          <cell r="AF75">
            <v>539316.63959358225</v>
          </cell>
        </row>
        <row r="76">
          <cell r="C76">
            <v>103891.78000000001</v>
          </cell>
          <cell r="D76">
            <v>103891.78000000001</v>
          </cell>
          <cell r="Q76">
            <v>103891.78</v>
          </cell>
          <cell r="AF76">
            <v>103891.78</v>
          </cell>
        </row>
        <row r="77">
          <cell r="C77">
            <v>20560.16</v>
          </cell>
          <cell r="D77">
            <v>20560.16</v>
          </cell>
          <cell r="Q77">
            <v>20560.16</v>
          </cell>
          <cell r="AF77">
            <v>20560.16</v>
          </cell>
        </row>
        <row r="78">
          <cell r="C78">
            <v>0</v>
          </cell>
          <cell r="D78">
            <v>0</v>
          </cell>
          <cell r="Q78">
            <v>0</v>
          </cell>
          <cell r="AF78">
            <v>0</v>
          </cell>
        </row>
        <row r="84">
          <cell r="C84">
            <v>185309.27</v>
          </cell>
          <cell r="D84">
            <v>185309.27</v>
          </cell>
          <cell r="Q84">
            <v>185309.27</v>
          </cell>
          <cell r="AF84">
            <v>185309.27</v>
          </cell>
        </row>
        <row r="85">
          <cell r="C85">
            <v>1109551.68</v>
          </cell>
          <cell r="D85">
            <v>1109551.68</v>
          </cell>
          <cell r="Q85">
            <v>1109551.68</v>
          </cell>
          <cell r="AF85">
            <v>1109551.68</v>
          </cell>
        </row>
        <row r="86">
          <cell r="C86">
            <v>179338.52</v>
          </cell>
          <cell r="D86">
            <v>179338.52</v>
          </cell>
          <cell r="Q86">
            <v>179338.52</v>
          </cell>
          <cell r="AF86">
            <v>179338.52</v>
          </cell>
        </row>
        <row r="87">
          <cell r="C87">
            <v>15383.910000000002</v>
          </cell>
          <cell r="D87">
            <v>15383.910000000002</v>
          </cell>
          <cell r="Q87">
            <v>15383.91</v>
          </cell>
          <cell r="AF87">
            <v>15383.91</v>
          </cell>
        </row>
        <row r="88">
          <cell r="C88">
            <v>38834</v>
          </cell>
          <cell r="D88">
            <v>38834</v>
          </cell>
          <cell r="Q88">
            <v>38834</v>
          </cell>
          <cell r="AF88">
            <v>38834</v>
          </cell>
        </row>
        <row r="89">
          <cell r="C89">
            <v>39252.686923076937</v>
          </cell>
          <cell r="D89">
            <v>38609.330000000009</v>
          </cell>
          <cell r="Q89">
            <v>38609.33</v>
          </cell>
          <cell r="AF89">
            <v>38609.33</v>
          </cell>
        </row>
        <row r="90">
          <cell r="C90">
            <v>0</v>
          </cell>
          <cell r="D90">
            <v>0</v>
          </cell>
          <cell r="Q90">
            <v>0</v>
          </cell>
          <cell r="AF90">
            <v>0</v>
          </cell>
        </row>
        <row r="91">
          <cell r="C91">
            <v>0</v>
          </cell>
          <cell r="D91">
            <v>0</v>
          </cell>
          <cell r="Q91">
            <v>0</v>
          </cell>
          <cell r="AF91">
            <v>0</v>
          </cell>
        </row>
        <row r="92">
          <cell r="C92">
            <v>27284.69</v>
          </cell>
          <cell r="D92">
            <v>27284.69</v>
          </cell>
          <cell r="Q92">
            <v>27284.69</v>
          </cell>
          <cell r="AF92">
            <v>27284.69</v>
          </cell>
        </row>
        <row r="93">
          <cell r="C93">
            <v>0</v>
          </cell>
          <cell r="D93">
            <v>0</v>
          </cell>
          <cell r="Q93">
            <v>0</v>
          </cell>
          <cell r="AF93">
            <v>0</v>
          </cell>
        </row>
        <row r="94">
          <cell r="C94">
            <v>175867.43999999997</v>
          </cell>
          <cell r="D94">
            <v>175867.43999999997</v>
          </cell>
          <cell r="Q94">
            <v>175867.44</v>
          </cell>
          <cell r="AF94">
            <v>175867.44</v>
          </cell>
        </row>
        <row r="95">
          <cell r="C95">
            <v>20515.689999999999</v>
          </cell>
          <cell r="D95">
            <v>20515.689999999999</v>
          </cell>
          <cell r="Q95">
            <v>20515.689999999999</v>
          </cell>
          <cell r="AF95">
            <v>20515.689999999999</v>
          </cell>
        </row>
        <row r="96">
          <cell r="C96">
            <v>37541</v>
          </cell>
          <cell r="D96">
            <v>37541</v>
          </cell>
          <cell r="Q96">
            <v>37541</v>
          </cell>
          <cell r="AF96">
            <v>37541</v>
          </cell>
        </row>
        <row r="97">
          <cell r="C97">
            <v>0</v>
          </cell>
          <cell r="D97">
            <v>0</v>
          </cell>
          <cell r="Q97">
            <v>0</v>
          </cell>
          <cell r="AF97">
            <v>0</v>
          </cell>
        </row>
        <row r="98">
          <cell r="C98">
            <v>0</v>
          </cell>
          <cell r="D98">
            <v>0</v>
          </cell>
          <cell r="Q98">
            <v>0</v>
          </cell>
          <cell r="AF98">
            <v>0</v>
          </cell>
        </row>
        <row r="99">
          <cell r="C99">
            <v>814166.88000000012</v>
          </cell>
          <cell r="D99">
            <v>814166.88000000012</v>
          </cell>
          <cell r="Q99">
            <v>814166.88</v>
          </cell>
          <cell r="AF99">
            <v>814166.88</v>
          </cell>
        </row>
        <row r="100">
          <cell r="C100">
            <v>0</v>
          </cell>
          <cell r="D100">
            <v>0</v>
          </cell>
          <cell r="Q100">
            <v>0</v>
          </cell>
          <cell r="AF100">
            <v>0</v>
          </cell>
        </row>
        <row r="101">
          <cell r="C101">
            <v>0</v>
          </cell>
          <cell r="D101">
            <v>0</v>
          </cell>
          <cell r="Q101">
            <v>0</v>
          </cell>
          <cell r="AF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  <cell r="AF102">
            <v>0</v>
          </cell>
        </row>
        <row r="103">
          <cell r="C103">
            <v>0</v>
          </cell>
          <cell r="D103">
            <v>0</v>
          </cell>
          <cell r="Q103">
            <v>0</v>
          </cell>
          <cell r="AF103">
            <v>0</v>
          </cell>
        </row>
        <row r="104">
          <cell r="C104">
            <v>70177.670000000013</v>
          </cell>
          <cell r="D104">
            <v>70177.670000000013</v>
          </cell>
          <cell r="Q104">
            <v>70177.67</v>
          </cell>
          <cell r="AF104">
            <v>70177.67</v>
          </cell>
        </row>
        <row r="105">
          <cell r="C105">
            <v>88807.234615384616</v>
          </cell>
          <cell r="D105">
            <v>165303.79923076925</v>
          </cell>
          <cell r="Q105">
            <v>137919.13</v>
          </cell>
          <cell r="AF105">
            <v>197252.58000000002</v>
          </cell>
        </row>
        <row r="106">
          <cell r="C106">
            <v>828509.36</v>
          </cell>
          <cell r="D106">
            <v>828509.36</v>
          </cell>
          <cell r="Q106">
            <v>828509.36</v>
          </cell>
          <cell r="AF106">
            <v>828509.36</v>
          </cell>
        </row>
        <row r="112">
          <cell r="C112">
            <v>8329.7199999999993</v>
          </cell>
          <cell r="D112">
            <v>8329.7199999999993</v>
          </cell>
          <cell r="Q112">
            <v>8329.7199999999993</v>
          </cell>
          <cell r="AF112">
            <v>8329.7199999999993</v>
          </cell>
        </row>
        <row r="113">
          <cell r="C113">
            <v>119852.68999999996</v>
          </cell>
          <cell r="D113">
            <v>119852.68999999996</v>
          </cell>
          <cell r="Q113">
            <v>119852.69</v>
          </cell>
          <cell r="AF113">
            <v>119852.69</v>
          </cell>
        </row>
        <row r="114">
          <cell r="C114">
            <v>0</v>
          </cell>
          <cell r="D114">
            <v>0</v>
          </cell>
          <cell r="Q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</row>
        <row r="116">
          <cell r="C116">
            <v>0</v>
          </cell>
          <cell r="D116">
            <v>0</v>
          </cell>
          <cell r="Q116">
            <v>0</v>
          </cell>
          <cell r="AF116">
            <v>0</v>
          </cell>
        </row>
        <row r="117">
          <cell r="C117">
            <v>261126.68999999997</v>
          </cell>
          <cell r="D117">
            <v>261126.68999999997</v>
          </cell>
          <cell r="Q117">
            <v>261126.69</v>
          </cell>
          <cell r="AF117">
            <v>261126.69</v>
          </cell>
        </row>
        <row r="118">
          <cell r="C118">
            <v>4681.5800000000008</v>
          </cell>
          <cell r="D118">
            <v>4681.5800000000008</v>
          </cell>
          <cell r="Q118">
            <v>4681.58</v>
          </cell>
          <cell r="AF118">
            <v>4681.58</v>
          </cell>
        </row>
        <row r="119">
          <cell r="C119">
            <v>17916.189999999999</v>
          </cell>
          <cell r="D119">
            <v>17916.189999999999</v>
          </cell>
          <cell r="Q119">
            <v>17916.189999999999</v>
          </cell>
          <cell r="AF119">
            <v>17916.189999999999</v>
          </cell>
        </row>
        <row r="120">
          <cell r="C120">
            <v>153261.30000000002</v>
          </cell>
          <cell r="D120">
            <v>153261.30000000002</v>
          </cell>
          <cell r="Q120">
            <v>153261.29999999999</v>
          </cell>
          <cell r="AF120">
            <v>153261.29999999999</v>
          </cell>
        </row>
        <row r="121">
          <cell r="C121">
            <v>23138.38</v>
          </cell>
          <cell r="D121">
            <v>23138.38</v>
          </cell>
          <cell r="Q121">
            <v>23138.38</v>
          </cell>
          <cell r="AF121">
            <v>23138.38</v>
          </cell>
        </row>
        <row r="122">
          <cell r="C122">
            <v>137442.53</v>
          </cell>
          <cell r="D122">
            <v>137442.53</v>
          </cell>
          <cell r="Q122">
            <v>137442.53</v>
          </cell>
          <cell r="AF122">
            <v>137442.53</v>
          </cell>
        </row>
        <row r="123">
          <cell r="C123">
            <v>8351815.534146606</v>
          </cell>
          <cell r="D123">
            <v>8348395.5483970111</v>
          </cell>
          <cell r="Q123">
            <v>8350452.8986989269</v>
          </cell>
          <cell r="AF123">
            <v>8346911.0582668055</v>
          </cell>
        </row>
        <row r="124">
          <cell r="C124">
            <v>1699998.5399999993</v>
          </cell>
          <cell r="D124">
            <v>1699998.5399999993</v>
          </cell>
          <cell r="Q124">
            <v>1699998.54</v>
          </cell>
          <cell r="AF124">
            <v>1699998.54</v>
          </cell>
        </row>
        <row r="125">
          <cell r="C125">
            <v>449309.05999999988</v>
          </cell>
          <cell r="D125">
            <v>449309.05999999988</v>
          </cell>
          <cell r="Q125">
            <v>449309.06</v>
          </cell>
          <cell r="AF125">
            <v>449309.06</v>
          </cell>
        </row>
        <row r="126">
          <cell r="C126">
            <v>1694832.9600000007</v>
          </cell>
          <cell r="D126">
            <v>1694832.9600000007</v>
          </cell>
          <cell r="Q126">
            <v>1694832.96</v>
          </cell>
          <cell r="AF126">
            <v>1694832.96</v>
          </cell>
        </row>
        <row r="127">
          <cell r="C127">
            <v>178530.09000000003</v>
          </cell>
          <cell r="D127">
            <v>178530.09000000003</v>
          </cell>
          <cell r="Q127">
            <v>178530.09</v>
          </cell>
          <cell r="AF127">
            <v>178530.09</v>
          </cell>
        </row>
        <row r="128">
          <cell r="C128">
            <v>54614.270000000011</v>
          </cell>
          <cell r="D128">
            <v>54614.270000000011</v>
          </cell>
          <cell r="Q128">
            <v>54614.27</v>
          </cell>
          <cell r="AF128">
            <v>54614.27</v>
          </cell>
        </row>
        <row r="129">
          <cell r="C129">
            <v>175350.37000000005</v>
          </cell>
          <cell r="D129">
            <v>175350.37000000005</v>
          </cell>
          <cell r="Q129">
            <v>175350.37</v>
          </cell>
          <cell r="AF129">
            <v>175350.37</v>
          </cell>
        </row>
        <row r="130">
          <cell r="C130">
            <v>209318.89999999994</v>
          </cell>
          <cell r="D130">
            <v>209318.89999999994</v>
          </cell>
          <cell r="Q130">
            <v>209318.9</v>
          </cell>
          <cell r="AF130">
            <v>209318.9</v>
          </cell>
        </row>
        <row r="131">
          <cell r="C131">
            <v>923446.05000000016</v>
          </cell>
          <cell r="D131">
            <v>923446.05000000016</v>
          </cell>
          <cell r="Q131">
            <v>923446.05</v>
          </cell>
          <cell r="AF131">
            <v>923446.05</v>
          </cell>
        </row>
        <row r="132">
          <cell r="C132">
            <v>273084.37999999995</v>
          </cell>
          <cell r="D132">
            <v>273084.37999999995</v>
          </cell>
          <cell r="Q132">
            <v>273084.38</v>
          </cell>
          <cell r="AF132">
            <v>273084.38</v>
          </cell>
        </row>
        <row r="133">
          <cell r="C133">
            <v>414663.45000000013</v>
          </cell>
          <cell r="D133">
            <v>414663.45000000013</v>
          </cell>
          <cell r="Q133">
            <v>414663.45</v>
          </cell>
          <cell r="AF133">
            <v>414663.45</v>
          </cell>
        </row>
        <row r="134">
          <cell r="C134">
            <v>26970.37</v>
          </cell>
          <cell r="D134">
            <v>26970.37</v>
          </cell>
          <cell r="Q134">
            <v>26970.37</v>
          </cell>
          <cell r="AF134">
            <v>26970.37</v>
          </cell>
        </row>
        <row r="135">
          <cell r="C135">
            <v>867772</v>
          </cell>
          <cell r="D135">
            <v>867772</v>
          </cell>
          <cell r="Q135">
            <v>867772</v>
          </cell>
          <cell r="AF135">
            <v>867772</v>
          </cell>
        </row>
        <row r="136">
          <cell r="C136">
            <v>49001.719999999987</v>
          </cell>
          <cell r="D136">
            <v>49001.719999999987</v>
          </cell>
          <cell r="Q136">
            <v>49001.72</v>
          </cell>
          <cell r="AF136">
            <v>49001.72</v>
          </cell>
        </row>
        <row r="137">
          <cell r="C137">
            <v>60826.290000000008</v>
          </cell>
          <cell r="D137">
            <v>60826.290000000008</v>
          </cell>
          <cell r="Q137">
            <v>60826.29</v>
          </cell>
          <cell r="AF137">
            <v>60826.29</v>
          </cell>
        </row>
        <row r="138">
          <cell r="C138">
            <v>139637.67999999996</v>
          </cell>
          <cell r="D138">
            <v>139637.67999999996</v>
          </cell>
          <cell r="Q138">
            <v>139637.68</v>
          </cell>
          <cell r="AF138">
            <v>139637.68</v>
          </cell>
        </row>
        <row r="139">
          <cell r="C139">
            <v>27350976.974329285</v>
          </cell>
          <cell r="D139">
            <v>27047830.765633367</v>
          </cell>
          <cell r="Q139">
            <v>27309333.302538555</v>
          </cell>
          <cell r="AF139">
            <v>26859142.463646974</v>
          </cell>
        </row>
        <row r="140">
          <cell r="C140">
            <v>0</v>
          </cell>
          <cell r="D140">
            <v>0</v>
          </cell>
          <cell r="Q140">
            <v>0</v>
          </cell>
          <cell r="AF140">
            <v>0</v>
          </cell>
        </row>
        <row r="141">
          <cell r="C141">
            <v>731466.6399999999</v>
          </cell>
          <cell r="D141">
            <v>731466.6399999999</v>
          </cell>
          <cell r="Q141">
            <v>731466.64</v>
          </cell>
          <cell r="AF141">
            <v>731466.64</v>
          </cell>
        </row>
        <row r="142">
          <cell r="C142">
            <v>2269555.91</v>
          </cell>
          <cell r="D142">
            <v>2269555.91</v>
          </cell>
          <cell r="Q142">
            <v>2269555.91</v>
          </cell>
          <cell r="AF142">
            <v>2269555.91</v>
          </cell>
        </row>
        <row r="143">
          <cell r="C143">
            <v>531166.79</v>
          </cell>
          <cell r="D143">
            <v>531166.79</v>
          </cell>
          <cell r="Q143">
            <v>531166.79</v>
          </cell>
          <cell r="AF143">
            <v>531166.79</v>
          </cell>
        </row>
        <row r="144">
          <cell r="C144">
            <v>37326.419999999991</v>
          </cell>
          <cell r="D144">
            <v>37326.419999999991</v>
          </cell>
          <cell r="Q144">
            <v>37326.42</v>
          </cell>
          <cell r="AF144">
            <v>37326.42</v>
          </cell>
        </row>
        <row r="145">
          <cell r="C145">
            <v>2910064.1860524314</v>
          </cell>
          <cell r="D145">
            <v>3645748.7823199756</v>
          </cell>
          <cell r="Q145">
            <v>3220920.4813504335</v>
          </cell>
          <cell r="AF145">
            <v>3952285.5054217158</v>
          </cell>
        </row>
        <row r="146">
          <cell r="C146">
            <v>2783.89</v>
          </cell>
          <cell r="D146">
            <v>2783.89</v>
          </cell>
          <cell r="Q146">
            <v>2783.89</v>
          </cell>
          <cell r="AF146">
            <v>2783.89</v>
          </cell>
        </row>
        <row r="147">
          <cell r="C147">
            <v>336167.54</v>
          </cell>
          <cell r="D147">
            <v>336167.54</v>
          </cell>
          <cell r="Q147">
            <v>336167.54</v>
          </cell>
          <cell r="AF147">
            <v>336167.54</v>
          </cell>
        </row>
        <row r="148">
          <cell r="C148">
            <v>99818.12999999999</v>
          </cell>
          <cell r="D148">
            <v>99818.12999999999</v>
          </cell>
          <cell r="Q148">
            <v>99818.13</v>
          </cell>
          <cell r="AF148">
            <v>99818.13</v>
          </cell>
        </row>
        <row r="149">
          <cell r="C149">
            <v>46264.189999999995</v>
          </cell>
          <cell r="D149">
            <v>46264.189999999995</v>
          </cell>
          <cell r="Q149">
            <v>46264.19</v>
          </cell>
          <cell r="AF149">
            <v>46264.19</v>
          </cell>
        </row>
        <row r="150">
          <cell r="C150">
            <v>4005.0800000000013</v>
          </cell>
          <cell r="D150">
            <v>4005.0800000000013</v>
          </cell>
          <cell r="Q150">
            <v>4005.08</v>
          </cell>
          <cell r="AF150">
            <v>4005.08</v>
          </cell>
        </row>
        <row r="151">
          <cell r="C151">
            <v>20885550.916894335</v>
          </cell>
          <cell r="D151">
            <v>20611541.356392864</v>
          </cell>
          <cell r="Q151">
            <v>20773552.514915489</v>
          </cell>
          <cell r="AF151">
            <v>20494641.494669665</v>
          </cell>
        </row>
        <row r="152">
          <cell r="C152">
            <v>153554638.4603098</v>
          </cell>
          <cell r="D152">
            <v>176025498.32535535</v>
          </cell>
          <cell r="Q152">
            <v>162648385.39039332</v>
          </cell>
          <cell r="AF152">
            <v>185677812.81167099</v>
          </cell>
        </row>
        <row r="153">
          <cell r="C153">
            <v>111099888.6379073</v>
          </cell>
          <cell r="D153">
            <v>133261909.89236718</v>
          </cell>
          <cell r="Q153">
            <v>120588438.81840266</v>
          </cell>
          <cell r="AF153">
            <v>142406508.50896525</v>
          </cell>
        </row>
        <row r="154">
          <cell r="C154">
            <v>0</v>
          </cell>
          <cell r="D154">
            <v>0</v>
          </cell>
          <cell r="Q154">
            <v>0</v>
          </cell>
          <cell r="AF154">
            <v>0</v>
          </cell>
        </row>
        <row r="155">
          <cell r="C155">
            <v>0</v>
          </cell>
          <cell r="D155">
            <v>0</v>
          </cell>
          <cell r="Q155">
            <v>0</v>
          </cell>
          <cell r="AF155">
            <v>0</v>
          </cell>
        </row>
        <row r="156">
          <cell r="C156">
            <v>16540694.493946152</v>
          </cell>
          <cell r="D156">
            <v>29911912.984866656</v>
          </cell>
          <cell r="Q156">
            <v>22159379.723469127</v>
          </cell>
          <cell r="AF156">
            <v>35505787.348374337</v>
          </cell>
        </row>
        <row r="157">
          <cell r="C157">
            <v>4224413.7376294434</v>
          </cell>
          <cell r="D157">
            <v>5126031.8073734026</v>
          </cell>
          <cell r="Q157">
            <v>4601451.8024354111</v>
          </cell>
          <cell r="AF157">
            <v>5504544.809806155</v>
          </cell>
        </row>
        <row r="158">
          <cell r="C158">
            <v>1652346.4192307689</v>
          </cell>
          <cell r="D158">
            <v>1652258.5399999996</v>
          </cell>
          <cell r="Q158">
            <v>1652258.54</v>
          </cell>
          <cell r="AF158">
            <v>1652258.54</v>
          </cell>
        </row>
        <row r="159">
          <cell r="C159">
            <v>126928868.93019865</v>
          </cell>
          <cell r="D159">
            <v>150274437.13210142</v>
          </cell>
          <cell r="Q159">
            <v>137018700.63905647</v>
          </cell>
          <cell r="AF159">
            <v>159839171.91461176</v>
          </cell>
        </row>
        <row r="160">
          <cell r="C160">
            <v>33508205.890126877</v>
          </cell>
          <cell r="D160">
            <v>38722014.899853833</v>
          </cell>
          <cell r="Q160">
            <v>35740648.017575681</v>
          </cell>
          <cell r="AF160">
            <v>40873233.244704925</v>
          </cell>
        </row>
        <row r="161">
          <cell r="C161">
            <v>55805624.046686217</v>
          </cell>
          <cell r="D161">
            <v>57067155.487784423</v>
          </cell>
          <cell r="Q161">
            <v>56336114.818042867</v>
          </cell>
          <cell r="AF161">
            <v>57594641.088073432</v>
          </cell>
        </row>
        <row r="162">
          <cell r="C162">
            <v>11332650.894221278</v>
          </cell>
          <cell r="D162">
            <v>12779948.061638121</v>
          </cell>
          <cell r="Q162">
            <v>11948457.144383727</v>
          </cell>
          <cell r="AF162">
            <v>13379913.978415158</v>
          </cell>
        </row>
        <row r="163">
          <cell r="C163">
            <v>215697.33967440657</v>
          </cell>
          <cell r="D163">
            <v>252586.66062917048</v>
          </cell>
          <cell r="Q163">
            <v>231142.01423883261</v>
          </cell>
          <cell r="AF163">
            <v>268060.13924998633</v>
          </cell>
        </row>
        <row r="164">
          <cell r="C164">
            <v>5190260.2988984548</v>
          </cell>
          <cell r="D164">
            <v>5241042.9322416978</v>
          </cell>
          <cell r="Q164">
            <v>5211144.54353585</v>
          </cell>
          <cell r="AF164">
            <v>5262616.2456932655</v>
          </cell>
        </row>
        <row r="165">
          <cell r="C165">
            <v>1211697.3000000003</v>
          </cell>
          <cell r="D165">
            <v>1211697.3000000003</v>
          </cell>
          <cell r="Q165">
            <v>1211697.3</v>
          </cell>
          <cell r="AF165">
            <v>1211697.3</v>
          </cell>
        </row>
        <row r="166">
          <cell r="C166">
            <v>7286004.8951945845</v>
          </cell>
          <cell r="D166">
            <v>7595599.7675585095</v>
          </cell>
          <cell r="Q166">
            <v>7424787.0812110454</v>
          </cell>
          <cell r="AF166">
            <v>7718850.4102714844</v>
          </cell>
        </row>
        <row r="167">
          <cell r="C167">
            <v>173114.85000000003</v>
          </cell>
          <cell r="D167">
            <v>173114.85000000003</v>
          </cell>
          <cell r="Q167">
            <v>173114.85</v>
          </cell>
          <cell r="AF167">
            <v>173114.85</v>
          </cell>
        </row>
        <row r="168">
          <cell r="C168">
            <v>709199.17999999982</v>
          </cell>
          <cell r="D168">
            <v>709199.17999999982</v>
          </cell>
          <cell r="Q168">
            <v>709199.18</v>
          </cell>
          <cell r="AF168">
            <v>709199.18</v>
          </cell>
        </row>
        <row r="169">
          <cell r="C169">
            <v>12954.74</v>
          </cell>
          <cell r="D169">
            <v>12954.74</v>
          </cell>
          <cell r="Q169">
            <v>12954.74</v>
          </cell>
          <cell r="AF169">
            <v>12954.74</v>
          </cell>
        </row>
        <row r="170">
          <cell r="C170">
            <v>1246194.18</v>
          </cell>
          <cell r="D170">
            <v>1246194.18</v>
          </cell>
          <cell r="Q170">
            <v>1246194.18</v>
          </cell>
          <cell r="AF170">
            <v>1246194.18</v>
          </cell>
        </row>
        <row r="171">
          <cell r="C171">
            <v>1773499.8202726641</v>
          </cell>
          <cell r="D171">
            <v>1866038.1465637307</v>
          </cell>
          <cell r="Q171">
            <v>1814260.0593697759</v>
          </cell>
          <cell r="AF171">
            <v>1903398.8523846189</v>
          </cell>
        </row>
        <row r="172">
          <cell r="C172">
            <v>0</v>
          </cell>
          <cell r="D172">
            <v>0</v>
          </cell>
          <cell r="Q172">
            <v>0</v>
          </cell>
          <cell r="AF172">
            <v>0</v>
          </cell>
        </row>
        <row r="173">
          <cell r="C173">
            <v>220986.89999999994</v>
          </cell>
          <cell r="D173">
            <v>220986.89999999994</v>
          </cell>
          <cell r="Q173">
            <v>220986.9</v>
          </cell>
          <cell r="AF173">
            <v>220986.9</v>
          </cell>
        </row>
        <row r="174">
          <cell r="C174">
            <v>0</v>
          </cell>
          <cell r="D174">
            <v>0</v>
          </cell>
          <cell r="Q174">
            <v>0</v>
          </cell>
          <cell r="AF174">
            <v>0</v>
          </cell>
        </row>
        <row r="175">
          <cell r="C175">
            <v>3450078.5752009922</v>
          </cell>
          <cell r="D175">
            <v>4078360.7595184175</v>
          </cell>
          <cell r="Q175">
            <v>3714891.624479665</v>
          </cell>
          <cell r="AF175">
            <v>4340623.5074312286</v>
          </cell>
        </row>
        <row r="176">
          <cell r="C176">
            <v>39610.080000000009</v>
          </cell>
          <cell r="D176">
            <v>39610.080000000009</v>
          </cell>
          <cell r="Q176">
            <v>39610.080000000002</v>
          </cell>
          <cell r="AF176">
            <v>39610.080000000002</v>
          </cell>
        </row>
        <row r="177">
          <cell r="C177">
            <v>62747.290000000008</v>
          </cell>
          <cell r="D177">
            <v>62747.290000000008</v>
          </cell>
          <cell r="Q177">
            <v>62747.29</v>
          </cell>
          <cell r="AF177">
            <v>62747.29</v>
          </cell>
        </row>
        <row r="178">
          <cell r="C178">
            <v>19427.230000000003</v>
          </cell>
          <cell r="D178">
            <v>19427.230000000003</v>
          </cell>
          <cell r="Q178">
            <v>19427.23</v>
          </cell>
          <cell r="AF178">
            <v>19427.23</v>
          </cell>
        </row>
        <row r="179">
          <cell r="C179">
            <v>524257.15000000008</v>
          </cell>
          <cell r="D179">
            <v>524257.15000000008</v>
          </cell>
          <cell r="Q179">
            <v>524257.15</v>
          </cell>
          <cell r="AF179">
            <v>524257.15</v>
          </cell>
        </row>
        <row r="180">
          <cell r="C180">
            <v>0</v>
          </cell>
          <cell r="D180">
            <v>0</v>
          </cell>
          <cell r="Q180">
            <v>0</v>
          </cell>
          <cell r="AF180">
            <v>0</v>
          </cell>
        </row>
        <row r="181">
          <cell r="C181">
            <v>0</v>
          </cell>
          <cell r="D181">
            <v>0</v>
          </cell>
          <cell r="Q181">
            <v>0</v>
          </cell>
          <cell r="AF181">
            <v>0</v>
          </cell>
        </row>
        <row r="182">
          <cell r="C182">
            <v>0</v>
          </cell>
          <cell r="D182">
            <v>0</v>
          </cell>
          <cell r="Q182">
            <v>0</v>
          </cell>
          <cell r="AF182">
            <v>0</v>
          </cell>
        </row>
        <row r="183">
          <cell r="C183">
            <v>3892193.5846153852</v>
          </cell>
          <cell r="D183">
            <v>3891771.0900000012</v>
          </cell>
          <cell r="Q183">
            <v>3891771.09</v>
          </cell>
          <cell r="AF183">
            <v>3891771.09</v>
          </cell>
        </row>
        <row r="184">
          <cell r="C184">
            <v>14389.76</v>
          </cell>
          <cell r="D184">
            <v>14389.76</v>
          </cell>
          <cell r="Q184">
            <v>14389.76</v>
          </cell>
          <cell r="AF184">
            <v>14389.76</v>
          </cell>
        </row>
        <row r="185">
          <cell r="C185">
            <v>0</v>
          </cell>
          <cell r="D185">
            <v>0</v>
          </cell>
          <cell r="Q185">
            <v>0</v>
          </cell>
          <cell r="AF185">
            <v>0</v>
          </cell>
        </row>
        <row r="186">
          <cell r="C186">
            <v>134598.85999999993</v>
          </cell>
          <cell r="D186">
            <v>134598.85999999993</v>
          </cell>
          <cell r="Q186">
            <v>134598.85999999999</v>
          </cell>
          <cell r="AF186">
            <v>134598.85999999999</v>
          </cell>
        </row>
        <row r="187">
          <cell r="C187">
            <v>916125.85007187864</v>
          </cell>
          <cell r="D187">
            <v>461887.9076963847</v>
          </cell>
          <cell r="Q187">
            <v>730408.60199520155</v>
          </cell>
          <cell r="AF187">
            <v>268135.62347352976</v>
          </cell>
        </row>
        <row r="188">
          <cell r="C188">
            <v>0</v>
          </cell>
          <cell r="D188">
            <v>0</v>
          </cell>
          <cell r="Q188">
            <v>0</v>
          </cell>
          <cell r="AF188">
            <v>0</v>
          </cell>
        </row>
        <row r="189">
          <cell r="C189">
            <v>123514.83000000002</v>
          </cell>
          <cell r="D189">
            <v>123514.83000000002</v>
          </cell>
          <cell r="Q189">
            <v>123514.83</v>
          </cell>
          <cell r="AF189">
            <v>123514.83</v>
          </cell>
        </row>
        <row r="211">
          <cell r="C211">
            <v>12321402.153846148</v>
          </cell>
          <cell r="D211">
            <v>14454840.959999992</v>
          </cell>
          <cell r="Q211">
            <v>14454840.959999993</v>
          </cell>
          <cell r="AF211">
            <v>14454840.959999993</v>
          </cell>
        </row>
        <row r="215">
          <cell r="C215">
            <v>3282347.9423076911</v>
          </cell>
          <cell r="D215">
            <v>3983793.9399999981</v>
          </cell>
          <cell r="Q215">
            <v>3983793.9399999995</v>
          </cell>
          <cell r="AF215">
            <v>3983793.9399999995</v>
          </cell>
        </row>
        <row r="219">
          <cell r="C219">
            <v>59039.563846153855</v>
          </cell>
          <cell r="D219">
            <v>4641.7299999999941</v>
          </cell>
          <cell r="Q219">
            <v>4641.7299999999923</v>
          </cell>
          <cell r="AF219">
            <v>4641.7299999999923</v>
          </cell>
        </row>
        <row r="223">
          <cell r="C223">
            <v>35310857.029230766</v>
          </cell>
          <cell r="D223">
            <v>38154808.559999995</v>
          </cell>
          <cell r="Q223">
            <v>38154808.559999995</v>
          </cell>
          <cell r="AF223">
            <v>38154808.559999995</v>
          </cell>
        </row>
      </sheetData>
      <sheetData sheetId="1">
        <row r="7">
          <cell r="C7">
            <v>493349.57603280933</v>
          </cell>
          <cell r="D7">
            <v>555047.88364092272</v>
          </cell>
          <cell r="Q7">
            <v>516338.7606157955</v>
          </cell>
          <cell r="AF7">
            <v>582514.55541571346</v>
          </cell>
          <cell r="BK7">
            <v>53868.556450375138</v>
          </cell>
        </row>
        <row r="8">
          <cell r="C8">
            <v>3608671.8225592109</v>
          </cell>
          <cell r="D8">
            <v>3955061.1366212466</v>
          </cell>
          <cell r="Q8">
            <v>3747661.406648498</v>
          </cell>
          <cell r="AF8">
            <v>4093327.6232697456</v>
          </cell>
          <cell r="BK8">
            <v>276532.97329699987</v>
          </cell>
        </row>
        <row r="9">
          <cell r="C9">
            <v>9316061.6315384656</v>
          </cell>
          <cell r="D9">
            <v>9316766.3500000052</v>
          </cell>
          <cell r="Q9">
            <v>9316766.3500000034</v>
          </cell>
          <cell r="AF9">
            <v>9316766.3500000034</v>
          </cell>
          <cell r="BK9">
            <v>0</v>
          </cell>
        </row>
        <row r="10">
          <cell r="C10">
            <v>-3.9999999999999994E-2</v>
          </cell>
          <cell r="D10">
            <v>-3.9999999999999994E-2</v>
          </cell>
          <cell r="Q10">
            <v>-0.04</v>
          </cell>
          <cell r="AF10">
            <v>-0.04</v>
          </cell>
          <cell r="BK10">
            <v>0</v>
          </cell>
        </row>
        <row r="11">
          <cell r="C11">
            <v>28.084654805093013</v>
          </cell>
          <cell r="D11">
            <v>432.87688030568194</v>
          </cell>
          <cell r="Q11">
            <v>99.305679743138072</v>
          </cell>
          <cell r="AF11">
            <v>736.1581180960718</v>
          </cell>
          <cell r="BK11">
            <v>554.6882895194791</v>
          </cell>
        </row>
        <row r="12">
          <cell r="C12">
            <v>1849949.7732141423</v>
          </cell>
          <cell r="D12">
            <v>2105155.3256489048</v>
          </cell>
          <cell r="Q12">
            <v>1951796.6277634995</v>
          </cell>
          <cell r="AF12">
            <v>2207717.0739192823</v>
          </cell>
          <cell r="BK12">
            <v>204916.63164689764</v>
          </cell>
        </row>
        <row r="13">
          <cell r="C13">
            <v>1.26</v>
          </cell>
          <cell r="D13">
            <v>1.26</v>
          </cell>
          <cell r="Q13">
            <v>1.26</v>
          </cell>
          <cell r="AF13">
            <v>1.26</v>
          </cell>
          <cell r="BK13">
            <v>0</v>
          </cell>
        </row>
        <row r="14">
          <cell r="C14">
            <v>0.45000000000000012</v>
          </cell>
          <cell r="D14">
            <v>0.45000000000000012</v>
          </cell>
          <cell r="Q14">
            <v>0.45</v>
          </cell>
          <cell r="AF14">
            <v>0.45</v>
          </cell>
          <cell r="BK14">
            <v>0</v>
          </cell>
        </row>
        <row r="15">
          <cell r="C15">
            <v>31635.426378298143</v>
          </cell>
          <cell r="D15">
            <v>37319.893444103283</v>
          </cell>
          <cell r="Q15">
            <v>33336.902100401618</v>
          </cell>
          <cell r="AF15">
            <v>40482.077896641276</v>
          </cell>
          <cell r="BK15">
            <v>5999.3670946783368</v>
          </cell>
        </row>
        <row r="16">
          <cell r="C16">
            <v>102124.75352130769</v>
          </cell>
          <cell r="D16">
            <v>115174.52555500009</v>
          </cell>
          <cell r="Q16">
            <v>107353.39022200005</v>
          </cell>
          <cell r="AF16">
            <v>120388.61577700012</v>
          </cell>
          <cell r="BK16">
            <v>10428.180444000001</v>
          </cell>
        </row>
        <row r="17">
          <cell r="C17">
            <v>5486.4164299615368</v>
          </cell>
          <cell r="D17">
            <v>6237.8239924999962</v>
          </cell>
          <cell r="Q17">
            <v>5792.1295969999974</v>
          </cell>
          <cell r="AF17">
            <v>6534.9535894999954</v>
          </cell>
          <cell r="BK17">
            <v>594.25919399999987</v>
          </cell>
        </row>
        <row r="18">
          <cell r="C18">
            <v>0</v>
          </cell>
          <cell r="D18">
            <v>0</v>
          </cell>
          <cell r="Q18">
            <v>0</v>
          </cell>
          <cell r="AF18">
            <v>0</v>
          </cell>
          <cell r="BK18">
            <v>0</v>
          </cell>
        </row>
        <row r="19">
          <cell r="C19">
            <v>32756.233040500003</v>
          </cell>
          <cell r="D19">
            <v>40744.92394750005</v>
          </cell>
          <cell r="Q19">
            <v>35969.54557900002</v>
          </cell>
          <cell r="AF19">
            <v>43928.509526500071</v>
          </cell>
          <cell r="BK19">
            <v>6367.1711579999983</v>
          </cell>
        </row>
        <row r="20">
          <cell r="C20">
            <v>388.07</v>
          </cell>
          <cell r="D20">
            <v>388.07</v>
          </cell>
          <cell r="Q20">
            <v>388.07</v>
          </cell>
          <cell r="AF20">
            <v>388.07</v>
          </cell>
          <cell r="BK20">
            <v>0</v>
          </cell>
        </row>
        <row r="21">
          <cell r="C21">
            <v>0</v>
          </cell>
          <cell r="D21">
            <v>0</v>
          </cell>
          <cell r="Q21">
            <v>0</v>
          </cell>
          <cell r="AF21">
            <v>0</v>
          </cell>
          <cell r="BK21">
            <v>0</v>
          </cell>
        </row>
        <row r="22">
          <cell r="C22">
            <v>535333.61261336552</v>
          </cell>
          <cell r="D22">
            <v>611091.36998125084</v>
          </cell>
          <cell r="Q22">
            <v>565490.13399250037</v>
          </cell>
          <cell r="AF22">
            <v>641492.19397375116</v>
          </cell>
          <cell r="BK22">
            <v>60801.647985000011</v>
          </cell>
        </row>
        <row r="23">
          <cell r="C23">
            <v>3771.2132159615385</v>
          </cell>
          <cell r="D23">
            <v>4414.0398624999971</v>
          </cell>
          <cell r="Q23">
            <v>4026.871944999999</v>
          </cell>
          <cell r="AF23">
            <v>4672.1518074999958</v>
          </cell>
          <cell r="BK23">
            <v>516.2238900000001</v>
          </cell>
        </row>
        <row r="24">
          <cell r="C24">
            <v>45314.049139538438</v>
          </cell>
          <cell r="D24">
            <v>53975.762009999984</v>
          </cell>
          <cell r="Q24">
            <v>48559.74680399998</v>
          </cell>
          <cell r="AF24">
            <v>57586.438813999986</v>
          </cell>
          <cell r="BK24">
            <v>7221.3536080000013</v>
          </cell>
        </row>
        <row r="25">
          <cell r="C25">
            <v>836.41155417307709</v>
          </cell>
          <cell r="D25">
            <v>1301.1572887500008</v>
          </cell>
          <cell r="Q25">
            <v>1008.0229155000005</v>
          </cell>
          <cell r="AF25">
            <v>1496.5802042500011</v>
          </cell>
          <cell r="BK25">
            <v>390.84583099999992</v>
          </cell>
        </row>
        <row r="26">
          <cell r="C26">
            <v>162826.86769230769</v>
          </cell>
          <cell r="D26">
            <v>162984.42999999996</v>
          </cell>
          <cell r="Q26">
            <v>162984.42999999996</v>
          </cell>
          <cell r="AF26">
            <v>162984.42999999996</v>
          </cell>
          <cell r="BK26">
            <v>0</v>
          </cell>
        </row>
        <row r="27">
          <cell r="C27">
            <v>21518817.466754552</v>
          </cell>
          <cell r="D27">
            <v>26275001.934120949</v>
          </cell>
          <cell r="Q27">
            <v>23301685.245067656</v>
          </cell>
          <cell r="AF27">
            <v>28340239.241173822</v>
          </cell>
          <cell r="BK27">
            <v>4077237.3795535923</v>
          </cell>
        </row>
        <row r="28">
          <cell r="C28">
            <v>17438857.745102491</v>
          </cell>
          <cell r="D28">
            <v>20004927.426366199</v>
          </cell>
          <cell r="Q28">
            <v>18351173.860344965</v>
          </cell>
          <cell r="AF28">
            <v>21199797.983620208</v>
          </cell>
          <cell r="BK28">
            <v>2330513.6949328436</v>
          </cell>
        </row>
        <row r="29">
          <cell r="C29">
            <v>2543235.3764677271</v>
          </cell>
          <cell r="D29">
            <v>3114229.3263588324</v>
          </cell>
          <cell r="Q29">
            <v>2715647.2907973216</v>
          </cell>
          <cell r="AF29">
            <v>3431494.765378796</v>
          </cell>
          <cell r="BK29">
            <v>601480.2866666395</v>
          </cell>
        </row>
        <row r="30">
          <cell r="C30">
            <v>0</v>
          </cell>
          <cell r="D30">
            <v>0</v>
          </cell>
          <cell r="Q30">
            <v>0</v>
          </cell>
          <cell r="AF30">
            <v>0</v>
          </cell>
          <cell r="BK30">
            <v>0</v>
          </cell>
        </row>
        <row r="31">
          <cell r="C31">
            <v>0</v>
          </cell>
          <cell r="D31">
            <v>0</v>
          </cell>
          <cell r="Q31">
            <v>0</v>
          </cell>
          <cell r="AF31">
            <v>0</v>
          </cell>
          <cell r="BK31">
            <v>0</v>
          </cell>
        </row>
        <row r="32">
          <cell r="C32">
            <v>1103119.3899074136</v>
          </cell>
          <cell r="D32">
            <v>1431223.9343198091</v>
          </cell>
          <cell r="Q32">
            <v>1227064.629840022</v>
          </cell>
          <cell r="AF32">
            <v>1569942.8157497609</v>
          </cell>
          <cell r="BK32">
            <v>275762.48677954247</v>
          </cell>
        </row>
        <row r="33">
          <cell r="C33">
            <v>249234.47945827432</v>
          </cell>
          <cell r="D33">
            <v>380965.26443237212</v>
          </cell>
          <cell r="Q33">
            <v>299840.30277059053</v>
          </cell>
          <cell r="AF33">
            <v>436956.50783364254</v>
          </cell>
          <cell r="BK33">
            <v>110759.09900814816</v>
          </cell>
        </row>
        <row r="34">
          <cell r="C34">
            <v>33415036.291575827</v>
          </cell>
          <cell r="D34">
            <v>39245353.830375165</v>
          </cell>
          <cell r="Q34">
            <v>35647387.33932507</v>
          </cell>
          <cell r="AF34">
            <v>41719463.300928734</v>
          </cell>
          <cell r="BK34">
            <v>4899829.9211724494</v>
          </cell>
        </row>
        <row r="35">
          <cell r="C35">
            <v>44317.763076923082</v>
          </cell>
          <cell r="D35">
            <v>44629.08</v>
          </cell>
          <cell r="Q35">
            <v>44629.080000000009</v>
          </cell>
          <cell r="AF35">
            <v>44629.080000000009</v>
          </cell>
          <cell r="BK35">
            <v>0</v>
          </cell>
        </row>
        <row r="36">
          <cell r="C36">
            <v>1170657.7342360769</v>
          </cell>
          <cell r="D36">
            <v>1362298.7493349998</v>
          </cell>
          <cell r="Q36">
            <v>1246483.9657340001</v>
          </cell>
          <cell r="AF36">
            <v>1439508.605069</v>
          </cell>
          <cell r="BK36">
            <v>154419.71146799999</v>
          </cell>
        </row>
        <row r="37">
          <cell r="C37">
            <v>472986.97424161539</v>
          </cell>
          <cell r="D37">
            <v>580087.6608149996</v>
          </cell>
          <cell r="Q37">
            <v>515707.56432599999</v>
          </cell>
          <cell r="AF37">
            <v>623007.7251409993</v>
          </cell>
          <cell r="BK37">
            <v>85840.128651999985</v>
          </cell>
        </row>
        <row r="38">
          <cell r="C38">
            <v>43680.824560538465</v>
          </cell>
          <cell r="D38">
            <v>49035.775204999998</v>
          </cell>
          <cell r="Q38">
            <v>45881.344081999996</v>
          </cell>
          <cell r="AF38">
            <v>51138.729286999987</v>
          </cell>
          <cell r="BK38">
            <v>4205.9081639999995</v>
          </cell>
        </row>
        <row r="39">
          <cell r="C39">
            <v>0</v>
          </cell>
          <cell r="D39">
            <v>0</v>
          </cell>
          <cell r="Q39">
            <v>0</v>
          </cell>
          <cell r="AF39">
            <v>0</v>
          </cell>
          <cell r="BK39">
            <v>0</v>
          </cell>
        </row>
        <row r="40">
          <cell r="C40">
            <v>55799.476309730759</v>
          </cell>
          <cell r="D40">
            <v>96550.171447500034</v>
          </cell>
          <cell r="Q40">
            <v>71816.370578999995</v>
          </cell>
          <cell r="AF40">
            <v>113039.37202650006</v>
          </cell>
          <cell r="BK40">
            <v>32978.401158000001</v>
          </cell>
        </row>
        <row r="41">
          <cell r="C41">
            <v>12528079.516496228</v>
          </cell>
          <cell r="D41">
            <v>14212409.61683502</v>
          </cell>
          <cell r="Q41">
            <v>13197892.222419091</v>
          </cell>
          <cell r="AF41">
            <v>14889594.99820287</v>
          </cell>
          <cell r="BK41">
            <v>1353831.8564921373</v>
          </cell>
        </row>
        <row r="42">
          <cell r="C42">
            <v>53661.806199923049</v>
          </cell>
          <cell r="D42">
            <v>88905.513284999906</v>
          </cell>
          <cell r="Q42">
            <v>67769.857313999964</v>
          </cell>
          <cell r="AF42">
            <v>102995.95059899992</v>
          </cell>
          <cell r="BK42">
            <v>28180.874628000001</v>
          </cell>
        </row>
        <row r="43">
          <cell r="C43">
            <v>48541.343037769235</v>
          </cell>
          <cell r="D43">
            <v>87180.301064999992</v>
          </cell>
          <cell r="Q43">
            <v>64025.058426000003</v>
          </cell>
          <cell r="AF43">
            <v>102617.12949099999</v>
          </cell>
          <cell r="BK43">
            <v>30873.656851999996</v>
          </cell>
        </row>
        <row r="44">
          <cell r="C44">
            <v>3519065.8934453321</v>
          </cell>
          <cell r="D44">
            <v>5074483.8359590936</v>
          </cell>
          <cell r="Q44">
            <v>4113000.4530973448</v>
          </cell>
          <cell r="AF44">
            <v>5740913.2389410501</v>
          </cell>
          <cell r="BK44">
            <v>1316546.1098785701</v>
          </cell>
        </row>
        <row r="45">
          <cell r="C45">
            <v>0</v>
          </cell>
          <cell r="D45">
            <v>0</v>
          </cell>
          <cell r="Q45">
            <v>0</v>
          </cell>
          <cell r="AF45">
            <v>0</v>
          </cell>
        </row>
        <row r="50">
          <cell r="C50">
            <v>0</v>
          </cell>
          <cell r="D50">
            <v>0</v>
          </cell>
          <cell r="Q50">
            <v>0</v>
          </cell>
          <cell r="AF50">
            <v>0</v>
          </cell>
          <cell r="BK50">
            <v>0</v>
          </cell>
        </row>
        <row r="51">
          <cell r="C51">
            <v>0</v>
          </cell>
          <cell r="D51">
            <v>0</v>
          </cell>
          <cell r="Q51">
            <v>0</v>
          </cell>
          <cell r="AF51">
            <v>0</v>
          </cell>
          <cell r="BK51">
            <v>0</v>
          </cell>
        </row>
        <row r="52">
          <cell r="C52">
            <v>1823527.8571139807</v>
          </cell>
          <cell r="D52">
            <v>2303626.6332012485</v>
          </cell>
          <cell r="Q52">
            <v>2017623.899280499</v>
          </cell>
          <cell r="AF52">
            <v>2494295.122481748</v>
          </cell>
          <cell r="BK52">
            <v>381336.97856099991</v>
          </cell>
        </row>
        <row r="53">
          <cell r="C53">
            <v>1650738.1435120197</v>
          </cell>
          <cell r="D53">
            <v>1767448.7954687511</v>
          </cell>
          <cell r="Q53">
            <v>1698696.3401875002</v>
          </cell>
          <cell r="AF53">
            <v>1813283.7656562505</v>
          </cell>
          <cell r="BK53">
            <v>91669.940375000006</v>
          </cell>
        </row>
        <row r="54">
          <cell r="C54">
            <v>2755432.48246154</v>
          </cell>
          <cell r="D54">
            <v>3222896.2700000037</v>
          </cell>
          <cell r="Q54">
            <v>2945091.9320000024</v>
          </cell>
          <cell r="AF54">
            <v>3408099.1620000047</v>
          </cell>
          <cell r="BK54">
            <v>370405.78399999993</v>
          </cell>
        </row>
        <row r="55">
          <cell r="C55">
            <v>823736.10758406133</v>
          </cell>
          <cell r="D55">
            <v>945263.70483715693</v>
          </cell>
          <cell r="Q55">
            <v>871243.71232916368</v>
          </cell>
          <cell r="AF55">
            <v>995778.39053343399</v>
          </cell>
          <cell r="BK55">
            <v>100367.52508654985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  <cell r="BK56">
            <v>0</v>
          </cell>
        </row>
        <row r="57">
          <cell r="C57">
            <v>0</v>
          </cell>
          <cell r="D57">
            <v>0</v>
          </cell>
          <cell r="Q57">
            <v>0</v>
          </cell>
          <cell r="AF57">
            <v>0</v>
          </cell>
          <cell r="BK57">
            <v>0</v>
          </cell>
        </row>
        <row r="58">
          <cell r="C58">
            <v>0</v>
          </cell>
          <cell r="D58">
            <v>0</v>
          </cell>
          <cell r="Q58">
            <v>0</v>
          </cell>
          <cell r="AF58">
            <v>0</v>
          </cell>
          <cell r="BK58">
            <v>0</v>
          </cell>
        </row>
        <row r="59">
          <cell r="C59">
            <v>39834.74667632152</v>
          </cell>
          <cell r="D59">
            <v>61947.573682849688</v>
          </cell>
          <cell r="Q59">
            <v>47614.658387146388</v>
          </cell>
          <cell r="AF59">
            <v>72530.351705514899</v>
          </cell>
          <cell r="BK59">
            <v>20583.335275661611</v>
          </cell>
        </row>
        <row r="60">
          <cell r="C60">
            <v>93811.67619846153</v>
          </cell>
          <cell r="D60">
            <v>96385.355145000009</v>
          </cell>
          <cell r="Q60">
            <v>96385.355145000009</v>
          </cell>
          <cell r="AF60">
            <v>96385.355145000009</v>
          </cell>
          <cell r="BK60">
            <v>0</v>
          </cell>
        </row>
        <row r="61">
          <cell r="C61">
            <v>104565.07772099659</v>
          </cell>
          <cell r="D61">
            <v>157579.43957577567</v>
          </cell>
          <cell r="Q61">
            <v>122607.25379805913</v>
          </cell>
          <cell r="AF61">
            <v>184199.12681989692</v>
          </cell>
          <cell r="BK61">
            <v>51366.695806878066</v>
          </cell>
        </row>
        <row r="62">
          <cell r="C62">
            <v>15393.373100865381</v>
          </cell>
          <cell r="D62">
            <v>18360.118793750014</v>
          </cell>
          <cell r="Q62">
            <v>16578.851517499999</v>
          </cell>
          <cell r="AF62">
            <v>19547.630311250025</v>
          </cell>
          <cell r="BK62">
            <v>2375.0230350000002</v>
          </cell>
        </row>
        <row r="63">
          <cell r="C63">
            <v>1033855.0449335581</v>
          </cell>
          <cell r="D63">
            <v>1173176.8086687515</v>
          </cell>
          <cell r="Q63">
            <v>1089238.7954675006</v>
          </cell>
          <cell r="AF63">
            <v>1229135.4841362517</v>
          </cell>
          <cell r="BK63">
            <v>111917.35093500004</v>
          </cell>
        </row>
        <row r="64">
          <cell r="C64">
            <v>151245.45353634612</v>
          </cell>
          <cell r="D64">
            <v>172464.55283749985</v>
          </cell>
          <cell r="Q64">
            <v>159674.96313499994</v>
          </cell>
          <cell r="AF64">
            <v>180990.94597249985</v>
          </cell>
          <cell r="BK64">
            <v>17052.786270000004</v>
          </cell>
        </row>
        <row r="65">
          <cell r="C65">
            <v>12115.242286500006</v>
          </cell>
          <cell r="D65">
            <v>16510.615517500013</v>
          </cell>
          <cell r="Q65">
            <v>13732.744207000011</v>
          </cell>
          <cell r="AF65">
            <v>18362.529724500011</v>
          </cell>
          <cell r="BK65">
            <v>3703.8284140000001</v>
          </cell>
        </row>
        <row r="66">
          <cell r="C66">
            <v>137956.11383375002</v>
          </cell>
          <cell r="D66">
            <v>169509.32845625005</v>
          </cell>
          <cell r="Q66">
            <v>149303.53138250002</v>
          </cell>
          <cell r="AF66">
            <v>182979.85983875007</v>
          </cell>
          <cell r="BK66">
            <v>26941.062764999999</v>
          </cell>
        </row>
        <row r="67">
          <cell r="C67">
            <v>460205.1080333076</v>
          </cell>
          <cell r="D67">
            <v>563364.17459499987</v>
          </cell>
          <cell r="Q67">
            <v>501737.31983799976</v>
          </cell>
          <cell r="AF67">
            <v>604448.7444330001</v>
          </cell>
          <cell r="BK67">
            <v>82169.139675999992</v>
          </cell>
        </row>
        <row r="68">
          <cell r="C68">
            <v>4782854.4722596938</v>
          </cell>
          <cell r="D68">
            <v>5994285.8238400016</v>
          </cell>
          <cell r="Q68">
            <v>5258880.845536002</v>
          </cell>
          <cell r="AF68">
            <v>6484555.8093760014</v>
          </cell>
          <cell r="BK68">
            <v>980539.97107199987</v>
          </cell>
        </row>
        <row r="69">
          <cell r="C69">
            <v>1146579.6306710572</v>
          </cell>
          <cell r="D69">
            <v>1371385.5962312487</v>
          </cell>
          <cell r="Q69">
            <v>1235832.4524924993</v>
          </cell>
          <cell r="AF69">
            <v>1461754.3587237487</v>
          </cell>
          <cell r="BK69">
            <v>180737.52498499994</v>
          </cell>
        </row>
        <row r="70">
          <cell r="C70">
            <v>351088.88030511525</v>
          </cell>
          <cell r="D70">
            <v>407089.16854749981</v>
          </cell>
          <cell r="Q70">
            <v>374102.01541899983</v>
          </cell>
          <cell r="AF70">
            <v>429080.6039664998</v>
          </cell>
          <cell r="BK70">
            <v>43982.870837999995</v>
          </cell>
        </row>
        <row r="71">
          <cell r="C71">
            <v>529828.74061441608</v>
          </cell>
          <cell r="D71">
            <v>661520.7675230254</v>
          </cell>
          <cell r="Q71">
            <v>580076.93831045763</v>
          </cell>
          <cell r="AF71">
            <v>716762.22263583762</v>
          </cell>
          <cell r="BK71">
            <v>109947.11531251865</v>
          </cell>
        </row>
        <row r="72">
          <cell r="C72">
            <v>130946.7895918654</v>
          </cell>
          <cell r="D72">
            <v>146713.04763875014</v>
          </cell>
          <cell r="Q72">
            <v>137253.01705550007</v>
          </cell>
          <cell r="AF72">
            <v>153019.73469425019</v>
          </cell>
          <cell r="BK72">
            <v>12613.374110999996</v>
          </cell>
        </row>
        <row r="73">
          <cell r="C73">
            <v>28889060.11579949</v>
          </cell>
          <cell r="D73">
            <v>36343196.605658047</v>
          </cell>
          <cell r="Q73">
            <v>31828465.908743147</v>
          </cell>
          <cell r="AF73">
            <v>39389426.313098826</v>
          </cell>
          <cell r="BK73">
            <v>6071828.5696497187</v>
          </cell>
        </row>
        <row r="74">
          <cell r="C74">
            <v>154058.03032242315</v>
          </cell>
          <cell r="D74">
            <v>209811.75442250009</v>
          </cell>
          <cell r="Q74">
            <v>176542.27976900007</v>
          </cell>
          <cell r="AF74">
            <v>231991.4041915001</v>
          </cell>
          <cell r="BK74">
            <v>44359.299537999999</v>
          </cell>
        </row>
        <row r="75">
          <cell r="C75">
            <v>237228.35593300345</v>
          </cell>
          <cell r="D75">
            <v>282904.37872539752</v>
          </cell>
          <cell r="Q75">
            <v>251268.90388001542</v>
          </cell>
          <cell r="AF75">
            <v>307866.33476636215</v>
          </cell>
          <cell r="BK75">
            <v>47730.09565948118</v>
          </cell>
        </row>
        <row r="76">
          <cell r="C76">
            <v>73085.685674961554</v>
          </cell>
          <cell r="D76">
            <v>81696.10126749998</v>
          </cell>
          <cell r="Q76">
            <v>76530.082507000014</v>
          </cell>
          <cell r="AF76">
            <v>85140.113774499958</v>
          </cell>
          <cell r="BK76">
            <v>6888.0250139999998</v>
          </cell>
        </row>
        <row r="77">
          <cell r="C77">
            <v>10370.258019692306</v>
          </cell>
          <cell r="D77">
            <v>12045.943040000002</v>
          </cell>
          <cell r="Q77">
            <v>11040.551216</v>
          </cell>
          <cell r="AF77">
            <v>12716.204256000006</v>
          </cell>
          <cell r="BK77">
            <v>1340.522432</v>
          </cell>
        </row>
        <row r="78">
          <cell r="C78">
            <v>0</v>
          </cell>
          <cell r="D78">
            <v>0</v>
          </cell>
          <cell r="Q78">
            <v>0</v>
          </cell>
          <cell r="AF78">
            <v>0</v>
          </cell>
          <cell r="BK78">
            <v>0</v>
          </cell>
        </row>
        <row r="79">
          <cell r="C79">
            <v>0</v>
          </cell>
          <cell r="D79">
            <v>0</v>
          </cell>
          <cell r="Q79">
            <v>0</v>
          </cell>
          <cell r="AF79">
            <v>0</v>
          </cell>
        </row>
        <row r="84">
          <cell r="C84">
            <v>0</v>
          </cell>
          <cell r="D84">
            <v>0</v>
          </cell>
          <cell r="Q84">
            <v>0</v>
          </cell>
          <cell r="AF84">
            <v>0</v>
          </cell>
          <cell r="BK84">
            <v>0</v>
          </cell>
        </row>
        <row r="85">
          <cell r="C85">
            <v>0</v>
          </cell>
          <cell r="D85">
            <v>0</v>
          </cell>
          <cell r="Q85">
            <v>0</v>
          </cell>
          <cell r="AF85">
            <v>0</v>
          </cell>
          <cell r="BK85">
            <v>0</v>
          </cell>
        </row>
        <row r="86">
          <cell r="C86">
            <v>99765.714352923082</v>
          </cell>
          <cell r="D86">
            <v>105585.24497400007</v>
          </cell>
          <cell r="Q86">
            <v>102168.84616800002</v>
          </cell>
          <cell r="AF86">
            <v>107800.0756960001</v>
          </cell>
          <cell r="BK86">
            <v>4429.6614439999985</v>
          </cell>
        </row>
        <row r="87">
          <cell r="C87">
            <v>8814.780081173074</v>
          </cell>
          <cell r="D87">
            <v>10155.103158749998</v>
          </cell>
          <cell r="Q87">
            <v>9378.6003014999951</v>
          </cell>
          <cell r="AF87">
            <v>10649.695865250002</v>
          </cell>
          <cell r="BK87">
            <v>989.18541299999981</v>
          </cell>
        </row>
        <row r="88">
          <cell r="C88">
            <v>38834</v>
          </cell>
          <cell r="D88">
            <v>38834</v>
          </cell>
          <cell r="Q88">
            <v>38834</v>
          </cell>
          <cell r="AF88">
            <v>38834</v>
          </cell>
          <cell r="BK88">
            <v>0</v>
          </cell>
        </row>
        <row r="89">
          <cell r="C89">
            <v>39252.686923076937</v>
          </cell>
          <cell r="D89">
            <v>38609.330000000009</v>
          </cell>
          <cell r="Q89">
            <v>38609.33</v>
          </cell>
          <cell r="AF89">
            <v>38609.33</v>
          </cell>
          <cell r="BK89">
            <v>0</v>
          </cell>
        </row>
        <row r="90">
          <cell r="C90">
            <v>0</v>
          </cell>
          <cell r="D90">
            <v>0</v>
          </cell>
          <cell r="Q90">
            <v>0</v>
          </cell>
          <cell r="AF90">
            <v>0</v>
          </cell>
          <cell r="BK90">
            <v>0</v>
          </cell>
        </row>
        <row r="91">
          <cell r="C91">
            <v>0</v>
          </cell>
          <cell r="D91">
            <v>0</v>
          </cell>
          <cell r="Q91">
            <v>0</v>
          </cell>
          <cell r="AF91">
            <v>0</v>
          </cell>
          <cell r="BK91">
            <v>0</v>
          </cell>
        </row>
        <row r="92">
          <cell r="C92">
            <v>15624.275803096156</v>
          </cell>
          <cell r="D92">
            <v>17727.247481750008</v>
          </cell>
          <cell r="Q92">
            <v>16534.224411500003</v>
          </cell>
          <cell r="AF92">
            <v>18465.298346250016</v>
          </cell>
          <cell r="BK92">
            <v>1476.101729</v>
          </cell>
        </row>
        <row r="93">
          <cell r="C93">
            <v>0</v>
          </cell>
          <cell r="D93">
            <v>0</v>
          </cell>
          <cell r="Q93">
            <v>0</v>
          </cell>
          <cell r="AF93">
            <v>0</v>
          </cell>
          <cell r="BK93">
            <v>0</v>
          </cell>
        </row>
        <row r="94">
          <cell r="C94">
            <v>134911.20174461539</v>
          </cell>
          <cell r="D94">
            <v>143634.22502400001</v>
          </cell>
          <cell r="Q94">
            <v>137900.94648000001</v>
          </cell>
          <cell r="AF94">
            <v>147872.63032800003</v>
          </cell>
          <cell r="BK94">
            <v>8476.810607999998</v>
          </cell>
        </row>
        <row r="95">
          <cell r="C95">
            <v>7507.7005497692289</v>
          </cell>
          <cell r="D95">
            <v>8693.5068819999942</v>
          </cell>
          <cell r="Q95">
            <v>7954.9420419999979</v>
          </cell>
          <cell r="AF95">
            <v>9208.4507009999907</v>
          </cell>
          <cell r="BK95">
            <v>1029.8876379999999</v>
          </cell>
        </row>
        <row r="96">
          <cell r="C96">
            <v>-8549.9709019230759</v>
          </cell>
          <cell r="D96">
            <v>-6118.2517249999983</v>
          </cell>
          <cell r="Q96">
            <v>-7962.453349999998</v>
          </cell>
          <cell r="AF96">
            <v>-4567.8084249999993</v>
          </cell>
          <cell r="BK96">
            <v>3100.8865999999994</v>
          </cell>
        </row>
        <row r="97">
          <cell r="C97">
            <v>0</v>
          </cell>
          <cell r="D97">
            <v>0</v>
          </cell>
          <cell r="Q97">
            <v>0</v>
          </cell>
          <cell r="AF97">
            <v>0</v>
          </cell>
          <cell r="BK97">
            <v>0</v>
          </cell>
        </row>
        <row r="98">
          <cell r="C98">
            <v>0</v>
          </cell>
          <cell r="D98">
            <v>0</v>
          </cell>
          <cell r="Q98">
            <v>0</v>
          </cell>
          <cell r="AF98">
            <v>0</v>
          </cell>
          <cell r="BK98">
            <v>0</v>
          </cell>
        </row>
        <row r="99">
          <cell r="C99">
            <v>688375.4587529233</v>
          </cell>
          <cell r="D99">
            <v>720392.57255600044</v>
          </cell>
          <cell r="Q99">
            <v>702501.25536800025</v>
          </cell>
          <cell r="AF99">
            <v>731220.99206000089</v>
          </cell>
          <cell r="BK99">
            <v>21656.839007999995</v>
          </cell>
        </row>
        <row r="100">
          <cell r="C100">
            <v>0</v>
          </cell>
          <cell r="D100">
            <v>0</v>
          </cell>
          <cell r="Q100">
            <v>0</v>
          </cell>
          <cell r="AF100">
            <v>0</v>
          </cell>
          <cell r="BK100">
            <v>0</v>
          </cell>
        </row>
        <row r="101">
          <cell r="C101">
            <v>-34765.770000000004</v>
          </cell>
          <cell r="D101">
            <v>-34765.770000000004</v>
          </cell>
          <cell r="Q101">
            <v>-34765.769999999997</v>
          </cell>
          <cell r="AF101">
            <v>-34765.769999999997</v>
          </cell>
          <cell r="BK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  <cell r="AF102">
            <v>0</v>
          </cell>
          <cell r="BK102">
            <v>0</v>
          </cell>
        </row>
        <row r="103">
          <cell r="C103">
            <v>0</v>
          </cell>
          <cell r="D103">
            <v>0</v>
          </cell>
          <cell r="Q103">
            <v>0</v>
          </cell>
          <cell r="AF103">
            <v>0</v>
          </cell>
          <cell r="BK103">
            <v>0</v>
          </cell>
        </row>
        <row r="104">
          <cell r="C104">
            <v>70196.030000000013</v>
          </cell>
          <cell r="D104">
            <v>70196.030000000013</v>
          </cell>
          <cell r="Q104">
            <v>70196.03</v>
          </cell>
          <cell r="AF104">
            <v>70196.03</v>
          </cell>
          <cell r="BK104">
            <v>0</v>
          </cell>
        </row>
        <row r="105">
          <cell r="C105">
            <v>23127.547492903839</v>
          </cell>
          <cell r="D105">
            <v>41658.477719525617</v>
          </cell>
          <cell r="Q105">
            <v>28247.902239833329</v>
          </cell>
          <cell r="AF105">
            <v>52943.045023083308</v>
          </cell>
          <cell r="BK105">
            <v>20864.438947499999</v>
          </cell>
        </row>
        <row r="106">
          <cell r="C106">
            <v>828509.36</v>
          </cell>
          <cell r="D106">
            <v>828509.36</v>
          </cell>
          <cell r="Q106">
            <v>828509.36</v>
          </cell>
          <cell r="AF106">
            <v>828509.36</v>
          </cell>
          <cell r="BK106">
            <v>0</v>
          </cell>
        </row>
        <row r="107">
          <cell r="C107">
            <v>52517.30000000001</v>
          </cell>
          <cell r="D107">
            <v>52517.30000000001</v>
          </cell>
          <cell r="Q107">
            <v>52517.30000000001</v>
          </cell>
          <cell r="AF107">
            <v>52517.30000000001</v>
          </cell>
        </row>
        <row r="112">
          <cell r="C112">
            <v>8329.7199999999993</v>
          </cell>
          <cell r="D112">
            <v>8329.7199999999993</v>
          </cell>
          <cell r="Q112">
            <v>8329.7199999999993</v>
          </cell>
          <cell r="AF112">
            <v>8329.7199999999993</v>
          </cell>
          <cell r="BK112">
            <v>0</v>
          </cell>
        </row>
        <row r="113">
          <cell r="C113">
            <v>119852.68999999996</v>
          </cell>
          <cell r="D113">
            <v>119852.68999999996</v>
          </cell>
          <cell r="Q113">
            <v>119852.69</v>
          </cell>
          <cell r="AF113">
            <v>119852.69</v>
          </cell>
          <cell r="BK113">
            <v>0</v>
          </cell>
        </row>
        <row r="114">
          <cell r="C114">
            <v>0</v>
          </cell>
          <cell r="D114">
            <v>0</v>
          </cell>
          <cell r="Q114">
            <v>0</v>
          </cell>
          <cell r="AF114">
            <v>0</v>
          </cell>
          <cell r="BK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  <cell r="BK115">
            <v>0</v>
          </cell>
        </row>
        <row r="116">
          <cell r="C116">
            <v>0</v>
          </cell>
          <cell r="D116">
            <v>0</v>
          </cell>
          <cell r="Q116">
            <v>0</v>
          </cell>
          <cell r="AF116">
            <v>0</v>
          </cell>
          <cell r="BK116">
            <v>0</v>
          </cell>
        </row>
        <row r="117">
          <cell r="C117">
            <v>0</v>
          </cell>
          <cell r="D117">
            <v>0</v>
          </cell>
          <cell r="Q117">
            <v>0</v>
          </cell>
          <cell r="AF117">
            <v>0</v>
          </cell>
          <cell r="BK117">
            <v>0</v>
          </cell>
        </row>
        <row r="118">
          <cell r="C118">
            <v>4433.552454807691</v>
          </cell>
          <cell r="D118">
            <v>4450.7648064999967</v>
          </cell>
          <cell r="Q118">
            <v>4439.4119749999973</v>
          </cell>
          <cell r="AF118">
            <v>4459.1916504999963</v>
          </cell>
          <cell r="BK118">
            <v>16.853688000000002</v>
          </cell>
        </row>
        <row r="119">
          <cell r="C119">
            <v>5915.4954348269239</v>
          </cell>
          <cell r="D119">
            <v>6283.2197997499998</v>
          </cell>
          <cell r="Q119">
            <v>6065.0901864999996</v>
          </cell>
          <cell r="AF119">
            <v>6426.5493197500009</v>
          </cell>
          <cell r="BK119">
            <v>286.65904</v>
          </cell>
        </row>
        <row r="120">
          <cell r="C120">
            <v>111338.25089730766</v>
          </cell>
          <cell r="D120">
            <v>113690.82095499994</v>
          </cell>
          <cell r="Q120">
            <v>112303.80618999994</v>
          </cell>
          <cell r="AF120">
            <v>114595.06262499992</v>
          </cell>
          <cell r="BK120">
            <v>1808.4833399999995</v>
          </cell>
        </row>
        <row r="121">
          <cell r="C121">
            <v>20219.389070615387</v>
          </cell>
          <cell r="D121">
            <v>20470.441423000011</v>
          </cell>
          <cell r="Q121">
            <v>20325.826548000008</v>
          </cell>
          <cell r="AF121">
            <v>20561.838024000022</v>
          </cell>
          <cell r="BK121">
            <v>182.79320199999998</v>
          </cell>
        </row>
        <row r="122">
          <cell r="C122">
            <v>97917.349812115383</v>
          </cell>
          <cell r="D122">
            <v>100082.0598475</v>
          </cell>
          <cell r="Q122">
            <v>98810.716444999998</v>
          </cell>
          <cell r="AF122">
            <v>100906.7150275</v>
          </cell>
          <cell r="BK122">
            <v>1649.3103600000002</v>
          </cell>
        </row>
        <row r="123">
          <cell r="C123">
            <v>989384.30353291507</v>
          </cell>
          <cell r="D123">
            <v>1189577.9441521773</v>
          </cell>
          <cell r="Q123">
            <v>1069976.2437614489</v>
          </cell>
          <cell r="AF123">
            <v>1268882.1931674373</v>
          </cell>
          <cell r="BK123">
            <v>158617.31223609045</v>
          </cell>
        </row>
        <row r="124">
          <cell r="C124">
            <v>1387338.0716476538</v>
          </cell>
          <cell r="D124">
            <v>1418660.5530995002</v>
          </cell>
          <cell r="Q124">
            <v>1400173.0689769997</v>
          </cell>
          <cell r="AF124">
            <v>1430730.5427335002</v>
          </cell>
          <cell r="BK124">
            <v>24139.97926800001</v>
          </cell>
        </row>
        <row r="125">
          <cell r="C125">
            <v>450032.61692307709</v>
          </cell>
          <cell r="D125">
            <v>450595.11000000028</v>
          </cell>
          <cell r="Q125">
            <v>450595.1100000001</v>
          </cell>
          <cell r="AF125">
            <v>450595.1100000001</v>
          </cell>
          <cell r="BK125">
            <v>0</v>
          </cell>
        </row>
        <row r="126">
          <cell r="C126">
            <v>724019.27909538464</v>
          </cell>
          <cell r="D126">
            <v>758424.38908800064</v>
          </cell>
          <cell r="Q126">
            <v>739272.77664000029</v>
          </cell>
          <cell r="AF126">
            <v>769949.25321600109</v>
          </cell>
          <cell r="BK126">
            <v>23049.728256000002</v>
          </cell>
        </row>
        <row r="127">
          <cell r="C127">
            <v>167316.34206163467</v>
          </cell>
          <cell r="D127">
            <v>167918.8790537501</v>
          </cell>
          <cell r="Q127">
            <v>167628.76765750008</v>
          </cell>
          <cell r="AF127">
            <v>168052.77662125012</v>
          </cell>
          <cell r="BK127">
            <v>267.79513500000002</v>
          </cell>
        </row>
        <row r="128">
          <cell r="C128">
            <v>43354.8607506154</v>
          </cell>
          <cell r="D128">
            <v>43928.309835000015</v>
          </cell>
          <cell r="Q128">
            <v>43595.162788000016</v>
          </cell>
          <cell r="AF128">
            <v>44141.305487999998</v>
          </cell>
          <cell r="BK128">
            <v>425.99130600000007</v>
          </cell>
        </row>
        <row r="129">
          <cell r="C129">
            <v>-90259.337577326922</v>
          </cell>
          <cell r="D129">
            <v>-88212.124430249998</v>
          </cell>
          <cell r="Q129">
            <v>-89549.171001500014</v>
          </cell>
          <cell r="AF129">
            <v>-87230.162358249974</v>
          </cell>
          <cell r="BK129">
            <v>1963.9241439999994</v>
          </cell>
        </row>
        <row r="130">
          <cell r="C130">
            <v>186952.69041596155</v>
          </cell>
          <cell r="D130">
            <v>189396.48815749987</v>
          </cell>
          <cell r="Q130">
            <v>187800.431545</v>
          </cell>
          <cell r="AF130">
            <v>190568.67399749983</v>
          </cell>
          <cell r="BK130">
            <v>2344.3716799999997</v>
          </cell>
        </row>
        <row r="131">
          <cell r="C131">
            <v>477536.87850576907</v>
          </cell>
          <cell r="D131">
            <v>497575.65928499965</v>
          </cell>
          <cell r="Q131">
            <v>485847.89444999979</v>
          </cell>
          <cell r="AF131">
            <v>505147.91689499945</v>
          </cell>
          <cell r="BK131">
            <v>15144.515219999999</v>
          </cell>
        </row>
        <row r="132">
          <cell r="C132">
            <v>199218.75139165384</v>
          </cell>
          <cell r="D132">
            <v>202598.16920250005</v>
          </cell>
          <cell r="Q132">
            <v>199915.11516900006</v>
          </cell>
          <cell r="AF132">
            <v>204933.04065150002</v>
          </cell>
          <cell r="BK132">
            <v>4669.7428980000004</v>
          </cell>
        </row>
        <row r="133">
          <cell r="C133">
            <v>181316.87548221156</v>
          </cell>
          <cell r="D133">
            <v>191735.28918125009</v>
          </cell>
          <cell r="Q133">
            <v>185567.17036250004</v>
          </cell>
          <cell r="AF133">
            <v>195778.25781875008</v>
          </cell>
          <cell r="BK133">
            <v>8085.9372750000002</v>
          </cell>
        </row>
        <row r="134">
          <cell r="C134">
            <v>0</v>
          </cell>
          <cell r="D134">
            <v>0</v>
          </cell>
          <cell r="Q134">
            <v>0</v>
          </cell>
          <cell r="AF134">
            <v>0</v>
          </cell>
          <cell r="BK134">
            <v>0</v>
          </cell>
        </row>
        <row r="135">
          <cell r="C135">
            <v>414883.74102307705</v>
          </cell>
          <cell r="D135">
            <v>426750.5221</v>
          </cell>
          <cell r="Q135">
            <v>420654.42380000005</v>
          </cell>
          <cell r="AF135">
            <v>429961.27850000013</v>
          </cell>
          <cell r="BK135">
            <v>6421.5128000000004</v>
          </cell>
        </row>
        <row r="136">
          <cell r="C136">
            <v>15879.439506000002</v>
          </cell>
          <cell r="D136">
            <v>16707.55906800001</v>
          </cell>
          <cell r="Q136">
            <v>16315.545308000006</v>
          </cell>
          <cell r="AF136">
            <v>16881.515174000015</v>
          </cell>
          <cell r="BK136">
            <v>347.91221200000001</v>
          </cell>
        </row>
        <row r="137">
          <cell r="C137">
            <v>51876.742994884626</v>
          </cell>
          <cell r="D137">
            <v>52904.714301000044</v>
          </cell>
          <cell r="Q137">
            <v>52418.103981000029</v>
          </cell>
          <cell r="AF137">
            <v>53120.647630500054</v>
          </cell>
          <cell r="BK137">
            <v>431.86665900000003</v>
          </cell>
        </row>
        <row r="138">
          <cell r="C138">
            <v>90399.045923076948</v>
          </cell>
          <cell r="D138">
            <v>97925.510952000026</v>
          </cell>
          <cell r="Q138">
            <v>93889.982000000018</v>
          </cell>
          <cell r="AF138">
            <v>100215.56890400001</v>
          </cell>
          <cell r="BK138">
            <v>4580.1159040000002</v>
          </cell>
        </row>
        <row r="139">
          <cell r="C139">
            <v>17657398.560715612</v>
          </cell>
          <cell r="D139">
            <v>16354095.686099121</v>
          </cell>
          <cell r="Q139">
            <v>17159072.627490439</v>
          </cell>
          <cell r="AF139">
            <v>15723429.77358561</v>
          </cell>
          <cell r="BK139">
            <v>313583.86577926931</v>
          </cell>
        </row>
        <row r="140">
          <cell r="C140"/>
          <cell r="D140"/>
          <cell r="BK140">
            <v>0</v>
          </cell>
        </row>
        <row r="141">
          <cell r="C141">
            <v>336096.83812830778</v>
          </cell>
          <cell r="D141">
            <v>352408.54607200023</v>
          </cell>
          <cell r="Q141">
            <v>343923.53304800007</v>
          </cell>
          <cell r="AF141">
            <v>356980.2125720004</v>
          </cell>
          <cell r="BK141">
            <v>9143.3330000000024</v>
          </cell>
        </row>
        <row r="142">
          <cell r="C142">
            <v>1720348.9714484224</v>
          </cell>
          <cell r="D142">
            <v>1770960.0767929985</v>
          </cell>
          <cell r="Q142">
            <v>1744633.2282369987</v>
          </cell>
          <cell r="AF142">
            <v>1785144.8012304991</v>
          </cell>
          <cell r="BK142">
            <v>28369.448875000002</v>
          </cell>
        </row>
        <row r="143">
          <cell r="C143">
            <v>0</v>
          </cell>
          <cell r="D143">
            <v>0</v>
          </cell>
          <cell r="Q143">
            <v>0</v>
          </cell>
          <cell r="AF143">
            <v>0</v>
          </cell>
          <cell r="BK143">
            <v>0</v>
          </cell>
        </row>
        <row r="144">
          <cell r="C144">
            <v>0</v>
          </cell>
          <cell r="D144">
            <v>0</v>
          </cell>
          <cell r="Q144">
            <v>0</v>
          </cell>
          <cell r="AF144">
            <v>0</v>
          </cell>
          <cell r="BK144">
            <v>0</v>
          </cell>
        </row>
        <row r="145">
          <cell r="C145">
            <v>177257.1965401753</v>
          </cell>
          <cell r="D145">
            <v>234112.52316100505</v>
          </cell>
          <cell r="Q145">
            <v>198945.53499639593</v>
          </cell>
          <cell r="AF145">
            <v>258399.90984801124</v>
          </cell>
          <cell r="BK145">
            <v>47339.040840836409</v>
          </cell>
        </row>
        <row r="146">
          <cell r="C146">
            <v>0</v>
          </cell>
          <cell r="D146">
            <v>0</v>
          </cell>
          <cell r="Q146">
            <v>0</v>
          </cell>
          <cell r="AF146">
            <v>0</v>
          </cell>
          <cell r="BK146">
            <v>0</v>
          </cell>
        </row>
        <row r="147">
          <cell r="C147">
            <v>105492.6561397692</v>
          </cell>
          <cell r="D147">
            <v>112787.49561799991</v>
          </cell>
          <cell r="Q147">
            <v>108955.18566199995</v>
          </cell>
          <cell r="AF147">
            <v>114888.5427429999</v>
          </cell>
          <cell r="BK147">
            <v>4202.0942499999992</v>
          </cell>
        </row>
        <row r="148">
          <cell r="C148">
            <v>69013.347198961565</v>
          </cell>
          <cell r="D148">
            <v>71179.393421000117</v>
          </cell>
          <cell r="Q148">
            <v>70041.466739000069</v>
          </cell>
          <cell r="AF148">
            <v>71803.256733500151</v>
          </cell>
          <cell r="BK148">
            <v>1247.7266250000002</v>
          </cell>
        </row>
        <row r="149">
          <cell r="C149">
            <v>34270.510311499987</v>
          </cell>
          <cell r="D149">
            <v>35274.442923000017</v>
          </cell>
          <cell r="Q149">
            <v>34747.031156999998</v>
          </cell>
          <cell r="AF149">
            <v>35563.594110500031</v>
          </cell>
          <cell r="BK149">
            <v>578.30237499999998</v>
          </cell>
        </row>
        <row r="150">
          <cell r="C150">
            <v>1822.4387026153838</v>
          </cell>
          <cell r="D150">
            <v>1909.3402359999989</v>
          </cell>
          <cell r="Q150">
            <v>1863.682323999999</v>
          </cell>
          <cell r="AF150">
            <v>1934.371985999999</v>
          </cell>
          <cell r="BK150">
            <v>50.063500000000012</v>
          </cell>
        </row>
        <row r="151">
          <cell r="C151">
            <v>12718059.754340447</v>
          </cell>
          <cell r="D151">
            <v>13126038.453240689</v>
          </cell>
          <cell r="Q151">
            <v>12934746.385237385</v>
          </cell>
          <cell r="AF151">
            <v>13174060.0639633</v>
          </cell>
          <cell r="BK151">
            <v>704602.42311479908</v>
          </cell>
        </row>
        <row r="152">
          <cell r="C152">
            <v>30218245.45243635</v>
          </cell>
          <cell r="D152">
            <v>32724102.703910943</v>
          </cell>
          <cell r="Q152">
            <v>31297268.124849152</v>
          </cell>
          <cell r="AF152">
            <v>33517838.320791945</v>
          </cell>
          <cell r="BK152">
            <v>2527946.3261293671</v>
          </cell>
        </row>
        <row r="153">
          <cell r="C153">
            <v>15883553.383963257</v>
          </cell>
          <cell r="D153">
            <v>18314075.243993793</v>
          </cell>
          <cell r="Q153">
            <v>16911813.512444366</v>
          </cell>
          <cell r="AF153">
            <v>19162096.084426071</v>
          </cell>
          <cell r="BK153">
            <v>1915859.8895028871</v>
          </cell>
        </row>
        <row r="154">
          <cell r="C154"/>
          <cell r="D154"/>
          <cell r="BK154">
            <v>0</v>
          </cell>
        </row>
        <row r="155">
          <cell r="C155"/>
          <cell r="D155"/>
          <cell r="BK155">
            <v>0</v>
          </cell>
        </row>
        <row r="156">
          <cell r="C156">
            <v>2040538.0490784433</v>
          </cell>
          <cell r="D156">
            <v>2758945.1523632524</v>
          </cell>
          <cell r="Q156">
            <v>2295801.9573438382</v>
          </cell>
          <cell r="AF156">
            <v>3088579.2853121315</v>
          </cell>
          <cell r="BK156">
            <v>637326.1376839471</v>
          </cell>
        </row>
        <row r="157">
          <cell r="C157">
            <v>874827.97025741392</v>
          </cell>
          <cell r="D157">
            <v>963252.19698323333</v>
          </cell>
          <cell r="Q157">
            <v>910421.51675586833</v>
          </cell>
          <cell r="AF157">
            <v>993316.39396392647</v>
          </cell>
          <cell r="BK157">
            <v>102596.40717209515</v>
          </cell>
        </row>
        <row r="158">
          <cell r="C158">
            <v>980669.81460976927</v>
          </cell>
          <cell r="D158">
            <v>1031171.4981560002</v>
          </cell>
          <cell r="Q158">
            <v>1002917.8771220001</v>
          </cell>
          <cell r="AF158">
            <v>1047611.4706290005</v>
          </cell>
          <cell r="BK158">
            <v>32879.944946000003</v>
          </cell>
        </row>
        <row r="159">
          <cell r="C159">
            <v>35036562.02058433</v>
          </cell>
          <cell r="D159">
            <v>29866385.465130273</v>
          </cell>
          <cell r="Q159">
            <v>32934303.018117521</v>
          </cell>
          <cell r="AF159">
            <v>27306807.289647669</v>
          </cell>
          <cell r="BK159">
            <v>3397985.1250942126</v>
          </cell>
        </row>
        <row r="160">
          <cell r="C160">
            <v>18290751.65068578</v>
          </cell>
          <cell r="D160">
            <v>20906720.715651795</v>
          </cell>
          <cell r="Q160">
            <v>19525080.637169223</v>
          </cell>
          <cell r="AF160">
            <v>21630281.701056276</v>
          </cell>
          <cell r="BK160">
            <v>1765608.3442913683</v>
          </cell>
        </row>
        <row r="161">
          <cell r="C161">
            <v>25107867.288646057</v>
          </cell>
          <cell r="D161">
            <v>26640543.765173607</v>
          </cell>
          <cell r="Q161">
            <v>25843085.022182196</v>
          </cell>
          <cell r="AF161">
            <v>27012678.96894376</v>
          </cell>
          <cell r="BK161">
            <v>1536214.8471899428</v>
          </cell>
        </row>
        <row r="162">
          <cell r="C162">
            <v>3793935.4090875285</v>
          </cell>
          <cell r="D162">
            <v>4242269.0709771775</v>
          </cell>
          <cell r="Q162">
            <v>3972539.9633760937</v>
          </cell>
          <cell r="AF162">
            <v>4421866.4541579904</v>
          </cell>
          <cell r="BK162">
            <v>354020.03366217396</v>
          </cell>
        </row>
        <row r="163">
          <cell r="C163">
            <v>86114.122551642344</v>
          </cell>
          <cell r="D163">
            <v>93121.176258897904</v>
          </cell>
          <cell r="Q163">
            <v>88696.740371710941</v>
          </cell>
          <cell r="AF163">
            <v>96276.472232541069</v>
          </cell>
          <cell r="BK163">
            <v>6192.6060647790891</v>
          </cell>
        </row>
        <row r="164">
          <cell r="C164">
            <v>2796966.5955148404</v>
          </cell>
          <cell r="D164">
            <v>2938843.9669892369</v>
          </cell>
          <cell r="Q164">
            <v>2867363.2630342436</v>
          </cell>
          <cell r="AF164">
            <v>2975065.3084009369</v>
          </cell>
          <cell r="BK164">
            <v>72349.647429694625</v>
          </cell>
        </row>
        <row r="165">
          <cell r="C165">
            <v>0</v>
          </cell>
          <cell r="D165">
            <v>0</v>
          </cell>
          <cell r="Q165">
            <v>0</v>
          </cell>
          <cell r="AF165">
            <v>0</v>
          </cell>
          <cell r="BK165">
            <v>0</v>
          </cell>
        </row>
        <row r="166">
          <cell r="C166">
            <v>923762.4874014433</v>
          </cell>
          <cell r="D166">
            <v>1225863.5532269184</v>
          </cell>
          <cell r="Q166">
            <v>1061493.2903289264</v>
          </cell>
          <cell r="AF166">
            <v>1321028.1559444726</v>
          </cell>
          <cell r="BK166">
            <v>189370.15642917456</v>
          </cell>
        </row>
        <row r="167">
          <cell r="C167">
            <v>99913.744394615351</v>
          </cell>
          <cell r="D167">
            <v>106950.86865249996</v>
          </cell>
          <cell r="Q167">
            <v>103168.30917999994</v>
          </cell>
          <cell r="AF167">
            <v>109106.148535</v>
          </cell>
          <cell r="BK167">
            <v>4310.559765</v>
          </cell>
        </row>
        <row r="168">
          <cell r="C168">
            <v>261312.39584953847</v>
          </cell>
          <cell r="D168">
            <v>290141.34666700003</v>
          </cell>
          <cell r="Q168">
            <v>274645.34458400006</v>
          </cell>
          <cell r="AF168">
            <v>298970.87645799998</v>
          </cell>
          <cell r="BK168">
            <v>17659.059582000005</v>
          </cell>
        </row>
        <row r="169">
          <cell r="C169">
            <v>4318.7524532307707</v>
          </cell>
          <cell r="D169">
            <v>5008.5899050000044</v>
          </cell>
          <cell r="Q169">
            <v>4562.2991120000033</v>
          </cell>
          <cell r="AF169">
            <v>5333.1061420000042</v>
          </cell>
          <cell r="BK169">
            <v>649.03247399999975</v>
          </cell>
        </row>
        <row r="170">
          <cell r="C170">
            <v>1194302.9851401155</v>
          </cell>
          <cell r="D170">
            <v>1248109.8085130001</v>
          </cell>
          <cell r="Q170">
            <v>1248109.8085129997</v>
          </cell>
          <cell r="AF170">
            <v>1248109.8085129997</v>
          </cell>
          <cell r="BK170">
            <v>0</v>
          </cell>
        </row>
        <row r="171">
          <cell r="C171">
            <v>994844.35406668484</v>
          </cell>
          <cell r="D171">
            <v>1144609.4214875565</v>
          </cell>
          <cell r="Q171">
            <v>1067724.7252613688</v>
          </cell>
          <cell r="AF171">
            <v>1191625.2154903326</v>
          </cell>
          <cell r="BK171">
            <v>93447.823968755547</v>
          </cell>
        </row>
        <row r="172">
          <cell r="C172"/>
          <cell r="D172"/>
          <cell r="Q172">
            <v>0</v>
          </cell>
          <cell r="AF172">
            <v>0</v>
          </cell>
          <cell r="BK172">
            <v>0</v>
          </cell>
        </row>
        <row r="173">
          <cell r="C173">
            <v>83004.206858076912</v>
          </cell>
          <cell r="D173">
            <v>113290.46464499993</v>
          </cell>
          <cell r="Q173">
            <v>99732.918329999971</v>
          </cell>
          <cell r="AF173">
            <v>118483.65679499989</v>
          </cell>
          <cell r="BK173">
            <v>10386.384300000003</v>
          </cell>
        </row>
        <row r="174">
          <cell r="C174">
            <v>-2529.39</v>
          </cell>
          <cell r="D174">
            <v>-2529.39</v>
          </cell>
          <cell r="Q174">
            <v>-2529.39</v>
          </cell>
          <cell r="AF174">
            <v>-2529.39</v>
          </cell>
          <cell r="BK174">
            <v>0</v>
          </cell>
        </row>
        <row r="175">
          <cell r="C175">
            <v>1009734.8682471215</v>
          </cell>
          <cell r="D175">
            <v>1300851.4776690158</v>
          </cell>
          <cell r="Q175">
            <v>1125067.9001141903</v>
          </cell>
          <cell r="AF175">
            <v>1424932.474489077</v>
          </cell>
          <cell r="BK175">
            <v>256177.92006595497</v>
          </cell>
        </row>
        <row r="176">
          <cell r="C176">
            <v>37157.873150769221</v>
          </cell>
          <cell r="D176">
            <v>39654.637739999984</v>
          </cell>
          <cell r="Q176">
            <v>39654.637739999991</v>
          </cell>
          <cell r="AF176">
            <v>39654.637739999991</v>
          </cell>
          <cell r="BK176">
            <v>0</v>
          </cell>
        </row>
        <row r="177">
          <cell r="C177">
            <v>58839.865046538456</v>
          </cell>
          <cell r="D177">
            <v>62817.883901249974</v>
          </cell>
          <cell r="Q177">
            <v>62817.883901249988</v>
          </cell>
          <cell r="AF177">
            <v>62817.883901249988</v>
          </cell>
          <cell r="BK177">
            <v>0</v>
          </cell>
        </row>
        <row r="178">
          <cell r="C178">
            <v>17249.974841673073</v>
          </cell>
          <cell r="D178">
            <v>19456.427647250002</v>
          </cell>
          <cell r="Q178">
            <v>19141.220840499998</v>
          </cell>
          <cell r="AF178">
            <v>19456.427647249999</v>
          </cell>
          <cell r="BK178">
            <v>0</v>
          </cell>
        </row>
        <row r="179">
          <cell r="C179">
            <v>222773.73967951923</v>
          </cell>
          <cell r="D179">
            <v>269010.38988124992</v>
          </cell>
          <cell r="Q179">
            <v>242784.42595249997</v>
          </cell>
          <cell r="AF179">
            <v>286494.36583374999</v>
          </cell>
          <cell r="BK179">
            <v>34967.951905000009</v>
          </cell>
        </row>
        <row r="180">
          <cell r="C180">
            <v>0</v>
          </cell>
          <cell r="D180">
            <v>0</v>
          </cell>
          <cell r="Q180">
            <v>0</v>
          </cell>
          <cell r="AF180">
            <v>0</v>
          </cell>
          <cell r="BK180">
            <v>0</v>
          </cell>
        </row>
        <row r="181">
          <cell r="C181">
            <v>0</v>
          </cell>
          <cell r="D181">
            <v>0</v>
          </cell>
          <cell r="Q181">
            <v>0</v>
          </cell>
          <cell r="AF181">
            <v>0</v>
          </cell>
          <cell r="BK181">
            <v>0</v>
          </cell>
        </row>
        <row r="182">
          <cell r="C182">
            <v>0</v>
          </cell>
          <cell r="D182">
            <v>0</v>
          </cell>
          <cell r="Q182">
            <v>0</v>
          </cell>
          <cell r="AF182">
            <v>0</v>
          </cell>
          <cell r="BK182">
            <v>0</v>
          </cell>
        </row>
        <row r="183">
          <cell r="C183">
            <v>1805130.5538750004</v>
          </cell>
          <cell r="D183">
            <v>2072883.0731250006</v>
          </cell>
          <cell r="Q183">
            <v>1926941.6572500004</v>
          </cell>
          <cell r="AF183">
            <v>2170177.3503750009</v>
          </cell>
          <cell r="BK183">
            <v>194588.5545</v>
          </cell>
        </row>
        <row r="184">
          <cell r="C184">
            <v>4530.7844615384602</v>
          </cell>
          <cell r="D184">
            <v>6670.1903519999969</v>
          </cell>
          <cell r="Q184">
            <v>5282.297999999998</v>
          </cell>
          <cell r="AF184">
            <v>7698.338703999998</v>
          </cell>
          <cell r="BK184">
            <v>2056.2967039999999</v>
          </cell>
        </row>
        <row r="185">
          <cell r="C185">
            <v>0</v>
          </cell>
          <cell r="D185">
            <v>0</v>
          </cell>
          <cell r="Q185">
            <v>0</v>
          </cell>
          <cell r="AF185">
            <v>0</v>
          </cell>
          <cell r="BK185">
            <v>0</v>
          </cell>
        </row>
        <row r="186">
          <cell r="C186">
            <v>47468.61234615383</v>
          </cell>
          <cell r="D186">
            <v>64644.497499999969</v>
          </cell>
          <cell r="Q186">
            <v>54549.582999999977</v>
          </cell>
          <cell r="AF186">
            <v>71374.440499999982</v>
          </cell>
          <cell r="BK186">
            <v>13459.885999999997</v>
          </cell>
        </row>
        <row r="187">
          <cell r="C187">
            <v>487081.04667750426</v>
          </cell>
          <cell r="D187">
            <v>112225.95489402021</v>
          </cell>
          <cell r="Q187">
            <v>355562.19814712851</v>
          </cell>
          <cell r="AF187">
            <v>-85447.137223342754</v>
          </cell>
          <cell r="BK187">
            <v>89350.691999029921</v>
          </cell>
        </row>
        <row r="188">
          <cell r="C188">
            <v>0</v>
          </cell>
          <cell r="D188">
            <v>0</v>
          </cell>
          <cell r="Q188">
            <v>0</v>
          </cell>
          <cell r="AF188">
            <v>0</v>
          </cell>
          <cell r="BK188">
            <v>0</v>
          </cell>
        </row>
        <row r="189">
          <cell r="C189">
            <v>108890.54757936539</v>
          </cell>
          <cell r="D189">
            <v>117916.26204025003</v>
          </cell>
          <cell r="Q189">
            <v>110712.2595805</v>
          </cell>
          <cell r="AF189">
            <v>123060.65470975004</v>
          </cell>
          <cell r="BK189">
            <v>10288.785339000002</v>
          </cell>
        </row>
        <row r="190">
          <cell r="C190">
            <v>-5933440.2569230748</v>
          </cell>
          <cell r="D190">
            <v>-6374709.4599999981</v>
          </cell>
          <cell r="Q190">
            <v>-6374709.4599999981</v>
          </cell>
          <cell r="AF190">
            <v>-6374709.4599999981</v>
          </cell>
        </row>
        <row r="191">
          <cell r="C191">
            <v>0</v>
          </cell>
          <cell r="D191">
            <v>0</v>
          </cell>
          <cell r="Q191">
            <v>0</v>
          </cell>
          <cell r="AF191">
            <v>0</v>
          </cell>
        </row>
        <row r="192">
          <cell r="C192">
            <v>0</v>
          </cell>
          <cell r="D192">
            <v>0</v>
          </cell>
          <cell r="Q192">
            <v>0</v>
          </cell>
          <cell r="AF192">
            <v>0</v>
          </cell>
          <cell r="BK192">
            <v>0</v>
          </cell>
        </row>
        <row r="205">
          <cell r="AP205">
            <v>1725018.2083834885</v>
          </cell>
          <cell r="AQ205">
            <v>1740221.8119219767</v>
          </cell>
          <cell r="AR205">
            <v>1736418.0826194657</v>
          </cell>
          <cell r="AS205">
            <v>1755383.1410666006</v>
          </cell>
          <cell r="AT205">
            <v>1776894.3337917665</v>
          </cell>
          <cell r="AU205">
            <v>1796427.6476615162</v>
          </cell>
        </row>
        <row r="207">
          <cell r="AU207">
            <v>2.785600084127238E-2</v>
          </cell>
          <cell r="BJ207">
            <v>1.9709728321911903E-2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 Actuals"/>
    </sheetNames>
    <sheetDataSet>
      <sheetData sheetId="0">
        <row r="15">
          <cell r="L15">
            <v>0.45615191876565997</v>
          </cell>
        </row>
        <row r="17">
          <cell r="L17">
            <v>1.9989267507378727E-2</v>
          </cell>
        </row>
        <row r="21">
          <cell r="L21">
            <v>0.45614668834079219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ATO-CWC1A"/>
      <sheetName val="ATO-CWC1B"/>
      <sheetName val="ATO-CWC2"/>
      <sheetName val="WP 2-1"/>
      <sheetName val="WP 2-2"/>
      <sheetName val="ATO-CWC3"/>
      <sheetName val="ATO-CWC4"/>
      <sheetName val="ATO-CWC5"/>
      <sheetName val="WP 5-1"/>
      <sheetName val="WP 5-2"/>
      <sheetName val="ATO-CWC6"/>
      <sheetName val="ATO-CWC7"/>
      <sheetName val="ATO-CWC8"/>
      <sheetName val="ATO-CWC9"/>
    </sheetNames>
    <sheetDataSet>
      <sheetData sheetId="0"/>
      <sheetData sheetId="1">
        <row r="53">
          <cell r="N53">
            <v>2692758.7072114237</v>
          </cell>
        </row>
      </sheetData>
      <sheetData sheetId="2">
        <row r="53">
          <cell r="N53">
            <v>2678216.8007644988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9 misc BS accts"/>
      <sheetName val="Div91 misc BS accts"/>
      <sheetName val="Div02 misc BS accts"/>
      <sheetName val="Div12 misc BS accts"/>
      <sheetName val="summary"/>
    </sheetNames>
    <sheetDataSet>
      <sheetData sheetId="0"/>
      <sheetData sheetId="1"/>
      <sheetData sheetId="2"/>
      <sheetData sheetId="3"/>
      <sheetData sheetId="4">
        <row r="6"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K7">
            <v>1.13687E-12</v>
          </cell>
          <cell r="L7">
            <v>9.0949500000000005E-12</v>
          </cell>
          <cell r="M7">
            <v>0.01</v>
          </cell>
          <cell r="N7">
            <v>0.01</v>
          </cell>
          <cell r="O7">
            <v>3.3651300000000002E-11</v>
          </cell>
          <cell r="P7">
            <v>0.01</v>
          </cell>
          <cell r="Q7">
            <v>-0.01</v>
          </cell>
          <cell r="R7">
            <v>-0.01</v>
          </cell>
          <cell r="S7">
            <v>-0.01</v>
          </cell>
          <cell r="T7">
            <v>-0.01</v>
          </cell>
          <cell r="U7">
            <v>-0.01</v>
          </cell>
          <cell r="V7">
            <v>-0.01</v>
          </cell>
          <cell r="W7">
            <v>-0.01</v>
          </cell>
          <cell r="Z7">
            <v>-0.01</v>
          </cell>
          <cell r="AA7">
            <v>-0.01</v>
          </cell>
          <cell r="AB7">
            <v>-0.01</v>
          </cell>
          <cell r="AC7">
            <v>-0.01</v>
          </cell>
          <cell r="AD7">
            <v>-0.01</v>
          </cell>
          <cell r="AE7">
            <v>-0.01</v>
          </cell>
          <cell r="AF7">
            <v>-0.01</v>
          </cell>
          <cell r="AG7">
            <v>-0.01</v>
          </cell>
          <cell r="AH7">
            <v>-0.01</v>
          </cell>
          <cell r="AI7">
            <v>-0.01</v>
          </cell>
          <cell r="AJ7">
            <v>-0.01</v>
          </cell>
          <cell r="AK7">
            <v>-0.01</v>
          </cell>
          <cell r="AL7">
            <v>-0.01</v>
          </cell>
        </row>
        <row r="11"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6">
          <cell r="K16">
            <v>76067.56</v>
          </cell>
          <cell r="L16">
            <v>76067.56</v>
          </cell>
          <cell r="M16">
            <v>76067.56</v>
          </cell>
          <cell r="N16">
            <v>76067.56</v>
          </cell>
          <cell r="O16">
            <v>76067.56</v>
          </cell>
          <cell r="P16">
            <v>64639.95</v>
          </cell>
          <cell r="Q16">
            <v>64639.95</v>
          </cell>
          <cell r="R16">
            <v>72258.356666666674</v>
          </cell>
          <cell r="S16">
            <v>72258.356666666674</v>
          </cell>
          <cell r="T16">
            <v>72258.356666666674</v>
          </cell>
          <cell r="U16">
            <v>72258.356666666674</v>
          </cell>
          <cell r="V16">
            <v>72258.356666666674</v>
          </cell>
          <cell r="W16">
            <v>72258.356666666674</v>
          </cell>
          <cell r="Z16">
            <v>72258.356666666674</v>
          </cell>
          <cell r="AA16">
            <v>72258.356666666674</v>
          </cell>
          <cell r="AB16">
            <v>72258.356666666674</v>
          </cell>
          <cell r="AC16">
            <v>72258.356666666674</v>
          </cell>
          <cell r="AD16">
            <v>72258.356666666674</v>
          </cell>
          <cell r="AE16">
            <v>72258.356666666674</v>
          </cell>
          <cell r="AF16">
            <v>72258.356666666674</v>
          </cell>
          <cell r="AG16">
            <v>72258.356666666674</v>
          </cell>
          <cell r="AH16">
            <v>72258.356666666674</v>
          </cell>
          <cell r="AI16">
            <v>72258.356666666674</v>
          </cell>
          <cell r="AJ16">
            <v>72258.356666666674</v>
          </cell>
          <cell r="AK16">
            <v>72258.356666666674</v>
          </cell>
          <cell r="AL16">
            <v>72258.356666666674</v>
          </cell>
        </row>
        <row r="17">
          <cell r="K17">
            <v>652973.32999999996</v>
          </cell>
          <cell r="L17">
            <v>730180.9</v>
          </cell>
          <cell r="M17">
            <v>820252.4</v>
          </cell>
          <cell r="N17">
            <v>926971.8</v>
          </cell>
          <cell r="O17">
            <v>1009823.08</v>
          </cell>
          <cell r="P17">
            <v>1111262.44</v>
          </cell>
          <cell r="Q17">
            <v>1235410.6599999999</v>
          </cell>
          <cell r="R17">
            <v>972316.88</v>
          </cell>
          <cell r="S17">
            <v>972316.88</v>
          </cell>
          <cell r="T17">
            <v>972316.88</v>
          </cell>
          <cell r="U17">
            <v>972316.88</v>
          </cell>
          <cell r="V17">
            <v>972316.88</v>
          </cell>
          <cell r="W17">
            <v>972316.88</v>
          </cell>
          <cell r="Z17">
            <v>972316.88</v>
          </cell>
          <cell r="AA17">
            <v>972316.88</v>
          </cell>
          <cell r="AB17">
            <v>972316.88</v>
          </cell>
          <cell r="AC17">
            <v>972316.88</v>
          </cell>
          <cell r="AD17">
            <v>972316.88</v>
          </cell>
          <cell r="AE17">
            <v>972316.88</v>
          </cell>
          <cell r="AF17">
            <v>972316.88</v>
          </cell>
          <cell r="AG17">
            <v>972316.88</v>
          </cell>
          <cell r="AH17">
            <v>972316.88</v>
          </cell>
          <cell r="AI17">
            <v>972316.88</v>
          </cell>
          <cell r="AJ17">
            <v>972316.88</v>
          </cell>
          <cell r="AK17">
            <v>972316.88</v>
          </cell>
          <cell r="AL17">
            <v>972316.88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K22">
            <v>-270186.74</v>
          </cell>
          <cell r="L22">
            <v>-311624.05</v>
          </cell>
          <cell r="M22">
            <v>-344283.63</v>
          </cell>
          <cell r="N22">
            <v>-380390.49</v>
          </cell>
          <cell r="O22">
            <v>-401616.5</v>
          </cell>
          <cell r="P22">
            <v>-454551.93</v>
          </cell>
          <cell r="Q22">
            <v>-520274.73</v>
          </cell>
          <cell r="R22">
            <v>-402123.55499999999</v>
          </cell>
          <cell r="S22">
            <v>-402123.55499999999</v>
          </cell>
          <cell r="T22">
            <v>-402123.55499999999</v>
          </cell>
          <cell r="U22">
            <v>-402123.55499999999</v>
          </cell>
          <cell r="V22">
            <v>-402123.55499999999</v>
          </cell>
          <cell r="W22">
            <v>-402123.55499999999</v>
          </cell>
          <cell r="Z22">
            <v>-402123.55499999999</v>
          </cell>
          <cell r="AA22">
            <v>-402123.55499999999</v>
          </cell>
          <cell r="AB22">
            <v>-402123.55499999999</v>
          </cell>
          <cell r="AC22">
            <v>-402123.55499999999</v>
          </cell>
          <cell r="AD22">
            <v>-402123.55499999999</v>
          </cell>
          <cell r="AE22">
            <v>-402123.55499999999</v>
          </cell>
          <cell r="AF22">
            <v>-402123.55499999999</v>
          </cell>
          <cell r="AG22">
            <v>-402123.55499999999</v>
          </cell>
          <cell r="AH22">
            <v>-402123.55499999999</v>
          </cell>
          <cell r="AI22">
            <v>-402123.55499999999</v>
          </cell>
          <cell r="AJ22">
            <v>-402123.55499999999</v>
          </cell>
          <cell r="AK22">
            <v>-402123.55499999999</v>
          </cell>
          <cell r="AL22">
            <v>-402123.55499999999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dollars"/>
    </sheetNames>
    <sheetDataSet>
      <sheetData sheetId="0">
        <row r="148">
          <cell r="E148">
            <v>16751569.73</v>
          </cell>
          <cell r="F148">
            <v>14268077.99</v>
          </cell>
          <cell r="G148">
            <v>10938434.380000001</v>
          </cell>
          <cell r="H148">
            <v>6984757.2800000003</v>
          </cell>
          <cell r="I148">
            <v>7706386.1200000001</v>
          </cell>
          <cell r="J148">
            <v>9950294.6300000008</v>
          </cell>
          <cell r="K148">
            <v>12189928.75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of Rates"/>
      <sheetName val="Summary of Revenue"/>
      <sheetName val="Summary of Stats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>
        <row r="11">
          <cell r="I11">
            <v>3763546.3227285361</v>
          </cell>
          <cell r="J11">
            <v>3673077.2127803797</v>
          </cell>
          <cell r="K11">
            <v>3651533.0586303174</v>
          </cell>
          <cell r="L11">
            <v>4790276.4510819698</v>
          </cell>
          <cell r="M11">
            <v>8255729.0116288727</v>
          </cell>
          <cell r="N11">
            <v>12475096.156039527</v>
          </cell>
          <cell r="T11">
            <v>8610670.0650308877</v>
          </cell>
          <cell r="U11">
            <v>5415766.9850420076</v>
          </cell>
          <cell r="V11">
            <v>4024680.0385014741</v>
          </cell>
          <cell r="W11">
            <v>3684913.3482450601</v>
          </cell>
          <cell r="X11">
            <v>3686809.6237465949</v>
          </cell>
          <cell r="Y11">
            <v>3665403.7162836287</v>
          </cell>
          <cell r="Z11">
            <v>4813510.0265167719</v>
          </cell>
          <cell r="AA11">
            <v>8164046.5562757477</v>
          </cell>
          <cell r="AB11">
            <v>12309251.032231433</v>
          </cell>
          <cell r="AC11">
            <v>15261501.254130863</v>
          </cell>
          <cell r="AD11">
            <v>15293971.735410729</v>
          </cell>
          <cell r="AE11">
            <v>11588965.754455715</v>
          </cell>
          <cell r="AI11">
            <v>96326562.817952901</v>
          </cell>
          <cell r="AJ11">
            <v>95527942.254613966</v>
          </cell>
          <cell r="AK11">
            <v>95391680.203140974</v>
          </cell>
        </row>
        <row r="12">
          <cell r="I12">
            <v>1766631.463177212</v>
          </cell>
          <cell r="J12">
            <v>1668351.0722613346</v>
          </cell>
          <cell r="K12">
            <v>1650154.448445596</v>
          </cell>
          <cell r="L12">
            <v>2091796.725258501</v>
          </cell>
          <cell r="M12">
            <v>3547724.2611189121</v>
          </cell>
          <cell r="N12">
            <v>5285173.8612298202</v>
          </cell>
          <cell r="T12">
            <v>3740234.3039921885</v>
          </cell>
          <cell r="U12">
            <v>2430597.393395402</v>
          </cell>
          <cell r="V12">
            <v>1825190.9458076423</v>
          </cell>
          <cell r="W12">
            <v>1683031.0804569395</v>
          </cell>
          <cell r="X12">
            <v>1674192.6098799084</v>
          </cell>
          <cell r="Y12">
            <v>1655980.8256730861</v>
          </cell>
          <cell r="Z12">
            <v>2100481.2074903068</v>
          </cell>
          <cell r="AA12">
            <v>3492015.8223401732</v>
          </cell>
          <cell r="AB12">
            <v>5194864.1480078101</v>
          </cell>
          <cell r="AC12">
            <v>6452613.6240774728</v>
          </cell>
          <cell r="AD12">
            <v>6412212.9025667459</v>
          </cell>
          <cell r="AE12">
            <v>4946605.2380727371</v>
          </cell>
          <cell r="AI12">
            <v>41428892.939616829</v>
          </cell>
          <cell r="AJ12">
            <v>40924733.05986508</v>
          </cell>
          <cell r="AK12">
            <v>40763656.345370151</v>
          </cell>
        </row>
        <row r="13">
          <cell r="I13">
            <v>175217.12237435556</v>
          </cell>
          <cell r="J13">
            <v>200280.25797535555</v>
          </cell>
          <cell r="K13">
            <v>187713.57397539556</v>
          </cell>
          <cell r="L13">
            <v>254047.71953455551</v>
          </cell>
          <cell r="M13">
            <v>361508.19045149098</v>
          </cell>
          <cell r="N13">
            <v>541727.0040097828</v>
          </cell>
          <cell r="T13">
            <v>476019.20573126379</v>
          </cell>
          <cell r="U13">
            <v>245337.58100376112</v>
          </cell>
          <cell r="V13">
            <v>137169.04477656857</v>
          </cell>
          <cell r="W13">
            <v>160281.23725643521</v>
          </cell>
          <cell r="X13">
            <v>201966.61113093808</v>
          </cell>
          <cell r="Y13">
            <v>189233.69800180831</v>
          </cell>
          <cell r="Z13">
            <v>256406.04684326812</v>
          </cell>
          <cell r="AA13">
            <v>353760.7012860981</v>
          </cell>
          <cell r="AB13">
            <v>529688.5965677551</v>
          </cell>
          <cell r="AC13">
            <v>1366720.8167494037</v>
          </cell>
          <cell r="AD13">
            <v>935261.01264412527</v>
          </cell>
          <cell r="AE13">
            <v>518540.2843305968</v>
          </cell>
          <cell r="AI13">
            <v>5338210.9192328397</v>
          </cell>
          <cell r="AJ13">
            <v>5242091.0101568168</v>
          </cell>
          <cell r="AK13">
            <v>5211955.517644221</v>
          </cell>
        </row>
        <row r="14">
          <cell r="I14">
            <v>226688.90897395968</v>
          </cell>
          <cell r="J14">
            <v>212706.97572869639</v>
          </cell>
          <cell r="K14">
            <v>203679.18168436518</v>
          </cell>
          <cell r="L14">
            <v>307934.67545647768</v>
          </cell>
          <cell r="M14">
            <v>595284.49540316418</v>
          </cell>
          <cell r="N14">
            <v>932195.08373129787</v>
          </cell>
          <cell r="T14">
            <v>608128.8740703048</v>
          </cell>
          <cell r="U14">
            <v>347106.69036616589</v>
          </cell>
          <cell r="V14">
            <v>235663.47845840739</v>
          </cell>
          <cell r="W14">
            <v>213588.23422003508</v>
          </cell>
          <cell r="X14">
            <v>213628.61926361959</v>
          </cell>
          <cell r="Y14">
            <v>204561.97739721125</v>
          </cell>
          <cell r="Z14">
            <v>309464.74932909186</v>
          </cell>
          <cell r="AA14">
            <v>584748.47667175182</v>
          </cell>
          <cell r="AB14">
            <v>914866.79837369605</v>
          </cell>
          <cell r="AC14">
            <v>1137916.6570746452</v>
          </cell>
          <cell r="AD14">
            <v>1135614.1948950947</v>
          </cell>
          <cell r="AE14">
            <v>844518.05872786895</v>
          </cell>
          <cell r="AI14">
            <v>6720022.4535946194</v>
          </cell>
          <cell r="AJ14">
            <v>6626213.6871405225</v>
          </cell>
          <cell r="AK14">
            <v>6595812.9293247033</v>
          </cell>
        </row>
        <row r="15">
          <cell r="AI15">
            <v>149813689.1303972</v>
          </cell>
          <cell r="AJ15">
            <v>148320980.01177639</v>
          </cell>
          <cell r="AK15">
            <v>147963104.99548006</v>
          </cell>
        </row>
        <row r="18">
          <cell r="I18">
            <v>56702.008306875352</v>
          </cell>
          <cell r="J18">
            <v>51800.784396585361</v>
          </cell>
          <cell r="K18">
            <v>49979.244894852694</v>
          </cell>
          <cell r="L18">
            <v>49537.852952870497</v>
          </cell>
          <cell r="M18">
            <v>64694.648373821525</v>
          </cell>
          <cell r="N18">
            <v>111548.2089530177</v>
          </cell>
          <cell r="T18">
            <v>158007.4133962857</v>
          </cell>
          <cell r="U18">
            <v>116546.78412815434</v>
          </cell>
          <cell r="V18">
            <v>73687.232671443053</v>
          </cell>
          <cell r="W18">
            <v>54761.23350727481</v>
          </cell>
          <cell r="X18">
            <v>50223.256406440094</v>
          </cell>
          <cell r="Y18">
            <v>50163.68436664695</v>
          </cell>
          <cell r="Z18">
            <v>49723.008346390074</v>
          </cell>
          <cell r="AA18">
            <v>64995.591176114212</v>
          </cell>
          <cell r="AB18">
            <v>110127.75108290582</v>
          </cell>
          <cell r="AC18">
            <v>165693.8886350524</v>
          </cell>
          <cell r="AD18">
            <v>205564.27717404097</v>
          </cell>
          <cell r="AE18">
            <v>205470.44288243348</v>
          </cell>
        </row>
        <row r="19">
          <cell r="I19">
            <v>45327</v>
          </cell>
          <cell r="J19">
            <v>57173</v>
          </cell>
          <cell r="K19">
            <v>55395</v>
          </cell>
          <cell r="L19">
            <v>88176</v>
          </cell>
          <cell r="M19">
            <v>126545</v>
          </cell>
          <cell r="N19">
            <v>87101</v>
          </cell>
          <cell r="T19">
            <v>49919</v>
          </cell>
          <cell r="U19">
            <v>53628</v>
          </cell>
          <cell r="V19">
            <v>55397</v>
          </cell>
          <cell r="W19">
            <v>45327</v>
          </cell>
          <cell r="X19">
            <v>57173</v>
          </cell>
          <cell r="Y19">
            <v>55395</v>
          </cell>
          <cell r="Z19">
            <v>88176</v>
          </cell>
          <cell r="AA19">
            <v>126545</v>
          </cell>
          <cell r="AB19">
            <v>87101</v>
          </cell>
          <cell r="AC19">
            <v>58133</v>
          </cell>
          <cell r="AD19">
            <v>54439</v>
          </cell>
          <cell r="AE19">
            <v>74821</v>
          </cell>
        </row>
        <row r="20">
          <cell r="I20">
            <v>994105.16500000004</v>
          </cell>
          <cell r="J20">
            <v>1088323.54</v>
          </cell>
          <cell r="K20">
            <v>1079966.1724999999</v>
          </cell>
          <cell r="L20">
            <v>1210609.0350000001</v>
          </cell>
          <cell r="M20">
            <v>1304753.0449999999</v>
          </cell>
          <cell r="N20">
            <v>1422619.82</v>
          </cell>
          <cell r="T20">
            <v>1283037.0911864408</v>
          </cell>
          <cell r="U20">
            <v>1128526.9024999999</v>
          </cell>
          <cell r="V20">
            <v>1043107.5225</v>
          </cell>
          <cell r="W20">
            <v>994105.16500000004</v>
          </cell>
          <cell r="X20">
            <v>1088323.54</v>
          </cell>
          <cell r="Y20">
            <v>1079966.1724999999</v>
          </cell>
          <cell r="Z20">
            <v>1210609.0350000001</v>
          </cell>
          <cell r="AA20">
            <v>1304753.0449999999</v>
          </cell>
          <cell r="AB20">
            <v>1422619.82</v>
          </cell>
          <cell r="AC20">
            <v>1613292.1125</v>
          </cell>
          <cell r="AD20">
            <v>1319597.0900000001</v>
          </cell>
          <cell r="AE20">
            <v>1393444.4936864409</v>
          </cell>
          <cell r="AI20">
            <v>14881381.989872882</v>
          </cell>
          <cell r="AJ20">
            <v>14881381.989872882</v>
          </cell>
          <cell r="AK20">
            <v>14881381.989872882</v>
          </cell>
        </row>
        <row r="21">
          <cell r="I21">
            <v>157141.32000000004</v>
          </cell>
          <cell r="J21">
            <v>159211.59</v>
          </cell>
          <cell r="K21">
            <v>171560.08999999997</v>
          </cell>
          <cell r="L21">
            <v>201623.49000000002</v>
          </cell>
          <cell r="M21">
            <v>213081.41000000003</v>
          </cell>
          <cell r="N21">
            <v>245950.37</v>
          </cell>
          <cell r="T21">
            <v>209397.11525423729</v>
          </cell>
          <cell r="U21">
            <v>195682.13000000003</v>
          </cell>
          <cell r="V21">
            <v>179745.91</v>
          </cell>
          <cell r="W21">
            <v>157141.32000000004</v>
          </cell>
          <cell r="X21">
            <v>159211.59</v>
          </cell>
          <cell r="Y21">
            <v>171560.08999999997</v>
          </cell>
          <cell r="Z21">
            <v>201623.49000000002</v>
          </cell>
          <cell r="AA21">
            <v>213081.41000000003</v>
          </cell>
          <cell r="AB21">
            <v>245950.37</v>
          </cell>
          <cell r="AC21">
            <v>268662.74</v>
          </cell>
          <cell r="AD21">
            <v>230460.39</v>
          </cell>
          <cell r="AE21">
            <v>245246.8452542373</v>
          </cell>
        </row>
        <row r="23">
          <cell r="AI23">
            <v>169278948.81433651</v>
          </cell>
          <cell r="AJ23">
            <v>167773378.19423839</v>
          </cell>
          <cell r="AK23">
            <v>167412419.76129591</v>
          </cell>
        </row>
        <row r="25">
          <cell r="AI25">
            <v>77907151.519755423</v>
          </cell>
          <cell r="AJ25">
            <v>76310359.645971805</v>
          </cell>
          <cell r="AK25">
            <v>75848401.445160136</v>
          </cell>
        </row>
        <row r="32">
          <cell r="I32">
            <v>9883669.8599999994</v>
          </cell>
          <cell r="J32">
            <v>13510047.009997431</v>
          </cell>
          <cell r="K32">
            <v>17108212.813888308</v>
          </cell>
          <cell r="L32">
            <v>20718002.176690042</v>
          </cell>
          <cell r="M32">
            <v>17989770.702685934</v>
          </cell>
          <cell r="N32">
            <v>13798752.500585802</v>
          </cell>
          <cell r="R32">
            <v>-2287953.3409217214</v>
          </cell>
          <cell r="T32">
            <v>988506.25436350517</v>
          </cell>
          <cell r="U32">
            <v>4223799.0785061195</v>
          </cell>
          <cell r="V32">
            <v>7495415.5242451569</v>
          </cell>
          <cell r="W32">
            <v>10805777.166353712</v>
          </cell>
          <cell r="X32">
            <v>14118560.383235361</v>
          </cell>
          <cell r="Y32">
            <v>17407127.852386065</v>
          </cell>
          <cell r="Z32">
            <v>20715067.919721525</v>
          </cell>
          <cell r="AA32">
            <v>18044747.955635339</v>
          </cell>
          <cell r="AB32">
            <v>13969372.842649167</v>
          </cell>
          <cell r="AC32">
            <v>8809435.8119519856</v>
          </cell>
          <cell r="AD32">
            <v>3257934.6178646553</v>
          </cell>
          <cell r="AE32">
            <v>-1769904.1334066335</v>
          </cell>
        </row>
      </sheetData>
      <sheetData sheetId="3">
        <row r="11">
          <cell r="O11">
            <v>157306.58333333334</v>
          </cell>
          <cell r="AF11">
            <v>157712.83333333334</v>
          </cell>
          <cell r="AI11">
            <v>157875.33333333334</v>
          </cell>
          <cell r="AJ11">
            <v>158200.33333333334</v>
          </cell>
          <cell r="AK11">
            <v>158525.33333333334</v>
          </cell>
        </row>
        <row r="12">
          <cell r="O12">
            <v>17445.75</v>
          </cell>
          <cell r="AF12">
            <v>17445.75</v>
          </cell>
          <cell r="AI12">
            <v>17445.75</v>
          </cell>
          <cell r="AJ12">
            <v>17445.75</v>
          </cell>
          <cell r="AK12">
            <v>17445.75</v>
          </cell>
        </row>
        <row r="13">
          <cell r="O13">
            <v>215.47328844946642</v>
          </cell>
          <cell r="AF13">
            <v>215.47328844946642</v>
          </cell>
          <cell r="AI13">
            <v>215.47328844946642</v>
          </cell>
          <cell r="AJ13">
            <v>215.47328844946642</v>
          </cell>
          <cell r="AK13">
            <v>215.47328844946642</v>
          </cell>
        </row>
        <row r="14">
          <cell r="O14">
            <v>1534.5</v>
          </cell>
          <cell r="AF14">
            <v>1534.5</v>
          </cell>
          <cell r="AI14">
            <v>1534.5</v>
          </cell>
          <cell r="AJ14">
            <v>1534.5</v>
          </cell>
          <cell r="AK14">
            <v>1534.5</v>
          </cell>
        </row>
        <row r="17">
          <cell r="O17">
            <v>10051263.139931787</v>
          </cell>
          <cell r="AF17">
            <v>10083093.116257895</v>
          </cell>
          <cell r="AI17">
            <v>10087188.699502191</v>
          </cell>
          <cell r="AJ17">
            <v>10107961.31119078</v>
          </cell>
          <cell r="AK17">
            <v>10128734.171779366</v>
          </cell>
        </row>
        <row r="18">
          <cell r="O18">
            <v>5216701.24</v>
          </cell>
          <cell r="AF18">
            <v>5216701.24</v>
          </cell>
          <cell r="AI18">
            <v>5216701.2400000012</v>
          </cell>
          <cell r="AJ18">
            <v>5216701.2400000012</v>
          </cell>
          <cell r="AK18">
            <v>5216701.2400000012</v>
          </cell>
        </row>
        <row r="19">
          <cell r="O19">
            <v>991584.79589999979</v>
          </cell>
          <cell r="AF19">
            <v>991584.79590000003</v>
          </cell>
          <cell r="AI19">
            <v>991584.79590000003</v>
          </cell>
          <cell r="AJ19">
            <v>991584.79590000003</v>
          </cell>
          <cell r="AK19">
            <v>991584.79590000003</v>
          </cell>
        </row>
        <row r="20">
          <cell r="O20">
            <v>962458.7</v>
          </cell>
          <cell r="AF20">
            <v>962458.7</v>
          </cell>
          <cell r="AI20">
            <v>962458.70000000007</v>
          </cell>
          <cell r="AJ20">
            <v>962458.70000000007</v>
          </cell>
          <cell r="AK20">
            <v>962458.70000000007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workbookViewId="0">
      <selection activeCell="C28" sqref="C28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195" t="s">
        <v>346</v>
      </c>
      <c r="B1" s="1195"/>
      <c r="C1" s="1195"/>
    </row>
    <row r="2" spans="1:3">
      <c r="A2" s="1196" t="s">
        <v>1682</v>
      </c>
      <c r="B2" s="1196"/>
      <c r="C2" s="1196"/>
    </row>
    <row r="3" spans="1:3">
      <c r="A3" s="1197" t="s">
        <v>1616</v>
      </c>
      <c r="B3" s="1197"/>
      <c r="C3" s="1197"/>
    </row>
    <row r="4" spans="1:3">
      <c r="A4" s="1197" t="s">
        <v>1617</v>
      </c>
      <c r="B4" s="1197"/>
      <c r="C4" s="1197"/>
    </row>
    <row r="5" spans="1:3">
      <c r="A5" s="301"/>
      <c r="B5" s="301"/>
      <c r="C5" s="301"/>
    </row>
    <row r="6" spans="1:3">
      <c r="A6" s="301"/>
      <c r="B6" s="301"/>
      <c r="C6" s="301"/>
    </row>
    <row r="8" spans="1:3">
      <c r="A8" s="58" t="s">
        <v>58</v>
      </c>
      <c r="B8" s="58" t="s">
        <v>985</v>
      </c>
      <c r="C8" s="58" t="s">
        <v>685</v>
      </c>
    </row>
    <row r="10" spans="1:3">
      <c r="A10" s="53" t="s">
        <v>170</v>
      </c>
      <c r="B10" s="304" t="s">
        <v>813</v>
      </c>
      <c r="C10" s="171" t="s">
        <v>1405</v>
      </c>
    </row>
    <row r="11" spans="1:3">
      <c r="A11" s="53" t="s">
        <v>814</v>
      </c>
      <c r="B11" s="304" t="s">
        <v>271</v>
      </c>
      <c r="C11" s="171" t="s">
        <v>1406</v>
      </c>
    </row>
    <row r="12" spans="1:3">
      <c r="A12" s="53" t="s">
        <v>815</v>
      </c>
      <c r="B12" s="304" t="s">
        <v>816</v>
      </c>
      <c r="C12" s="171" t="s">
        <v>1407</v>
      </c>
    </row>
    <row r="13" spans="1:3">
      <c r="A13" s="53" t="s">
        <v>817</v>
      </c>
      <c r="B13" s="304" t="s">
        <v>818</v>
      </c>
      <c r="C13" s="171" t="s">
        <v>1408</v>
      </c>
    </row>
    <row r="14" spans="1:3">
      <c r="A14" s="53" t="s">
        <v>828</v>
      </c>
      <c r="B14" s="304" t="s">
        <v>463</v>
      </c>
      <c r="C14" s="171" t="s">
        <v>1409</v>
      </c>
    </row>
    <row r="15" spans="1:3">
      <c r="A15" s="53" t="s">
        <v>819</v>
      </c>
      <c r="B15" s="304" t="s">
        <v>820</v>
      </c>
      <c r="C15" s="171" t="s">
        <v>1410</v>
      </c>
    </row>
    <row r="16" spans="1:3">
      <c r="A16" s="53" t="s">
        <v>821</v>
      </c>
      <c r="B16" s="304" t="s">
        <v>822</v>
      </c>
      <c r="C16" s="171" t="s">
        <v>1411</v>
      </c>
    </row>
    <row r="17" spans="1:3">
      <c r="A17" s="53" t="s">
        <v>375</v>
      </c>
      <c r="B17" s="304" t="s">
        <v>126</v>
      </c>
      <c r="C17" s="171" t="s">
        <v>1412</v>
      </c>
    </row>
    <row r="18" spans="1:3">
      <c r="A18" s="53" t="s">
        <v>823</v>
      </c>
      <c r="B18" s="304" t="s">
        <v>824</v>
      </c>
      <c r="C18" s="171" t="s">
        <v>1413</v>
      </c>
    </row>
    <row r="19" spans="1:3">
      <c r="A19" s="53" t="s">
        <v>825</v>
      </c>
      <c r="B19" s="304" t="s">
        <v>826</v>
      </c>
      <c r="C19" s="171" t="s">
        <v>1414</v>
      </c>
    </row>
    <row r="20" spans="1:3">
      <c r="A20" s="53" t="s">
        <v>827</v>
      </c>
      <c r="B20" s="304" t="s">
        <v>25</v>
      </c>
      <c r="C20" s="171" t="s">
        <v>1415</v>
      </c>
    </row>
  </sheetData>
  <mergeCells count="4">
    <mergeCell ref="A1:C1"/>
    <mergeCell ref="A2:C2"/>
    <mergeCell ref="A3:C3"/>
    <mergeCell ref="A4:C4"/>
  </mergeCells>
  <phoneticPr fontId="22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65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4.5546875" style="80" customWidth="1"/>
    <col min="2" max="2" width="9.33203125" style="80" customWidth="1"/>
    <col min="3" max="3" width="33.88671875" style="80" customWidth="1"/>
    <col min="4" max="4" width="14.6640625" style="80" customWidth="1"/>
    <col min="5" max="5" width="10.33203125" style="80" customWidth="1"/>
    <col min="6" max="6" width="14.21875" style="80" customWidth="1"/>
    <col min="7" max="7" width="12.6640625" style="854" bestFit="1" customWidth="1"/>
    <col min="8" max="8" width="13.5546875" style="854" customWidth="1"/>
    <col min="9" max="9" width="14" style="80" customWidth="1"/>
    <col min="10" max="10" width="3.21875" style="80" customWidth="1"/>
    <col min="11" max="11" width="15.77734375" style="80" customWidth="1"/>
    <col min="12" max="12" width="12.6640625" style="854" bestFit="1" customWidth="1"/>
    <col min="13" max="13" width="9.77734375" style="854" bestFit="1" customWidth="1"/>
    <col min="14" max="14" width="14.77734375" style="80" bestFit="1" customWidth="1"/>
    <col min="15" max="15" width="5" style="80" customWidth="1"/>
    <col min="16" max="17" width="12" style="80" bestFit="1" customWidth="1"/>
    <col min="18" max="16384" width="8.88671875" style="80"/>
  </cols>
  <sheetData>
    <row r="1" spans="1:17">
      <c r="A1" s="1200" t="str">
        <f>'Table of Contents'!A1:C1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</row>
    <row r="2" spans="1:17">
      <c r="A2" s="1200" t="str">
        <f>'Table of Contents'!A2:C2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</row>
    <row r="3" spans="1:17">
      <c r="A3" s="1200" t="s">
        <v>1117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</row>
    <row r="4" spans="1:17" ht="15.75">
      <c r="A4" s="1201" t="str">
        <f>'B.1 B'!A4</f>
        <v>as of December 31, 2018</v>
      </c>
      <c r="B4" s="1201"/>
      <c r="C4" s="1201"/>
      <c r="D4" s="1201"/>
      <c r="E4" s="1201"/>
      <c r="F4" s="1201"/>
      <c r="G4" s="1201"/>
      <c r="H4" s="1201"/>
      <c r="I4" s="1201"/>
      <c r="J4" s="1201"/>
      <c r="K4" s="1201"/>
      <c r="L4" s="1201"/>
      <c r="M4" s="1201"/>
      <c r="N4" s="1201"/>
    </row>
    <row r="5" spans="1:17" ht="15.75">
      <c r="A5" s="150"/>
      <c r="B5" s="150"/>
      <c r="C5" s="150"/>
      <c r="D5" s="732"/>
      <c r="E5" s="150"/>
      <c r="F5" s="150"/>
      <c r="G5" s="857"/>
      <c r="H5" s="857"/>
      <c r="I5" s="81"/>
      <c r="J5" s="81"/>
      <c r="K5" s="150"/>
      <c r="P5" s="902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2"/>
      <c r="F6" s="81"/>
      <c r="G6" s="857"/>
      <c r="K6" s="81"/>
      <c r="N6" s="1054" t="s">
        <v>1419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57"/>
      <c r="I7" s="88"/>
      <c r="J7" s="88"/>
      <c r="K7" s="81"/>
      <c r="N7" s="1027" t="s">
        <v>1010</v>
      </c>
    </row>
    <row r="8" spans="1:17">
      <c r="A8" s="1027" t="str">
        <f>'B.1 B'!A8</f>
        <v>Workpaper Reference No(s).</v>
      </c>
      <c r="B8" s="74"/>
      <c r="C8" s="74"/>
      <c r="D8" s="74"/>
      <c r="E8" s="74"/>
      <c r="F8" s="74"/>
      <c r="G8" s="76"/>
      <c r="H8" s="1026"/>
      <c r="I8" s="1027"/>
      <c r="J8" s="1027"/>
      <c r="K8" s="74"/>
      <c r="L8" s="1026"/>
      <c r="M8" s="1026"/>
      <c r="N8" s="1027" t="str">
        <f>'B.2 B'!N8</f>
        <v>Witness: Waller</v>
      </c>
    </row>
    <row r="9" spans="1:17">
      <c r="A9" s="1029"/>
      <c r="B9" s="827"/>
      <c r="C9" s="1050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7">
      <c r="A10" s="1033"/>
      <c r="B10" s="74"/>
      <c r="C10" s="1051"/>
      <c r="D10" s="1035"/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7" ht="15.75">
      <c r="A11" s="1033" t="s">
        <v>93</v>
      </c>
      <c r="B11" s="75" t="s">
        <v>268</v>
      </c>
      <c r="C11" s="486" t="s">
        <v>216</v>
      </c>
      <c r="D11" s="1055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7" ht="15.75">
      <c r="A12" s="1037" t="s">
        <v>99</v>
      </c>
      <c r="B12" s="185" t="s">
        <v>99</v>
      </c>
      <c r="C12" s="1038" t="s">
        <v>296</v>
      </c>
      <c r="D12" s="1056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56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7" ht="15.75">
      <c r="B14" s="942" t="s">
        <v>6</v>
      </c>
      <c r="J14" s="807"/>
    </row>
    <row r="15" spans="1:17">
      <c r="A15" s="855">
        <v>1</v>
      </c>
      <c r="B15" s="81"/>
      <c r="C15" s="620" t="s">
        <v>297</v>
      </c>
    </row>
    <row r="16" spans="1:17">
      <c r="A16" s="855">
        <f>A15+1</f>
        <v>2</v>
      </c>
      <c r="B16" s="514">
        <v>30100</v>
      </c>
      <c r="C16" s="88" t="s">
        <v>291</v>
      </c>
      <c r="D16" s="346">
        <f>[4]Reserve!$Q112</f>
        <v>8329.7199999999993</v>
      </c>
      <c r="E16" s="346">
        <v>0</v>
      </c>
      <c r="F16" s="346">
        <f>D16-E16</f>
        <v>8329.7199999999993</v>
      </c>
      <c r="G16" s="466">
        <v>1</v>
      </c>
      <c r="H16" s="466">
        <f>$G$16</f>
        <v>1</v>
      </c>
      <c r="I16" s="346">
        <f>F16*G16*H16</f>
        <v>8329.7199999999993</v>
      </c>
      <c r="J16" s="916"/>
      <c r="K16" s="346">
        <f>[4]Reserve!$C112</f>
        <v>8329.7199999999993</v>
      </c>
      <c r="L16" s="466">
        <f t="shared" ref="L16:M17" si="0">$G$16</f>
        <v>1</v>
      </c>
      <c r="M16" s="466">
        <f t="shared" si="0"/>
        <v>1</v>
      </c>
      <c r="N16" s="346">
        <f>K16*L16*M16</f>
        <v>8329.7199999999993</v>
      </c>
    </row>
    <row r="17" spans="1:14">
      <c r="A17" s="855">
        <f t="shared" ref="A17:A83" si="1">A16+1</f>
        <v>3</v>
      </c>
      <c r="B17" s="514">
        <v>30200</v>
      </c>
      <c r="C17" s="88" t="s">
        <v>153</v>
      </c>
      <c r="D17" s="346">
        <f>[4]Reserve!$Q113</f>
        <v>119852.69</v>
      </c>
      <c r="E17" s="430">
        <v>0</v>
      </c>
      <c r="F17" s="430">
        <f>D17-E17</f>
        <v>119852.69</v>
      </c>
      <c r="G17" s="466">
        <f>$G$16</f>
        <v>1</v>
      </c>
      <c r="H17" s="466">
        <f>$G$16</f>
        <v>1</v>
      </c>
      <c r="I17" s="430">
        <f>F17*G17*H17</f>
        <v>119852.69</v>
      </c>
      <c r="K17" s="346">
        <f>[4]Reserve!$C113</f>
        <v>119852.68999999996</v>
      </c>
      <c r="L17" s="466">
        <f t="shared" si="0"/>
        <v>1</v>
      </c>
      <c r="M17" s="466">
        <f t="shared" si="0"/>
        <v>1</v>
      </c>
      <c r="N17" s="430">
        <f>K17*L17*M17</f>
        <v>119852.68999999996</v>
      </c>
    </row>
    <row r="18" spans="1:14">
      <c r="A18" s="855">
        <f t="shared" si="1"/>
        <v>4</v>
      </c>
      <c r="B18" s="514"/>
      <c r="C18" s="88"/>
      <c r="D18" s="1057"/>
      <c r="E18" s="1057"/>
      <c r="F18" s="1057"/>
      <c r="G18" s="466"/>
      <c r="H18" s="466"/>
      <c r="I18" s="1057"/>
      <c r="K18" s="1057"/>
      <c r="N18" s="1057"/>
    </row>
    <row r="19" spans="1:14">
      <c r="A19" s="855">
        <f t="shared" si="1"/>
        <v>5</v>
      </c>
      <c r="B19" s="707"/>
      <c r="C19" s="88" t="s">
        <v>1386</v>
      </c>
      <c r="D19" s="346">
        <f>SUM(D16:D18)</f>
        <v>128182.41</v>
      </c>
      <c r="E19" s="346">
        <f>SUM(E16:E18)</f>
        <v>0</v>
      </c>
      <c r="F19" s="346">
        <f>SUM(F16:F18)</f>
        <v>128182.41</v>
      </c>
      <c r="G19" s="466"/>
      <c r="H19" s="466"/>
      <c r="I19" s="346">
        <f>SUM(I16:I18)</f>
        <v>128182.41</v>
      </c>
      <c r="K19" s="346">
        <f>SUM(K16:K18)</f>
        <v>128182.40999999996</v>
      </c>
      <c r="N19" s="346">
        <f>SUM(N16:N17)</f>
        <v>128182.40999999996</v>
      </c>
    </row>
    <row r="20" spans="1:14">
      <c r="A20" s="855">
        <f t="shared" si="1"/>
        <v>6</v>
      </c>
      <c r="B20" s="707"/>
      <c r="C20" s="81"/>
      <c r="D20" s="430"/>
      <c r="E20" s="430"/>
      <c r="F20" s="430"/>
      <c r="G20" s="466"/>
      <c r="H20" s="466"/>
      <c r="I20" s="430"/>
      <c r="K20" s="430"/>
      <c r="N20" s="430"/>
    </row>
    <row r="21" spans="1:14">
      <c r="A21" s="855">
        <f t="shared" si="1"/>
        <v>7</v>
      </c>
      <c r="B21" s="707"/>
      <c r="C21" s="620" t="s">
        <v>154</v>
      </c>
      <c r="D21" s="430"/>
      <c r="E21" s="430"/>
      <c r="F21" s="430"/>
      <c r="G21" s="466"/>
      <c r="H21" s="466"/>
      <c r="I21" s="430"/>
      <c r="K21" s="430"/>
      <c r="N21" s="430"/>
    </row>
    <row r="22" spans="1:14">
      <c r="A22" s="855">
        <f t="shared" si="1"/>
        <v>8</v>
      </c>
      <c r="B22" s="514">
        <v>32540</v>
      </c>
      <c r="C22" s="88" t="s">
        <v>161</v>
      </c>
      <c r="D22" s="346">
        <f>[4]Reserve!$Q114</f>
        <v>0</v>
      </c>
      <c r="E22" s="346">
        <v>0</v>
      </c>
      <c r="F22" s="346">
        <f t="shared" ref="F22:F24" si="2">D22-E22</f>
        <v>0</v>
      </c>
      <c r="G22" s="466">
        <f t="shared" ref="G22:H24" si="3">$G$16</f>
        <v>1</v>
      </c>
      <c r="H22" s="466">
        <f t="shared" si="3"/>
        <v>1</v>
      </c>
      <c r="I22" s="346">
        <f t="shared" ref="I22:I24" si="4">F22*G22*H22</f>
        <v>0</v>
      </c>
      <c r="K22" s="346">
        <f>[4]Reserve!$C114</f>
        <v>0</v>
      </c>
      <c r="L22" s="466">
        <f t="shared" ref="L22:M24" si="5">$G$16</f>
        <v>1</v>
      </c>
      <c r="M22" s="466">
        <f t="shared" si="5"/>
        <v>1</v>
      </c>
      <c r="N22" s="346">
        <f t="shared" ref="N22:N24" si="6">K22*L22*M22</f>
        <v>0</v>
      </c>
    </row>
    <row r="23" spans="1:14">
      <c r="A23" s="855">
        <f t="shared" si="1"/>
        <v>9</v>
      </c>
      <c r="B23" s="514">
        <v>33202</v>
      </c>
      <c r="C23" s="88" t="s">
        <v>596</v>
      </c>
      <c r="D23" s="346">
        <f>[4]Reserve!$Q115</f>
        <v>0</v>
      </c>
      <c r="E23" s="430">
        <v>0</v>
      </c>
      <c r="F23" s="430">
        <f t="shared" si="2"/>
        <v>0</v>
      </c>
      <c r="G23" s="466">
        <f t="shared" si="3"/>
        <v>1</v>
      </c>
      <c r="H23" s="466">
        <f t="shared" si="3"/>
        <v>1</v>
      </c>
      <c r="I23" s="430">
        <f t="shared" si="4"/>
        <v>0</v>
      </c>
      <c r="K23" s="346">
        <f>[4]Reserve!$C115</f>
        <v>0</v>
      </c>
      <c r="L23" s="466">
        <f t="shared" si="5"/>
        <v>1</v>
      </c>
      <c r="M23" s="466">
        <f t="shared" si="5"/>
        <v>1</v>
      </c>
      <c r="N23" s="430">
        <f t="shared" si="6"/>
        <v>0</v>
      </c>
    </row>
    <row r="24" spans="1:14">
      <c r="A24" s="855">
        <f t="shared" si="1"/>
        <v>10</v>
      </c>
      <c r="B24" s="514">
        <v>33400</v>
      </c>
      <c r="C24" s="88" t="s">
        <v>1119</v>
      </c>
      <c r="D24" s="346">
        <f>[4]Reserve!$Q116</f>
        <v>0</v>
      </c>
      <c r="E24" s="430">
        <v>0</v>
      </c>
      <c r="F24" s="430">
        <f t="shared" si="2"/>
        <v>0</v>
      </c>
      <c r="G24" s="466">
        <f t="shared" si="3"/>
        <v>1</v>
      </c>
      <c r="H24" s="466">
        <f t="shared" si="3"/>
        <v>1</v>
      </c>
      <c r="I24" s="430">
        <f t="shared" si="4"/>
        <v>0</v>
      </c>
      <c r="K24" s="346">
        <f>[4]Reserve!$C116</f>
        <v>0</v>
      </c>
      <c r="L24" s="466">
        <f t="shared" si="5"/>
        <v>1</v>
      </c>
      <c r="M24" s="466">
        <f t="shared" si="5"/>
        <v>1</v>
      </c>
      <c r="N24" s="430">
        <f t="shared" si="6"/>
        <v>0</v>
      </c>
    </row>
    <row r="25" spans="1:14">
      <c r="A25" s="855">
        <f t="shared" si="1"/>
        <v>11</v>
      </c>
      <c r="B25" s="514"/>
      <c r="C25" s="81"/>
      <c r="D25" s="1057"/>
      <c r="E25" s="430"/>
      <c r="F25" s="430"/>
      <c r="G25" s="466"/>
      <c r="H25" s="466"/>
      <c r="I25" s="430"/>
      <c r="K25" s="1057"/>
      <c r="N25" s="430"/>
    </row>
    <row r="26" spans="1:14">
      <c r="A26" s="855">
        <f t="shared" si="1"/>
        <v>12</v>
      </c>
      <c r="B26" s="514"/>
      <c r="C26" s="81" t="s">
        <v>1385</v>
      </c>
      <c r="D26" s="346">
        <f>SUM(D22:D25)</f>
        <v>0</v>
      </c>
      <c r="E26" s="346">
        <f>SUM(E22:E25)</f>
        <v>0</v>
      </c>
      <c r="F26" s="346">
        <f>SUM(F22:F25)</f>
        <v>0</v>
      </c>
      <c r="G26" s="466"/>
      <c r="H26" s="466"/>
      <c r="I26" s="346">
        <f>SUM(I22:I25)</f>
        <v>0</v>
      </c>
      <c r="K26" s="346">
        <f>SUM(K22:K25)</f>
        <v>0</v>
      </c>
      <c r="N26" s="346">
        <f>SUM(N22:N25)</f>
        <v>0</v>
      </c>
    </row>
    <row r="27" spans="1:14">
      <c r="A27" s="855">
        <f t="shared" si="1"/>
        <v>13</v>
      </c>
      <c r="B27" s="514"/>
      <c r="C27" s="88"/>
      <c r="D27" s="430"/>
      <c r="E27" s="430"/>
      <c r="F27" s="430"/>
      <c r="G27" s="466"/>
      <c r="H27" s="466"/>
      <c r="I27" s="430"/>
      <c r="K27" s="430"/>
      <c r="N27" s="430"/>
    </row>
    <row r="28" spans="1:14">
      <c r="A28" s="855">
        <f t="shared" si="1"/>
        <v>14</v>
      </c>
      <c r="B28" s="514"/>
      <c r="C28" s="620" t="s">
        <v>279</v>
      </c>
      <c r="D28" s="430"/>
      <c r="E28" s="430"/>
      <c r="F28" s="430"/>
      <c r="G28" s="466"/>
      <c r="H28" s="466"/>
      <c r="I28" s="430"/>
      <c r="K28" s="430"/>
      <c r="N28" s="430"/>
    </row>
    <row r="29" spans="1:14">
      <c r="A29" s="855">
        <f t="shared" si="1"/>
        <v>15</v>
      </c>
      <c r="B29" s="514">
        <v>35010</v>
      </c>
      <c r="C29" s="88" t="s">
        <v>292</v>
      </c>
      <c r="D29" s="346">
        <f>[4]Reserve!$Q117</f>
        <v>0</v>
      </c>
      <c r="E29" s="346">
        <v>0</v>
      </c>
      <c r="F29" s="346">
        <f t="shared" ref="F29:F45" si="7">D29-E29</f>
        <v>0</v>
      </c>
      <c r="G29" s="466">
        <f t="shared" ref="G29:H45" si="8">$G$16</f>
        <v>1</v>
      </c>
      <c r="H29" s="466">
        <f t="shared" si="8"/>
        <v>1</v>
      </c>
      <c r="I29" s="346">
        <f t="shared" ref="I29:I45" si="9">F29*G29*H29</f>
        <v>0</v>
      </c>
      <c r="K29" s="346">
        <f>[4]Reserve!$C117</f>
        <v>0</v>
      </c>
      <c r="L29" s="466">
        <f t="shared" ref="L29:M45" si="10">$G$16</f>
        <v>1</v>
      </c>
      <c r="M29" s="466">
        <f t="shared" si="10"/>
        <v>1</v>
      </c>
      <c r="N29" s="346">
        <f t="shared" ref="N29:N45" si="11">K29*L29*M29</f>
        <v>0</v>
      </c>
    </row>
    <row r="30" spans="1:14">
      <c r="A30" s="855">
        <f t="shared" si="1"/>
        <v>16</v>
      </c>
      <c r="B30" s="514">
        <v>35020</v>
      </c>
      <c r="C30" s="88" t="s">
        <v>792</v>
      </c>
      <c r="D30" s="346">
        <f>[4]Reserve!$Q118</f>
        <v>4439.4119749999973</v>
      </c>
      <c r="E30" s="430">
        <v>0</v>
      </c>
      <c r="F30" s="430">
        <f t="shared" si="7"/>
        <v>4439.4119749999973</v>
      </c>
      <c r="G30" s="466">
        <f t="shared" si="8"/>
        <v>1</v>
      </c>
      <c r="H30" s="466">
        <f t="shared" si="8"/>
        <v>1</v>
      </c>
      <c r="I30" s="430">
        <f t="shared" si="9"/>
        <v>4439.4119749999973</v>
      </c>
      <c r="K30" s="346">
        <f>[4]Reserve!$C118</f>
        <v>4433.552454807691</v>
      </c>
      <c r="L30" s="466">
        <f t="shared" si="10"/>
        <v>1</v>
      </c>
      <c r="M30" s="466">
        <f t="shared" si="10"/>
        <v>1</v>
      </c>
      <c r="N30" s="430">
        <f t="shared" si="11"/>
        <v>4433.552454807691</v>
      </c>
    </row>
    <row r="31" spans="1:14">
      <c r="A31" s="855">
        <f t="shared" si="1"/>
        <v>17</v>
      </c>
      <c r="B31" s="514">
        <v>35100</v>
      </c>
      <c r="C31" s="88" t="s">
        <v>969</v>
      </c>
      <c r="D31" s="346">
        <f>[4]Reserve!$Q119</f>
        <v>6065.0901864999996</v>
      </c>
      <c r="E31" s="430">
        <v>0</v>
      </c>
      <c r="F31" s="430">
        <f t="shared" si="7"/>
        <v>6065.0901864999996</v>
      </c>
      <c r="G31" s="466">
        <f t="shared" si="8"/>
        <v>1</v>
      </c>
      <c r="H31" s="466">
        <f t="shared" si="8"/>
        <v>1</v>
      </c>
      <c r="I31" s="430">
        <f t="shared" si="9"/>
        <v>6065.0901864999996</v>
      </c>
      <c r="K31" s="346">
        <f>[4]Reserve!$C119</f>
        <v>5915.4954348269239</v>
      </c>
      <c r="L31" s="466">
        <f t="shared" si="10"/>
        <v>1</v>
      </c>
      <c r="M31" s="466">
        <f t="shared" si="10"/>
        <v>1</v>
      </c>
      <c r="N31" s="430">
        <f t="shared" si="11"/>
        <v>5915.4954348269239</v>
      </c>
    </row>
    <row r="32" spans="1:14">
      <c r="A32" s="855">
        <f t="shared" si="1"/>
        <v>18</v>
      </c>
      <c r="B32" s="514">
        <v>35102</v>
      </c>
      <c r="C32" s="88" t="s">
        <v>280</v>
      </c>
      <c r="D32" s="346">
        <f>[4]Reserve!$Q120</f>
        <v>112303.80618999994</v>
      </c>
      <c r="E32" s="430">
        <v>0</v>
      </c>
      <c r="F32" s="430">
        <f t="shared" si="7"/>
        <v>112303.80618999994</v>
      </c>
      <c r="G32" s="466">
        <f t="shared" si="8"/>
        <v>1</v>
      </c>
      <c r="H32" s="466">
        <f t="shared" si="8"/>
        <v>1</v>
      </c>
      <c r="I32" s="430">
        <f t="shared" si="9"/>
        <v>112303.80618999994</v>
      </c>
      <c r="K32" s="346">
        <f>[4]Reserve!$C120</f>
        <v>111338.25089730766</v>
      </c>
      <c r="L32" s="466">
        <f t="shared" si="10"/>
        <v>1</v>
      </c>
      <c r="M32" s="466">
        <f t="shared" si="10"/>
        <v>1</v>
      </c>
      <c r="N32" s="430">
        <f t="shared" si="11"/>
        <v>111338.25089730766</v>
      </c>
    </row>
    <row r="33" spans="1:14">
      <c r="A33" s="855">
        <f t="shared" si="1"/>
        <v>19</v>
      </c>
      <c r="B33" s="514">
        <v>35103</v>
      </c>
      <c r="C33" s="88" t="s">
        <v>585</v>
      </c>
      <c r="D33" s="346">
        <f>[4]Reserve!$Q121</f>
        <v>20325.826548000008</v>
      </c>
      <c r="E33" s="430">
        <v>0</v>
      </c>
      <c r="F33" s="430">
        <f t="shared" si="7"/>
        <v>20325.826548000008</v>
      </c>
      <c r="G33" s="466">
        <f t="shared" si="8"/>
        <v>1</v>
      </c>
      <c r="H33" s="466">
        <f t="shared" si="8"/>
        <v>1</v>
      </c>
      <c r="I33" s="430">
        <f t="shared" si="9"/>
        <v>20325.826548000008</v>
      </c>
      <c r="K33" s="346">
        <f>[4]Reserve!$C121</f>
        <v>20219.389070615387</v>
      </c>
      <c r="L33" s="466">
        <f t="shared" si="10"/>
        <v>1</v>
      </c>
      <c r="M33" s="466">
        <f t="shared" si="10"/>
        <v>1</v>
      </c>
      <c r="N33" s="430">
        <f t="shared" si="11"/>
        <v>20219.389070615387</v>
      </c>
    </row>
    <row r="34" spans="1:14">
      <c r="A34" s="855">
        <f t="shared" si="1"/>
        <v>20</v>
      </c>
      <c r="B34" s="514">
        <v>35104</v>
      </c>
      <c r="C34" s="88" t="s">
        <v>586</v>
      </c>
      <c r="D34" s="346">
        <f>[4]Reserve!$Q122</f>
        <v>98810.716444999998</v>
      </c>
      <c r="E34" s="430">
        <v>0</v>
      </c>
      <c r="F34" s="430">
        <f t="shared" si="7"/>
        <v>98810.716444999998</v>
      </c>
      <c r="G34" s="466">
        <f t="shared" si="8"/>
        <v>1</v>
      </c>
      <c r="H34" s="466">
        <f t="shared" si="8"/>
        <v>1</v>
      </c>
      <c r="I34" s="430">
        <f t="shared" si="9"/>
        <v>98810.716444999998</v>
      </c>
      <c r="K34" s="346">
        <f>[4]Reserve!$C122</f>
        <v>97917.349812115383</v>
      </c>
      <c r="L34" s="466">
        <f t="shared" si="10"/>
        <v>1</v>
      </c>
      <c r="M34" s="466">
        <f t="shared" si="10"/>
        <v>1</v>
      </c>
      <c r="N34" s="430">
        <f t="shared" si="11"/>
        <v>97917.349812115383</v>
      </c>
    </row>
    <row r="35" spans="1:14">
      <c r="A35" s="855">
        <f t="shared" si="1"/>
        <v>21</v>
      </c>
      <c r="B35" s="514">
        <v>35200</v>
      </c>
      <c r="C35" s="88" t="s">
        <v>441</v>
      </c>
      <c r="D35" s="346">
        <f>[4]Reserve!$Q123</f>
        <v>1069976.2437614489</v>
      </c>
      <c r="E35" s="430">
        <v>0</v>
      </c>
      <c r="F35" s="430">
        <f t="shared" si="7"/>
        <v>1069976.2437614489</v>
      </c>
      <c r="G35" s="466">
        <f t="shared" si="8"/>
        <v>1</v>
      </c>
      <c r="H35" s="466">
        <f t="shared" si="8"/>
        <v>1</v>
      </c>
      <c r="I35" s="430">
        <f t="shared" si="9"/>
        <v>1069976.2437614489</v>
      </c>
      <c r="K35" s="346">
        <f>[4]Reserve!$C123</f>
        <v>989384.30353291507</v>
      </c>
      <c r="L35" s="466">
        <f t="shared" si="10"/>
        <v>1</v>
      </c>
      <c r="M35" s="466">
        <f t="shared" si="10"/>
        <v>1</v>
      </c>
      <c r="N35" s="430">
        <f t="shared" si="11"/>
        <v>989384.30353291507</v>
      </c>
    </row>
    <row r="36" spans="1:14">
      <c r="A36" s="855">
        <f t="shared" si="1"/>
        <v>22</v>
      </c>
      <c r="B36" s="514">
        <v>35201</v>
      </c>
      <c r="C36" s="88" t="s">
        <v>587</v>
      </c>
      <c r="D36" s="346">
        <f>[4]Reserve!$Q124</f>
        <v>1400173.0689769997</v>
      </c>
      <c r="E36" s="430">
        <v>0</v>
      </c>
      <c r="F36" s="430">
        <f t="shared" si="7"/>
        <v>1400173.0689769997</v>
      </c>
      <c r="G36" s="466">
        <f t="shared" si="8"/>
        <v>1</v>
      </c>
      <c r="H36" s="466">
        <f t="shared" si="8"/>
        <v>1</v>
      </c>
      <c r="I36" s="430">
        <f t="shared" si="9"/>
        <v>1400173.0689769997</v>
      </c>
      <c r="K36" s="346">
        <f>[4]Reserve!$C124</f>
        <v>1387338.0716476538</v>
      </c>
      <c r="L36" s="466">
        <f t="shared" si="10"/>
        <v>1</v>
      </c>
      <c r="M36" s="466">
        <f t="shared" si="10"/>
        <v>1</v>
      </c>
      <c r="N36" s="430">
        <f t="shared" si="11"/>
        <v>1387338.0716476538</v>
      </c>
    </row>
    <row r="37" spans="1:14">
      <c r="A37" s="855">
        <f t="shared" si="1"/>
        <v>23</v>
      </c>
      <c r="B37" s="514">
        <v>35202</v>
      </c>
      <c r="C37" s="88" t="s">
        <v>588</v>
      </c>
      <c r="D37" s="346">
        <f>[4]Reserve!$Q125</f>
        <v>450595.1100000001</v>
      </c>
      <c r="E37" s="430">
        <v>0</v>
      </c>
      <c r="F37" s="430">
        <f t="shared" si="7"/>
        <v>450595.1100000001</v>
      </c>
      <c r="G37" s="466">
        <f t="shared" si="8"/>
        <v>1</v>
      </c>
      <c r="H37" s="466">
        <f t="shared" si="8"/>
        <v>1</v>
      </c>
      <c r="I37" s="430">
        <f t="shared" si="9"/>
        <v>450595.1100000001</v>
      </c>
      <c r="K37" s="346">
        <f>[4]Reserve!$C125</f>
        <v>450032.61692307709</v>
      </c>
      <c r="L37" s="466">
        <f t="shared" si="10"/>
        <v>1</v>
      </c>
      <c r="M37" s="466">
        <f t="shared" si="10"/>
        <v>1</v>
      </c>
      <c r="N37" s="430">
        <f t="shared" si="11"/>
        <v>450032.61692307709</v>
      </c>
    </row>
    <row r="38" spans="1:14">
      <c r="A38" s="855">
        <f t="shared" si="1"/>
        <v>24</v>
      </c>
      <c r="B38" s="514">
        <v>35203</v>
      </c>
      <c r="C38" s="88" t="s">
        <v>343</v>
      </c>
      <c r="D38" s="346">
        <f>[4]Reserve!$Q126</f>
        <v>739272.77664000029</v>
      </c>
      <c r="E38" s="430">
        <v>0</v>
      </c>
      <c r="F38" s="430">
        <f t="shared" si="7"/>
        <v>739272.77664000029</v>
      </c>
      <c r="G38" s="466">
        <f t="shared" si="8"/>
        <v>1</v>
      </c>
      <c r="H38" s="466">
        <f t="shared" si="8"/>
        <v>1</v>
      </c>
      <c r="I38" s="430">
        <f t="shared" si="9"/>
        <v>739272.77664000029</v>
      </c>
      <c r="K38" s="346">
        <f>[4]Reserve!$C126</f>
        <v>724019.27909538464</v>
      </c>
      <c r="L38" s="466">
        <f t="shared" si="10"/>
        <v>1</v>
      </c>
      <c r="M38" s="466">
        <f t="shared" si="10"/>
        <v>1</v>
      </c>
      <c r="N38" s="430">
        <f t="shared" si="11"/>
        <v>724019.27909538464</v>
      </c>
    </row>
    <row r="39" spans="1:14">
      <c r="A39" s="855">
        <f t="shared" si="1"/>
        <v>25</v>
      </c>
      <c r="B39" s="514">
        <v>35210</v>
      </c>
      <c r="C39" s="88" t="s">
        <v>589</v>
      </c>
      <c r="D39" s="346">
        <f>[4]Reserve!$Q127</f>
        <v>167628.76765750008</v>
      </c>
      <c r="E39" s="430">
        <v>0</v>
      </c>
      <c r="F39" s="430">
        <f t="shared" si="7"/>
        <v>167628.76765750008</v>
      </c>
      <c r="G39" s="466">
        <f t="shared" si="8"/>
        <v>1</v>
      </c>
      <c r="H39" s="466">
        <f t="shared" si="8"/>
        <v>1</v>
      </c>
      <c r="I39" s="430">
        <f t="shared" si="9"/>
        <v>167628.76765750008</v>
      </c>
      <c r="K39" s="346">
        <f>[4]Reserve!$C127</f>
        <v>167316.34206163467</v>
      </c>
      <c r="L39" s="466">
        <f t="shared" si="10"/>
        <v>1</v>
      </c>
      <c r="M39" s="466">
        <f t="shared" si="10"/>
        <v>1</v>
      </c>
      <c r="N39" s="430">
        <f t="shared" si="11"/>
        <v>167316.34206163467</v>
      </c>
    </row>
    <row r="40" spans="1:14">
      <c r="A40" s="855">
        <f t="shared" si="1"/>
        <v>26</v>
      </c>
      <c r="B40" s="514">
        <v>35211</v>
      </c>
      <c r="C40" s="88" t="s">
        <v>590</v>
      </c>
      <c r="D40" s="346">
        <f>[4]Reserve!$Q128</f>
        <v>43595.162788000016</v>
      </c>
      <c r="E40" s="430">
        <v>0</v>
      </c>
      <c r="F40" s="430">
        <f t="shared" si="7"/>
        <v>43595.162788000016</v>
      </c>
      <c r="G40" s="466">
        <f t="shared" si="8"/>
        <v>1</v>
      </c>
      <c r="H40" s="466">
        <f t="shared" si="8"/>
        <v>1</v>
      </c>
      <c r="I40" s="430">
        <f t="shared" si="9"/>
        <v>43595.162788000016</v>
      </c>
      <c r="K40" s="346">
        <f>[4]Reserve!$C128</f>
        <v>43354.8607506154</v>
      </c>
      <c r="L40" s="466">
        <f t="shared" si="10"/>
        <v>1</v>
      </c>
      <c r="M40" s="466">
        <f t="shared" si="10"/>
        <v>1</v>
      </c>
      <c r="N40" s="430">
        <f t="shared" si="11"/>
        <v>43354.8607506154</v>
      </c>
    </row>
    <row r="41" spans="1:14">
      <c r="A41" s="855">
        <f t="shared" si="1"/>
        <v>27</v>
      </c>
      <c r="B41" s="514">
        <v>35301</v>
      </c>
      <c r="C41" s="81" t="s">
        <v>162</v>
      </c>
      <c r="D41" s="346">
        <f>[4]Reserve!$Q129</f>
        <v>-89549.171001500014</v>
      </c>
      <c r="E41" s="430">
        <v>0</v>
      </c>
      <c r="F41" s="430">
        <f t="shared" si="7"/>
        <v>-89549.171001500014</v>
      </c>
      <c r="G41" s="466">
        <f t="shared" si="8"/>
        <v>1</v>
      </c>
      <c r="H41" s="466">
        <f t="shared" si="8"/>
        <v>1</v>
      </c>
      <c r="I41" s="430">
        <f t="shared" si="9"/>
        <v>-89549.171001500014</v>
      </c>
      <c r="K41" s="346">
        <f>[4]Reserve!$C129</f>
        <v>-90259.337577326922</v>
      </c>
      <c r="L41" s="466">
        <f t="shared" si="10"/>
        <v>1</v>
      </c>
      <c r="M41" s="466">
        <f t="shared" si="10"/>
        <v>1</v>
      </c>
      <c r="N41" s="430">
        <f t="shared" si="11"/>
        <v>-90259.337577326922</v>
      </c>
    </row>
    <row r="42" spans="1:14">
      <c r="A42" s="855">
        <f t="shared" si="1"/>
        <v>28</v>
      </c>
      <c r="B42" s="514">
        <v>35302</v>
      </c>
      <c r="C42" s="88" t="s">
        <v>596</v>
      </c>
      <c r="D42" s="346">
        <f>[4]Reserve!$Q130</f>
        <v>187800.431545</v>
      </c>
      <c r="E42" s="430">
        <v>0</v>
      </c>
      <c r="F42" s="430">
        <f t="shared" si="7"/>
        <v>187800.431545</v>
      </c>
      <c r="G42" s="466">
        <f t="shared" si="8"/>
        <v>1</v>
      </c>
      <c r="H42" s="466">
        <f t="shared" si="8"/>
        <v>1</v>
      </c>
      <c r="I42" s="430">
        <f t="shared" si="9"/>
        <v>187800.431545</v>
      </c>
      <c r="K42" s="346">
        <f>[4]Reserve!$C130</f>
        <v>186952.69041596155</v>
      </c>
      <c r="L42" s="466">
        <f t="shared" si="10"/>
        <v>1</v>
      </c>
      <c r="M42" s="466">
        <f t="shared" si="10"/>
        <v>1</v>
      </c>
      <c r="N42" s="430">
        <f t="shared" si="11"/>
        <v>186952.69041596155</v>
      </c>
    </row>
    <row r="43" spans="1:14">
      <c r="A43" s="855">
        <f t="shared" si="1"/>
        <v>29</v>
      </c>
      <c r="B43" s="514">
        <v>35400</v>
      </c>
      <c r="C43" s="88" t="s">
        <v>591</v>
      </c>
      <c r="D43" s="346">
        <f>[4]Reserve!$Q131</f>
        <v>485847.89444999979</v>
      </c>
      <c r="E43" s="430">
        <v>0</v>
      </c>
      <c r="F43" s="430">
        <f t="shared" si="7"/>
        <v>485847.89444999979</v>
      </c>
      <c r="G43" s="466">
        <f t="shared" si="8"/>
        <v>1</v>
      </c>
      <c r="H43" s="466">
        <f t="shared" si="8"/>
        <v>1</v>
      </c>
      <c r="I43" s="430">
        <f t="shared" si="9"/>
        <v>485847.89444999979</v>
      </c>
      <c r="K43" s="346">
        <f>[4]Reserve!$C131</f>
        <v>477536.87850576907</v>
      </c>
      <c r="L43" s="466">
        <f t="shared" si="10"/>
        <v>1</v>
      </c>
      <c r="M43" s="466">
        <f t="shared" si="10"/>
        <v>1</v>
      </c>
      <c r="N43" s="430">
        <f t="shared" si="11"/>
        <v>477536.87850576907</v>
      </c>
    </row>
    <row r="44" spans="1:14">
      <c r="A44" s="855">
        <f t="shared" si="1"/>
        <v>30</v>
      </c>
      <c r="B44" s="514">
        <v>35500</v>
      </c>
      <c r="C44" s="88" t="s">
        <v>992</v>
      </c>
      <c r="D44" s="346">
        <f>[4]Reserve!$Q132</f>
        <v>199915.11516900006</v>
      </c>
      <c r="E44" s="430">
        <v>0</v>
      </c>
      <c r="F44" s="430">
        <f t="shared" si="7"/>
        <v>199915.11516900006</v>
      </c>
      <c r="G44" s="466">
        <f t="shared" si="8"/>
        <v>1</v>
      </c>
      <c r="H44" s="466">
        <f t="shared" si="8"/>
        <v>1</v>
      </c>
      <c r="I44" s="430">
        <f t="shared" si="9"/>
        <v>199915.11516900006</v>
      </c>
      <c r="K44" s="346">
        <f>[4]Reserve!$C132</f>
        <v>199218.75139165384</v>
      </c>
      <c r="L44" s="466">
        <f t="shared" si="10"/>
        <v>1</v>
      </c>
      <c r="M44" s="466">
        <f t="shared" si="10"/>
        <v>1</v>
      </c>
      <c r="N44" s="430">
        <f t="shared" si="11"/>
        <v>199218.75139165384</v>
      </c>
    </row>
    <row r="45" spans="1:14">
      <c r="A45" s="855">
        <f t="shared" si="1"/>
        <v>31</v>
      </c>
      <c r="B45" s="514">
        <v>35600</v>
      </c>
      <c r="C45" s="88" t="s">
        <v>1040</v>
      </c>
      <c r="D45" s="346">
        <f>[4]Reserve!$Q133</f>
        <v>185567.17036250004</v>
      </c>
      <c r="E45" s="1043">
        <v>0</v>
      </c>
      <c r="F45" s="1043">
        <f t="shared" si="7"/>
        <v>185567.17036250004</v>
      </c>
      <c r="G45" s="466">
        <f t="shared" si="8"/>
        <v>1</v>
      </c>
      <c r="H45" s="466">
        <f t="shared" si="8"/>
        <v>1</v>
      </c>
      <c r="I45" s="1043">
        <f t="shared" si="9"/>
        <v>185567.17036250004</v>
      </c>
      <c r="K45" s="346">
        <f>[4]Reserve!$C133</f>
        <v>181316.87548221156</v>
      </c>
      <c r="L45" s="466">
        <f t="shared" si="10"/>
        <v>1</v>
      </c>
      <c r="M45" s="466">
        <f t="shared" si="10"/>
        <v>1</v>
      </c>
      <c r="N45" s="1043">
        <f t="shared" si="11"/>
        <v>181316.87548221156</v>
      </c>
    </row>
    <row r="46" spans="1:14">
      <c r="A46" s="855">
        <f t="shared" si="1"/>
        <v>32</v>
      </c>
      <c r="B46" s="514"/>
      <c r="C46" s="88"/>
      <c r="D46" s="1057"/>
      <c r="E46" s="430"/>
      <c r="F46" s="430"/>
      <c r="G46" s="466"/>
      <c r="H46" s="466"/>
      <c r="I46" s="430"/>
      <c r="K46" s="1057"/>
      <c r="N46" s="430"/>
    </row>
    <row r="47" spans="1:14">
      <c r="A47" s="855">
        <f t="shared" si="1"/>
        <v>33</v>
      </c>
      <c r="B47" s="514"/>
      <c r="C47" s="88" t="s">
        <v>1384</v>
      </c>
      <c r="D47" s="346">
        <f>SUM(D29:D46)</f>
        <v>5082767.4216934489</v>
      </c>
      <c r="E47" s="346">
        <f>SUM(E29:E46)</f>
        <v>0</v>
      </c>
      <c r="F47" s="346">
        <f>SUM(F29:F46)</f>
        <v>5082767.4216934489</v>
      </c>
      <c r="G47" s="466"/>
      <c r="H47" s="466"/>
      <c r="I47" s="346">
        <f>SUM(I29:I46)</f>
        <v>5082767.4216934489</v>
      </c>
      <c r="K47" s="346">
        <f>SUM(K29:K46)</f>
        <v>4956035.3698992236</v>
      </c>
      <c r="N47" s="346">
        <f>SUM(N29:N46)</f>
        <v>4956035.3698992236</v>
      </c>
    </row>
    <row r="48" spans="1:14">
      <c r="A48" s="855">
        <f t="shared" si="1"/>
        <v>34</v>
      </c>
      <c r="B48" s="514"/>
      <c r="C48" s="88"/>
      <c r="D48" s="430"/>
      <c r="E48" s="430"/>
      <c r="F48" s="430"/>
      <c r="G48" s="466"/>
      <c r="H48" s="466"/>
      <c r="I48" s="430"/>
      <c r="K48" s="430"/>
      <c r="N48" s="430"/>
    </row>
    <row r="49" spans="1:14">
      <c r="A49" s="855">
        <f t="shared" si="1"/>
        <v>35</v>
      </c>
      <c r="B49" s="514"/>
      <c r="C49" s="620" t="s">
        <v>993</v>
      </c>
      <c r="D49" s="430"/>
      <c r="E49" s="430"/>
      <c r="F49" s="430"/>
      <c r="G49" s="466"/>
      <c r="H49" s="466"/>
      <c r="I49" s="430"/>
      <c r="K49" s="430"/>
      <c r="N49" s="430"/>
    </row>
    <row r="50" spans="1:14">
      <c r="A50" s="855">
        <f t="shared" si="1"/>
        <v>36</v>
      </c>
      <c r="B50" s="514">
        <v>36510</v>
      </c>
      <c r="C50" s="88" t="s">
        <v>292</v>
      </c>
      <c r="D50" s="346">
        <f>[4]Reserve!$Q134</f>
        <v>0</v>
      </c>
      <c r="E50" s="346">
        <v>0</v>
      </c>
      <c r="F50" s="346">
        <f t="shared" ref="F50:F58" si="12">D50-E50</f>
        <v>0</v>
      </c>
      <c r="G50" s="466">
        <f t="shared" ref="G50:H58" si="13">$G$16</f>
        <v>1</v>
      </c>
      <c r="H50" s="466">
        <f t="shared" si="13"/>
        <v>1</v>
      </c>
      <c r="I50" s="346">
        <f t="shared" ref="I50:I58" si="14">F50*G50*H50</f>
        <v>0</v>
      </c>
      <c r="K50" s="346">
        <f>[4]Reserve!$C134</f>
        <v>0</v>
      </c>
      <c r="L50" s="466">
        <f t="shared" ref="L50:M58" si="15">$G$16</f>
        <v>1</v>
      </c>
      <c r="M50" s="466">
        <f t="shared" si="15"/>
        <v>1</v>
      </c>
      <c r="N50" s="346">
        <f t="shared" ref="N50:N58" si="16">K50*L50*M50</f>
        <v>0</v>
      </c>
    </row>
    <row r="51" spans="1:14">
      <c r="A51" s="855">
        <f t="shared" si="1"/>
        <v>37</v>
      </c>
      <c r="B51" s="514">
        <v>36520</v>
      </c>
      <c r="C51" s="88" t="s">
        <v>792</v>
      </c>
      <c r="D51" s="346">
        <f>[4]Reserve!$Q135</f>
        <v>420654.42380000005</v>
      </c>
      <c r="E51" s="430">
        <v>0</v>
      </c>
      <c r="F51" s="430">
        <f t="shared" si="12"/>
        <v>420654.42380000005</v>
      </c>
      <c r="G51" s="466">
        <f t="shared" si="13"/>
        <v>1</v>
      </c>
      <c r="H51" s="466">
        <f t="shared" si="13"/>
        <v>1</v>
      </c>
      <c r="I51" s="430">
        <f t="shared" si="14"/>
        <v>420654.42380000005</v>
      </c>
      <c r="K51" s="346">
        <f>[4]Reserve!$C135</f>
        <v>414883.74102307705</v>
      </c>
      <c r="L51" s="466">
        <f t="shared" si="15"/>
        <v>1</v>
      </c>
      <c r="M51" s="466">
        <f t="shared" si="15"/>
        <v>1</v>
      </c>
      <c r="N51" s="430">
        <f t="shared" si="16"/>
        <v>414883.74102307705</v>
      </c>
    </row>
    <row r="52" spans="1:14">
      <c r="A52" s="855">
        <f t="shared" si="1"/>
        <v>38</v>
      </c>
      <c r="B52" s="514">
        <v>36602</v>
      </c>
      <c r="C52" s="88" t="s">
        <v>856</v>
      </c>
      <c r="D52" s="346">
        <f>[4]Reserve!$Q136</f>
        <v>16315.545308000006</v>
      </c>
      <c r="E52" s="430">
        <v>0</v>
      </c>
      <c r="F52" s="430">
        <f t="shared" si="12"/>
        <v>16315.545308000006</v>
      </c>
      <c r="G52" s="466">
        <f t="shared" si="13"/>
        <v>1</v>
      </c>
      <c r="H52" s="466">
        <f t="shared" si="13"/>
        <v>1</v>
      </c>
      <c r="I52" s="430">
        <f t="shared" si="14"/>
        <v>16315.545308000006</v>
      </c>
      <c r="K52" s="346">
        <f>[4]Reserve!$C136</f>
        <v>15879.439506000002</v>
      </c>
      <c r="L52" s="466">
        <f t="shared" si="15"/>
        <v>1</v>
      </c>
      <c r="M52" s="466">
        <f t="shared" si="15"/>
        <v>1</v>
      </c>
      <c r="N52" s="430">
        <f t="shared" si="16"/>
        <v>15879.439506000002</v>
      </c>
    </row>
    <row r="53" spans="1:14">
      <c r="A53" s="855">
        <f t="shared" si="1"/>
        <v>39</v>
      </c>
      <c r="B53" s="514">
        <v>36603</v>
      </c>
      <c r="C53" s="88" t="s">
        <v>994</v>
      </c>
      <c r="D53" s="346">
        <f>[4]Reserve!$Q137</f>
        <v>52418.103981000029</v>
      </c>
      <c r="E53" s="430">
        <v>0</v>
      </c>
      <c r="F53" s="430">
        <f t="shared" si="12"/>
        <v>52418.103981000029</v>
      </c>
      <c r="G53" s="466">
        <f t="shared" si="13"/>
        <v>1</v>
      </c>
      <c r="H53" s="466">
        <f t="shared" si="13"/>
        <v>1</v>
      </c>
      <c r="I53" s="430">
        <f t="shared" si="14"/>
        <v>52418.103981000029</v>
      </c>
      <c r="K53" s="346">
        <f>[4]Reserve!$C137</f>
        <v>51876.742994884626</v>
      </c>
      <c r="L53" s="466">
        <f t="shared" si="15"/>
        <v>1</v>
      </c>
      <c r="M53" s="466">
        <f t="shared" si="15"/>
        <v>1</v>
      </c>
      <c r="N53" s="430">
        <f t="shared" si="16"/>
        <v>51876.742994884626</v>
      </c>
    </row>
    <row r="54" spans="1:14">
      <c r="A54" s="855">
        <f t="shared" si="1"/>
        <v>40</v>
      </c>
      <c r="B54" s="514">
        <v>36700</v>
      </c>
      <c r="C54" s="88" t="s">
        <v>844</v>
      </c>
      <c r="D54" s="346">
        <f>[4]Reserve!$Q138</f>
        <v>93889.982000000018</v>
      </c>
      <c r="E54" s="430">
        <v>0</v>
      </c>
      <c r="F54" s="430">
        <f t="shared" si="12"/>
        <v>93889.982000000018</v>
      </c>
      <c r="G54" s="466">
        <f t="shared" si="13"/>
        <v>1</v>
      </c>
      <c r="H54" s="466">
        <f t="shared" si="13"/>
        <v>1</v>
      </c>
      <c r="I54" s="430">
        <f t="shared" si="14"/>
        <v>93889.982000000018</v>
      </c>
      <c r="K54" s="346">
        <f>[4]Reserve!$C138</f>
        <v>90399.045923076948</v>
      </c>
      <c r="L54" s="466">
        <f t="shared" si="15"/>
        <v>1</v>
      </c>
      <c r="M54" s="466">
        <f t="shared" si="15"/>
        <v>1</v>
      </c>
      <c r="N54" s="430">
        <f t="shared" si="16"/>
        <v>90399.045923076948</v>
      </c>
    </row>
    <row r="55" spans="1:14">
      <c r="A55" s="855">
        <f t="shared" si="1"/>
        <v>41</v>
      </c>
      <c r="B55" s="514">
        <v>36701</v>
      </c>
      <c r="C55" s="88" t="s">
        <v>16</v>
      </c>
      <c r="D55" s="346">
        <f>[4]Reserve!$Q139</f>
        <v>17159072.627490439</v>
      </c>
      <c r="E55" s="430">
        <v>0</v>
      </c>
      <c r="F55" s="430">
        <f t="shared" si="12"/>
        <v>17159072.627490439</v>
      </c>
      <c r="G55" s="466">
        <f t="shared" si="13"/>
        <v>1</v>
      </c>
      <c r="H55" s="466">
        <f t="shared" si="13"/>
        <v>1</v>
      </c>
      <c r="I55" s="430">
        <f t="shared" si="14"/>
        <v>17159072.627490439</v>
      </c>
      <c r="K55" s="346">
        <f>[4]Reserve!$C139</f>
        <v>17657398.560715612</v>
      </c>
      <c r="L55" s="466">
        <f t="shared" si="15"/>
        <v>1</v>
      </c>
      <c r="M55" s="466">
        <f t="shared" si="15"/>
        <v>1</v>
      </c>
      <c r="N55" s="430">
        <f t="shared" si="16"/>
        <v>17657398.560715612</v>
      </c>
    </row>
    <row r="56" spans="1:14">
      <c r="A56" s="1153">
        <f t="shared" si="1"/>
        <v>42</v>
      </c>
      <c r="B56" s="514">
        <v>36703</v>
      </c>
      <c r="C56" s="88" t="s">
        <v>1666</v>
      </c>
      <c r="D56" s="346">
        <f>[4]Reserve!$Q140</f>
        <v>0</v>
      </c>
      <c r="E56" s="430">
        <v>0</v>
      </c>
      <c r="F56" s="430">
        <f t="shared" ref="F56" si="17">D56-E56</f>
        <v>0</v>
      </c>
      <c r="G56" s="466">
        <f t="shared" si="13"/>
        <v>1</v>
      </c>
      <c r="H56" s="466">
        <f t="shared" si="13"/>
        <v>1</v>
      </c>
      <c r="I56" s="430">
        <f t="shared" ref="I56" si="18">F56*G56*H56</f>
        <v>0</v>
      </c>
      <c r="K56" s="346">
        <f>[4]Reserve!$C140</f>
        <v>0</v>
      </c>
      <c r="L56" s="466">
        <f t="shared" si="15"/>
        <v>1</v>
      </c>
      <c r="M56" s="466">
        <f t="shared" si="15"/>
        <v>1</v>
      </c>
      <c r="N56" s="430">
        <f t="shared" ref="N56" si="19">K56*L56*M56</f>
        <v>0</v>
      </c>
    </row>
    <row r="57" spans="1:14">
      <c r="A57" s="1153">
        <f t="shared" si="1"/>
        <v>43</v>
      </c>
      <c r="B57" s="514">
        <v>36900</v>
      </c>
      <c r="C57" s="88" t="s">
        <v>995</v>
      </c>
      <c r="D57" s="346">
        <f>[4]Reserve!$Q141</f>
        <v>343923.53304800007</v>
      </c>
      <c r="E57" s="430">
        <v>0</v>
      </c>
      <c r="F57" s="430">
        <f t="shared" si="12"/>
        <v>343923.53304800007</v>
      </c>
      <c r="G57" s="466">
        <f t="shared" si="13"/>
        <v>1</v>
      </c>
      <c r="H57" s="466">
        <f t="shared" si="13"/>
        <v>1</v>
      </c>
      <c r="I57" s="430">
        <f t="shared" si="14"/>
        <v>343923.53304800007</v>
      </c>
      <c r="K57" s="346">
        <f>[4]Reserve!$C141</f>
        <v>336096.83812830778</v>
      </c>
      <c r="L57" s="466">
        <f t="shared" si="15"/>
        <v>1</v>
      </c>
      <c r="M57" s="466">
        <f t="shared" si="15"/>
        <v>1</v>
      </c>
      <c r="N57" s="430">
        <f t="shared" si="16"/>
        <v>336096.83812830778</v>
      </c>
    </row>
    <row r="58" spans="1:14">
      <c r="A58" s="1153">
        <f t="shared" si="1"/>
        <v>44</v>
      </c>
      <c r="B58" s="514">
        <v>36901</v>
      </c>
      <c r="C58" s="88" t="s">
        <v>995</v>
      </c>
      <c r="D58" s="346">
        <f>[4]Reserve!$Q142</f>
        <v>1744633.2282369987</v>
      </c>
      <c r="E58" s="1043">
        <v>0</v>
      </c>
      <c r="F58" s="1043">
        <f t="shared" si="12"/>
        <v>1744633.2282369987</v>
      </c>
      <c r="G58" s="466">
        <f t="shared" si="13"/>
        <v>1</v>
      </c>
      <c r="H58" s="466">
        <f t="shared" si="13"/>
        <v>1</v>
      </c>
      <c r="I58" s="1043">
        <f t="shared" si="14"/>
        <v>1744633.2282369987</v>
      </c>
      <c r="K58" s="346">
        <f>[4]Reserve!$C142</f>
        <v>1720348.9714484224</v>
      </c>
      <c r="L58" s="466">
        <f t="shared" si="15"/>
        <v>1</v>
      </c>
      <c r="M58" s="466">
        <f t="shared" si="15"/>
        <v>1</v>
      </c>
      <c r="N58" s="1043">
        <f t="shared" si="16"/>
        <v>1720348.9714484224</v>
      </c>
    </row>
    <row r="59" spans="1:14">
      <c r="A59" s="1153">
        <f t="shared" si="1"/>
        <v>45</v>
      </c>
      <c r="B59" s="514"/>
      <c r="C59" s="88"/>
      <c r="D59" s="1057"/>
      <c r="E59" s="430"/>
      <c r="F59" s="430"/>
      <c r="G59" s="466"/>
      <c r="H59" s="466"/>
      <c r="I59" s="430"/>
      <c r="K59" s="1057"/>
      <c r="N59" s="430"/>
    </row>
    <row r="60" spans="1:14">
      <c r="A60" s="1153">
        <f t="shared" si="1"/>
        <v>46</v>
      </c>
      <c r="B60" s="707"/>
      <c r="C60" s="88" t="s">
        <v>1383</v>
      </c>
      <c r="D60" s="346">
        <f>SUM(D50:D59)</f>
        <v>19830907.443864439</v>
      </c>
      <c r="E60" s="346">
        <f>SUM(E50:E59)</f>
        <v>0</v>
      </c>
      <c r="F60" s="346">
        <f>SUM(F50:F59)</f>
        <v>19830907.443864439</v>
      </c>
      <c r="G60" s="466"/>
      <c r="H60" s="466"/>
      <c r="I60" s="346">
        <f>SUM(I50:I59)</f>
        <v>19830907.443864439</v>
      </c>
      <c r="K60" s="346">
        <f>SUM(K50:K59)</f>
        <v>20286883.339739379</v>
      </c>
      <c r="N60" s="346">
        <f>SUM(N50:N59)</f>
        <v>20286883.339739379</v>
      </c>
    </row>
    <row r="61" spans="1:14">
      <c r="A61" s="1153">
        <f t="shared" si="1"/>
        <v>47</v>
      </c>
      <c r="B61" s="707"/>
      <c r="C61" s="81"/>
      <c r="D61" s="430"/>
      <c r="E61" s="430"/>
      <c r="F61" s="430"/>
      <c r="G61" s="466"/>
      <c r="H61" s="466"/>
      <c r="I61" s="430"/>
      <c r="K61" s="430"/>
      <c r="N61" s="430"/>
    </row>
    <row r="62" spans="1:14">
      <c r="A62" s="1153">
        <f t="shared" si="1"/>
        <v>48</v>
      </c>
      <c r="B62" s="707"/>
      <c r="C62" s="620" t="s">
        <v>299</v>
      </c>
      <c r="D62" s="430"/>
      <c r="E62" s="430"/>
      <c r="F62" s="430"/>
      <c r="G62" s="466"/>
      <c r="H62" s="466"/>
      <c r="I62" s="430"/>
      <c r="K62" s="430"/>
      <c r="N62" s="430"/>
    </row>
    <row r="63" spans="1:14">
      <c r="A63" s="1153">
        <f t="shared" si="1"/>
        <v>49</v>
      </c>
      <c r="B63" s="514">
        <v>37400</v>
      </c>
      <c r="C63" s="88" t="s">
        <v>1147</v>
      </c>
      <c r="D63" s="346">
        <f>[4]Reserve!$Q143</f>
        <v>0</v>
      </c>
      <c r="E63" s="346">
        <v>0</v>
      </c>
      <c r="F63" s="346">
        <f t="shared" ref="F63:F84" si="20">D63-E63</f>
        <v>0</v>
      </c>
      <c r="G63" s="466">
        <f t="shared" ref="G63:H84" si="21">$G$16</f>
        <v>1</v>
      </c>
      <c r="H63" s="466">
        <f t="shared" si="21"/>
        <v>1</v>
      </c>
      <c r="I63" s="346">
        <f t="shared" ref="I63:I84" si="22">F63*G63*H63</f>
        <v>0</v>
      </c>
      <c r="K63" s="346">
        <f>[4]Reserve!$C143</f>
        <v>0</v>
      </c>
      <c r="L63" s="466">
        <f t="shared" ref="L63:M84" si="23">$G$16</f>
        <v>1</v>
      </c>
      <c r="M63" s="466">
        <f t="shared" si="23"/>
        <v>1</v>
      </c>
      <c r="N63" s="346">
        <f t="shared" ref="N63:N84" si="24">K63*L63*M63</f>
        <v>0</v>
      </c>
    </row>
    <row r="64" spans="1:14">
      <c r="A64" s="1153">
        <f t="shared" si="1"/>
        <v>50</v>
      </c>
      <c r="B64" s="514">
        <v>37401</v>
      </c>
      <c r="C64" s="88" t="s">
        <v>292</v>
      </c>
      <c r="D64" s="346">
        <f>[4]Reserve!$Q144</f>
        <v>0</v>
      </c>
      <c r="E64" s="430">
        <v>0</v>
      </c>
      <c r="F64" s="430">
        <f t="shared" si="20"/>
        <v>0</v>
      </c>
      <c r="G64" s="466">
        <f t="shared" si="21"/>
        <v>1</v>
      </c>
      <c r="H64" s="466">
        <f t="shared" si="21"/>
        <v>1</v>
      </c>
      <c r="I64" s="430">
        <f t="shared" si="22"/>
        <v>0</v>
      </c>
      <c r="K64" s="346">
        <f>[4]Reserve!$C144</f>
        <v>0</v>
      </c>
      <c r="L64" s="466">
        <f t="shared" si="23"/>
        <v>1</v>
      </c>
      <c r="M64" s="466">
        <f t="shared" si="23"/>
        <v>1</v>
      </c>
      <c r="N64" s="430">
        <f t="shared" si="24"/>
        <v>0</v>
      </c>
    </row>
    <row r="65" spans="1:14">
      <c r="A65" s="1153">
        <f t="shared" si="1"/>
        <v>51</v>
      </c>
      <c r="B65" s="514">
        <v>37402</v>
      </c>
      <c r="C65" s="88" t="s">
        <v>999</v>
      </c>
      <c r="D65" s="346">
        <f>[4]Reserve!$Q145</f>
        <v>198945.53499639593</v>
      </c>
      <c r="E65" s="430">
        <v>0</v>
      </c>
      <c r="F65" s="430">
        <f t="shared" si="20"/>
        <v>198945.53499639593</v>
      </c>
      <c r="G65" s="466">
        <f t="shared" si="21"/>
        <v>1</v>
      </c>
      <c r="H65" s="466">
        <f t="shared" si="21"/>
        <v>1</v>
      </c>
      <c r="I65" s="430">
        <f t="shared" si="22"/>
        <v>198945.53499639593</v>
      </c>
      <c r="K65" s="346">
        <f>[4]Reserve!$C145</f>
        <v>177257.1965401753</v>
      </c>
      <c r="L65" s="466">
        <f t="shared" si="23"/>
        <v>1</v>
      </c>
      <c r="M65" s="466">
        <f t="shared" si="23"/>
        <v>1</v>
      </c>
      <c r="N65" s="430">
        <f t="shared" si="24"/>
        <v>177257.1965401753</v>
      </c>
    </row>
    <row r="66" spans="1:14">
      <c r="A66" s="1153">
        <f t="shared" si="1"/>
        <v>52</v>
      </c>
      <c r="B66" s="514">
        <v>37403</v>
      </c>
      <c r="C66" s="88" t="s">
        <v>996</v>
      </c>
      <c r="D66" s="346">
        <f>[4]Reserve!$Q146</f>
        <v>0</v>
      </c>
      <c r="E66" s="430">
        <v>0</v>
      </c>
      <c r="F66" s="430">
        <f t="shared" si="20"/>
        <v>0</v>
      </c>
      <c r="G66" s="466">
        <f t="shared" si="21"/>
        <v>1</v>
      </c>
      <c r="H66" s="466">
        <f t="shared" si="21"/>
        <v>1</v>
      </c>
      <c r="I66" s="430">
        <f t="shared" si="22"/>
        <v>0</v>
      </c>
      <c r="K66" s="346">
        <f>[4]Reserve!$C146</f>
        <v>0</v>
      </c>
      <c r="L66" s="466">
        <f t="shared" si="23"/>
        <v>1</v>
      </c>
      <c r="M66" s="466">
        <f t="shared" si="23"/>
        <v>1</v>
      </c>
      <c r="N66" s="430">
        <f t="shared" si="24"/>
        <v>0</v>
      </c>
    </row>
    <row r="67" spans="1:14">
      <c r="A67" s="1153">
        <f t="shared" si="1"/>
        <v>53</v>
      </c>
      <c r="B67" s="514">
        <v>37500</v>
      </c>
      <c r="C67" s="88" t="s">
        <v>856</v>
      </c>
      <c r="D67" s="346">
        <f>[4]Reserve!$Q147</f>
        <v>108955.18566199995</v>
      </c>
      <c r="E67" s="430">
        <v>0</v>
      </c>
      <c r="F67" s="430">
        <f t="shared" si="20"/>
        <v>108955.18566199995</v>
      </c>
      <c r="G67" s="466">
        <f t="shared" si="21"/>
        <v>1</v>
      </c>
      <c r="H67" s="466">
        <f t="shared" si="21"/>
        <v>1</v>
      </c>
      <c r="I67" s="430">
        <f t="shared" si="22"/>
        <v>108955.18566199995</v>
      </c>
      <c r="K67" s="346">
        <f>[4]Reserve!$C147</f>
        <v>105492.6561397692</v>
      </c>
      <c r="L67" s="466">
        <f t="shared" si="23"/>
        <v>1</v>
      </c>
      <c r="M67" s="466">
        <f t="shared" si="23"/>
        <v>1</v>
      </c>
      <c r="N67" s="430">
        <f t="shared" si="24"/>
        <v>105492.6561397692</v>
      </c>
    </row>
    <row r="68" spans="1:14">
      <c r="A68" s="1153">
        <f t="shared" si="1"/>
        <v>54</v>
      </c>
      <c r="B68" s="514">
        <v>37501</v>
      </c>
      <c r="C68" s="88" t="s">
        <v>997</v>
      </c>
      <c r="D68" s="346">
        <f>[4]Reserve!$Q148</f>
        <v>70041.466739000069</v>
      </c>
      <c r="E68" s="430">
        <v>0</v>
      </c>
      <c r="F68" s="430">
        <f t="shared" si="20"/>
        <v>70041.466739000069</v>
      </c>
      <c r="G68" s="466">
        <f t="shared" si="21"/>
        <v>1</v>
      </c>
      <c r="H68" s="466">
        <f t="shared" si="21"/>
        <v>1</v>
      </c>
      <c r="I68" s="430">
        <f t="shared" si="22"/>
        <v>70041.466739000069</v>
      </c>
      <c r="K68" s="346">
        <f>[4]Reserve!$C148</f>
        <v>69013.347198961565</v>
      </c>
      <c r="L68" s="466">
        <f t="shared" si="23"/>
        <v>1</v>
      </c>
      <c r="M68" s="466">
        <f t="shared" si="23"/>
        <v>1</v>
      </c>
      <c r="N68" s="430">
        <f t="shared" si="24"/>
        <v>69013.347198961565</v>
      </c>
    </row>
    <row r="69" spans="1:14">
      <c r="A69" s="1153">
        <f t="shared" si="1"/>
        <v>55</v>
      </c>
      <c r="B69" s="514">
        <v>37502</v>
      </c>
      <c r="C69" s="88" t="s">
        <v>999</v>
      </c>
      <c r="D69" s="346">
        <f>[4]Reserve!$Q149</f>
        <v>34747.031156999998</v>
      </c>
      <c r="E69" s="430">
        <v>0</v>
      </c>
      <c r="F69" s="430">
        <f t="shared" si="20"/>
        <v>34747.031156999998</v>
      </c>
      <c r="G69" s="466">
        <f t="shared" si="21"/>
        <v>1</v>
      </c>
      <c r="H69" s="466">
        <f t="shared" si="21"/>
        <v>1</v>
      </c>
      <c r="I69" s="430">
        <f t="shared" si="22"/>
        <v>34747.031156999998</v>
      </c>
      <c r="K69" s="346">
        <f>[4]Reserve!$C149</f>
        <v>34270.510311499987</v>
      </c>
      <c r="L69" s="466">
        <f t="shared" si="23"/>
        <v>1</v>
      </c>
      <c r="M69" s="466">
        <f t="shared" si="23"/>
        <v>1</v>
      </c>
      <c r="N69" s="430">
        <f t="shared" si="24"/>
        <v>34270.510311499987</v>
      </c>
    </row>
    <row r="70" spans="1:14">
      <c r="A70" s="1153">
        <f t="shared" si="1"/>
        <v>56</v>
      </c>
      <c r="B70" s="514">
        <v>37503</v>
      </c>
      <c r="C70" s="88" t="s">
        <v>998</v>
      </c>
      <c r="D70" s="346">
        <f>[4]Reserve!$Q150</f>
        <v>1863.682323999999</v>
      </c>
      <c r="E70" s="430">
        <v>0</v>
      </c>
      <c r="F70" s="430">
        <f t="shared" si="20"/>
        <v>1863.682323999999</v>
      </c>
      <c r="G70" s="466">
        <f t="shared" si="21"/>
        <v>1</v>
      </c>
      <c r="H70" s="466">
        <f t="shared" si="21"/>
        <v>1</v>
      </c>
      <c r="I70" s="430">
        <f t="shared" si="22"/>
        <v>1863.682323999999</v>
      </c>
      <c r="K70" s="346">
        <f>[4]Reserve!$C150</f>
        <v>1822.4387026153838</v>
      </c>
      <c r="L70" s="466">
        <f t="shared" si="23"/>
        <v>1</v>
      </c>
      <c r="M70" s="466">
        <f t="shared" si="23"/>
        <v>1</v>
      </c>
      <c r="N70" s="430">
        <f t="shared" si="24"/>
        <v>1822.4387026153838</v>
      </c>
    </row>
    <row r="71" spans="1:14">
      <c r="A71" s="1153">
        <f t="shared" si="1"/>
        <v>57</v>
      </c>
      <c r="B71" s="514">
        <v>37600</v>
      </c>
      <c r="C71" s="88" t="s">
        <v>844</v>
      </c>
      <c r="D71" s="346">
        <f>[4]Reserve!$Q151</f>
        <v>12934746.385237385</v>
      </c>
      <c r="E71" s="430">
        <v>0</v>
      </c>
      <c r="F71" s="430">
        <f t="shared" si="20"/>
        <v>12934746.385237385</v>
      </c>
      <c r="G71" s="466">
        <f t="shared" si="21"/>
        <v>1</v>
      </c>
      <c r="H71" s="466">
        <f t="shared" si="21"/>
        <v>1</v>
      </c>
      <c r="I71" s="430">
        <f t="shared" si="22"/>
        <v>12934746.385237385</v>
      </c>
      <c r="K71" s="346">
        <f>[4]Reserve!$C151</f>
        <v>12718059.754340447</v>
      </c>
      <c r="L71" s="466">
        <f t="shared" si="23"/>
        <v>1</v>
      </c>
      <c r="M71" s="466">
        <f t="shared" si="23"/>
        <v>1</v>
      </c>
      <c r="N71" s="430">
        <f t="shared" si="24"/>
        <v>12718059.754340447</v>
      </c>
    </row>
    <row r="72" spans="1:14">
      <c r="A72" s="1153">
        <f t="shared" si="1"/>
        <v>58</v>
      </c>
      <c r="B72" s="514">
        <v>37601</v>
      </c>
      <c r="C72" s="88" t="s">
        <v>16</v>
      </c>
      <c r="D72" s="346">
        <f>[4]Reserve!$Q152</f>
        <v>31297268.124849152</v>
      </c>
      <c r="E72" s="430">
        <v>0</v>
      </c>
      <c r="F72" s="430">
        <f t="shared" si="20"/>
        <v>31297268.124849152</v>
      </c>
      <c r="G72" s="466">
        <f t="shared" si="21"/>
        <v>1</v>
      </c>
      <c r="H72" s="466">
        <f t="shared" si="21"/>
        <v>1</v>
      </c>
      <c r="I72" s="430">
        <f t="shared" si="22"/>
        <v>31297268.124849152</v>
      </c>
      <c r="K72" s="346">
        <f>[4]Reserve!$C152</f>
        <v>30218245.45243635</v>
      </c>
      <c r="L72" s="466">
        <f t="shared" si="23"/>
        <v>1</v>
      </c>
      <c r="M72" s="466">
        <f t="shared" si="23"/>
        <v>1</v>
      </c>
      <c r="N72" s="430">
        <f t="shared" si="24"/>
        <v>30218245.45243635</v>
      </c>
    </row>
    <row r="73" spans="1:14">
      <c r="A73" s="1153">
        <f t="shared" si="1"/>
        <v>59</v>
      </c>
      <c r="B73" s="514">
        <v>37602</v>
      </c>
      <c r="C73" s="88" t="s">
        <v>845</v>
      </c>
      <c r="D73" s="346">
        <f>[4]Reserve!$Q153</f>
        <v>16911813.512444366</v>
      </c>
      <c r="E73" s="430">
        <v>0</v>
      </c>
      <c r="F73" s="430">
        <f t="shared" si="20"/>
        <v>16911813.512444366</v>
      </c>
      <c r="G73" s="466">
        <f t="shared" si="21"/>
        <v>1</v>
      </c>
      <c r="H73" s="466">
        <f t="shared" si="21"/>
        <v>1</v>
      </c>
      <c r="I73" s="430">
        <f t="shared" si="22"/>
        <v>16911813.512444366</v>
      </c>
      <c r="K73" s="346">
        <f>[4]Reserve!$C153</f>
        <v>15883553.383963257</v>
      </c>
      <c r="L73" s="466">
        <f t="shared" si="23"/>
        <v>1</v>
      </c>
      <c r="M73" s="466">
        <f t="shared" si="23"/>
        <v>1</v>
      </c>
      <c r="N73" s="430">
        <f t="shared" si="24"/>
        <v>15883553.383963257</v>
      </c>
    </row>
    <row r="74" spans="1:14">
      <c r="A74" s="1153">
        <f t="shared" si="1"/>
        <v>60</v>
      </c>
      <c r="B74" s="514">
        <v>37603</v>
      </c>
      <c r="C74" s="88" t="s">
        <v>1666</v>
      </c>
      <c r="D74" s="346">
        <f>[4]Reserve!$Q154</f>
        <v>0</v>
      </c>
      <c r="E74" s="430">
        <v>0</v>
      </c>
      <c r="F74" s="430">
        <f t="shared" ref="F74:F75" si="25">D74-E74</f>
        <v>0</v>
      </c>
      <c r="G74" s="466">
        <f t="shared" si="21"/>
        <v>1</v>
      </c>
      <c r="H74" s="466">
        <f t="shared" si="21"/>
        <v>1</v>
      </c>
      <c r="I74" s="430">
        <f t="shared" ref="I74:I75" si="26">F74*G74*H74</f>
        <v>0</v>
      </c>
      <c r="K74" s="346">
        <f>[4]Reserve!$C154</f>
        <v>0</v>
      </c>
      <c r="L74" s="466">
        <f t="shared" si="23"/>
        <v>1</v>
      </c>
      <c r="M74" s="466">
        <f t="shared" si="23"/>
        <v>1</v>
      </c>
      <c r="N74" s="430">
        <f t="shared" ref="N74:N75" si="27">K74*L74*M74</f>
        <v>0</v>
      </c>
    </row>
    <row r="75" spans="1:14">
      <c r="A75" s="1153">
        <f t="shared" si="1"/>
        <v>61</v>
      </c>
      <c r="B75" s="514">
        <v>37604</v>
      </c>
      <c r="C75" s="88" t="s">
        <v>1667</v>
      </c>
      <c r="D75" s="346">
        <f>[4]Reserve!$Q155</f>
        <v>0</v>
      </c>
      <c r="E75" s="430">
        <v>0</v>
      </c>
      <c r="F75" s="430">
        <f t="shared" si="25"/>
        <v>0</v>
      </c>
      <c r="G75" s="466">
        <f t="shared" si="21"/>
        <v>1</v>
      </c>
      <c r="H75" s="466">
        <f t="shared" si="21"/>
        <v>1</v>
      </c>
      <c r="I75" s="430">
        <f t="shared" si="26"/>
        <v>0</v>
      </c>
      <c r="K75" s="346">
        <f>[4]Reserve!$C155</f>
        <v>0</v>
      </c>
      <c r="L75" s="466">
        <f t="shared" si="23"/>
        <v>1</v>
      </c>
      <c r="M75" s="466">
        <f t="shared" si="23"/>
        <v>1</v>
      </c>
      <c r="N75" s="430">
        <f t="shared" si="27"/>
        <v>0</v>
      </c>
    </row>
    <row r="76" spans="1:14">
      <c r="A76" s="1153">
        <f t="shared" si="1"/>
        <v>62</v>
      </c>
      <c r="B76" s="514">
        <v>37800</v>
      </c>
      <c r="C76" s="88" t="s">
        <v>229</v>
      </c>
      <c r="D76" s="346">
        <f>[4]Reserve!$Q156</f>
        <v>2295801.9573438382</v>
      </c>
      <c r="E76" s="430">
        <v>0</v>
      </c>
      <c r="F76" s="430">
        <f t="shared" si="20"/>
        <v>2295801.9573438382</v>
      </c>
      <c r="G76" s="466">
        <f t="shared" si="21"/>
        <v>1</v>
      </c>
      <c r="H76" s="466">
        <f t="shared" si="21"/>
        <v>1</v>
      </c>
      <c r="I76" s="430">
        <f t="shared" si="22"/>
        <v>2295801.9573438382</v>
      </c>
      <c r="K76" s="346">
        <f>[4]Reserve!$C156</f>
        <v>2040538.0490784433</v>
      </c>
      <c r="L76" s="466">
        <f t="shared" si="23"/>
        <v>1</v>
      </c>
      <c r="M76" s="466">
        <f t="shared" si="23"/>
        <v>1</v>
      </c>
      <c r="N76" s="430">
        <f t="shared" si="24"/>
        <v>2040538.0490784433</v>
      </c>
    </row>
    <row r="77" spans="1:14">
      <c r="A77" s="1153">
        <f t="shared" si="1"/>
        <v>63</v>
      </c>
      <c r="B77" s="514">
        <v>37900</v>
      </c>
      <c r="C77" s="88" t="s">
        <v>1190</v>
      </c>
      <c r="D77" s="346">
        <f>[4]Reserve!$Q157</f>
        <v>910421.51675586833</v>
      </c>
      <c r="E77" s="430">
        <v>0</v>
      </c>
      <c r="F77" s="430">
        <f t="shared" si="20"/>
        <v>910421.51675586833</v>
      </c>
      <c r="G77" s="466">
        <f t="shared" si="21"/>
        <v>1</v>
      </c>
      <c r="H77" s="466">
        <f t="shared" si="21"/>
        <v>1</v>
      </c>
      <c r="I77" s="430">
        <f t="shared" si="22"/>
        <v>910421.51675586833</v>
      </c>
      <c r="K77" s="346">
        <f>[4]Reserve!$C157</f>
        <v>874827.97025741392</v>
      </c>
      <c r="L77" s="466">
        <f t="shared" si="23"/>
        <v>1</v>
      </c>
      <c r="M77" s="466">
        <f t="shared" si="23"/>
        <v>1</v>
      </c>
      <c r="N77" s="430">
        <f t="shared" si="24"/>
        <v>874827.97025741392</v>
      </c>
    </row>
    <row r="78" spans="1:14">
      <c r="A78" s="1153">
        <f t="shared" si="1"/>
        <v>64</v>
      </c>
      <c r="B78" s="514">
        <v>37905</v>
      </c>
      <c r="C78" s="88" t="s">
        <v>725</v>
      </c>
      <c r="D78" s="346">
        <f>[4]Reserve!$Q158</f>
        <v>1002917.8771220001</v>
      </c>
      <c r="E78" s="430">
        <v>0</v>
      </c>
      <c r="F78" s="430">
        <f t="shared" si="20"/>
        <v>1002917.8771220001</v>
      </c>
      <c r="G78" s="466">
        <f t="shared" si="21"/>
        <v>1</v>
      </c>
      <c r="H78" s="466">
        <f t="shared" si="21"/>
        <v>1</v>
      </c>
      <c r="I78" s="430">
        <f t="shared" si="22"/>
        <v>1002917.8771220001</v>
      </c>
      <c r="K78" s="346">
        <f>[4]Reserve!$C158</f>
        <v>980669.81460976927</v>
      </c>
      <c r="L78" s="466">
        <f t="shared" si="23"/>
        <v>1</v>
      </c>
      <c r="M78" s="466">
        <f t="shared" si="23"/>
        <v>1</v>
      </c>
      <c r="N78" s="430">
        <f t="shared" si="24"/>
        <v>980669.81460976927</v>
      </c>
    </row>
    <row r="79" spans="1:14">
      <c r="A79" s="1153">
        <f t="shared" si="1"/>
        <v>65</v>
      </c>
      <c r="B79" s="514">
        <v>38000</v>
      </c>
      <c r="C79" s="88" t="s">
        <v>1052</v>
      </c>
      <c r="D79" s="346">
        <f>[4]Reserve!$Q159</f>
        <v>32934303.018117521</v>
      </c>
      <c r="E79" s="430">
        <v>0</v>
      </c>
      <c r="F79" s="430">
        <f t="shared" si="20"/>
        <v>32934303.018117521</v>
      </c>
      <c r="G79" s="466">
        <f t="shared" si="21"/>
        <v>1</v>
      </c>
      <c r="H79" s="466">
        <f t="shared" si="21"/>
        <v>1</v>
      </c>
      <c r="I79" s="430">
        <f t="shared" si="22"/>
        <v>32934303.018117521</v>
      </c>
      <c r="K79" s="346">
        <f>[4]Reserve!$C159</f>
        <v>35036562.02058433</v>
      </c>
      <c r="L79" s="466">
        <f t="shared" si="23"/>
        <v>1</v>
      </c>
      <c r="M79" s="466">
        <f t="shared" si="23"/>
        <v>1</v>
      </c>
      <c r="N79" s="430">
        <f t="shared" si="24"/>
        <v>35036562.02058433</v>
      </c>
    </row>
    <row r="80" spans="1:14">
      <c r="A80" s="1153">
        <f t="shared" si="1"/>
        <v>66</v>
      </c>
      <c r="B80" s="514">
        <v>38100</v>
      </c>
      <c r="C80" s="88" t="s">
        <v>846</v>
      </c>
      <c r="D80" s="346">
        <f>[4]Reserve!$Q160</f>
        <v>19525080.637169223</v>
      </c>
      <c r="E80" s="430">
        <v>0</v>
      </c>
      <c r="F80" s="430">
        <f t="shared" si="20"/>
        <v>19525080.637169223</v>
      </c>
      <c r="G80" s="466">
        <f t="shared" si="21"/>
        <v>1</v>
      </c>
      <c r="H80" s="466">
        <f t="shared" si="21"/>
        <v>1</v>
      </c>
      <c r="I80" s="430">
        <f t="shared" si="22"/>
        <v>19525080.637169223</v>
      </c>
      <c r="K80" s="346">
        <f>[4]Reserve!$C160</f>
        <v>18290751.65068578</v>
      </c>
      <c r="L80" s="466">
        <f t="shared" si="23"/>
        <v>1</v>
      </c>
      <c r="M80" s="466">
        <f t="shared" si="23"/>
        <v>1</v>
      </c>
      <c r="N80" s="430">
        <f t="shared" si="24"/>
        <v>18290751.65068578</v>
      </c>
    </row>
    <row r="81" spans="1:14">
      <c r="A81" s="1153">
        <f t="shared" si="1"/>
        <v>67</v>
      </c>
      <c r="B81" s="514">
        <v>38200</v>
      </c>
      <c r="C81" s="88" t="s">
        <v>442</v>
      </c>
      <c r="D81" s="346">
        <f>[4]Reserve!$Q161</f>
        <v>25843085.022182196</v>
      </c>
      <c r="E81" s="430">
        <v>0</v>
      </c>
      <c r="F81" s="430">
        <f t="shared" si="20"/>
        <v>25843085.022182196</v>
      </c>
      <c r="G81" s="466">
        <f t="shared" si="21"/>
        <v>1</v>
      </c>
      <c r="H81" s="466">
        <f t="shared" si="21"/>
        <v>1</v>
      </c>
      <c r="I81" s="430">
        <f t="shared" si="22"/>
        <v>25843085.022182196</v>
      </c>
      <c r="K81" s="346">
        <f>[4]Reserve!$C161</f>
        <v>25107867.288646057</v>
      </c>
      <c r="L81" s="466">
        <f t="shared" si="23"/>
        <v>1</v>
      </c>
      <c r="M81" s="466">
        <f t="shared" si="23"/>
        <v>1</v>
      </c>
      <c r="N81" s="430">
        <f t="shared" si="24"/>
        <v>25107867.288646057</v>
      </c>
    </row>
    <row r="82" spans="1:14">
      <c r="A82" s="1153">
        <f t="shared" si="1"/>
        <v>68</v>
      </c>
      <c r="B82" s="514">
        <v>38300</v>
      </c>
      <c r="C82" s="88" t="s">
        <v>1053</v>
      </c>
      <c r="D82" s="346">
        <f>[4]Reserve!$Q162</f>
        <v>3972539.9633760937</v>
      </c>
      <c r="E82" s="430">
        <v>0</v>
      </c>
      <c r="F82" s="430">
        <f t="shared" si="20"/>
        <v>3972539.9633760937</v>
      </c>
      <c r="G82" s="466">
        <f t="shared" si="21"/>
        <v>1</v>
      </c>
      <c r="H82" s="466">
        <f t="shared" si="21"/>
        <v>1</v>
      </c>
      <c r="I82" s="430">
        <f t="shared" si="22"/>
        <v>3972539.9633760937</v>
      </c>
      <c r="K82" s="346">
        <f>[4]Reserve!$C162</f>
        <v>3793935.4090875285</v>
      </c>
      <c r="L82" s="466">
        <f t="shared" si="23"/>
        <v>1</v>
      </c>
      <c r="M82" s="466">
        <f t="shared" si="23"/>
        <v>1</v>
      </c>
      <c r="N82" s="430">
        <f t="shared" si="24"/>
        <v>3793935.4090875285</v>
      </c>
    </row>
    <row r="83" spans="1:14">
      <c r="A83" s="1153">
        <f t="shared" si="1"/>
        <v>69</v>
      </c>
      <c r="B83" s="514">
        <v>38400</v>
      </c>
      <c r="C83" s="88" t="s">
        <v>443</v>
      </c>
      <c r="D83" s="346">
        <f>[4]Reserve!$Q163</f>
        <v>88696.740371710941</v>
      </c>
      <c r="E83" s="430">
        <v>0</v>
      </c>
      <c r="F83" s="430">
        <f t="shared" si="20"/>
        <v>88696.740371710941</v>
      </c>
      <c r="G83" s="466">
        <f t="shared" si="21"/>
        <v>1</v>
      </c>
      <c r="H83" s="466">
        <f t="shared" si="21"/>
        <v>1</v>
      </c>
      <c r="I83" s="430">
        <f t="shared" si="22"/>
        <v>88696.740371710941</v>
      </c>
      <c r="K83" s="346">
        <f>[4]Reserve!$C163</f>
        <v>86114.122551642344</v>
      </c>
      <c r="L83" s="466">
        <f t="shared" si="23"/>
        <v>1</v>
      </c>
      <c r="M83" s="466">
        <f t="shared" si="23"/>
        <v>1</v>
      </c>
      <c r="N83" s="430">
        <f t="shared" si="24"/>
        <v>86114.122551642344</v>
      </c>
    </row>
    <row r="84" spans="1:14">
      <c r="A84" s="1153">
        <f t="shared" ref="A84:A147" si="28">A83+1</f>
        <v>70</v>
      </c>
      <c r="B84" s="514">
        <v>38500</v>
      </c>
      <c r="C84" s="88" t="s">
        <v>444</v>
      </c>
      <c r="D84" s="346">
        <f>[4]Reserve!$Q164</f>
        <v>2867363.2630342436</v>
      </c>
      <c r="E84" s="430">
        <v>0</v>
      </c>
      <c r="F84" s="430">
        <f t="shared" si="20"/>
        <v>2867363.2630342436</v>
      </c>
      <c r="G84" s="466">
        <f t="shared" si="21"/>
        <v>1</v>
      </c>
      <c r="H84" s="466">
        <f t="shared" si="21"/>
        <v>1</v>
      </c>
      <c r="I84" s="430">
        <f t="shared" si="22"/>
        <v>2867363.2630342436</v>
      </c>
      <c r="K84" s="346">
        <f>[4]Reserve!$C164</f>
        <v>2796966.5955148404</v>
      </c>
      <c r="L84" s="466">
        <f t="shared" si="23"/>
        <v>1</v>
      </c>
      <c r="M84" s="466">
        <f t="shared" si="23"/>
        <v>1</v>
      </c>
      <c r="N84" s="430">
        <f t="shared" si="24"/>
        <v>2796966.5955148404</v>
      </c>
    </row>
    <row r="85" spans="1:14">
      <c r="A85" s="1153">
        <f t="shared" si="28"/>
        <v>71</v>
      </c>
      <c r="B85" s="514"/>
      <c r="C85" s="88"/>
      <c r="D85" s="1057"/>
      <c r="E85" s="1057"/>
      <c r="F85" s="1057"/>
      <c r="G85" s="466"/>
      <c r="H85" s="466"/>
      <c r="I85" s="1057"/>
      <c r="K85" s="1057"/>
      <c r="N85" s="1057"/>
    </row>
    <row r="86" spans="1:14">
      <c r="A86" s="1153">
        <f t="shared" si="28"/>
        <v>72</v>
      </c>
      <c r="B86" s="514"/>
      <c r="C86" s="88" t="s">
        <v>1382</v>
      </c>
      <c r="D86" s="346">
        <f>SUM(D63:D85)</f>
        <v>150998590.91888201</v>
      </c>
      <c r="E86" s="346">
        <f>SUM(E63:E85)</f>
        <v>0</v>
      </c>
      <c r="F86" s="346">
        <f>SUM(F63:F85)</f>
        <v>150998590.91888201</v>
      </c>
      <c r="G86" s="466"/>
      <c r="H86" s="466"/>
      <c r="I86" s="346">
        <f>SUM(I63:I85)</f>
        <v>150998590.91888201</v>
      </c>
      <c r="K86" s="346">
        <f>SUM(K63:K85)</f>
        <v>148215947.66064891</v>
      </c>
      <c r="N86" s="346">
        <f>SUM(N63:N85)</f>
        <v>148215947.66064891</v>
      </c>
    </row>
    <row r="87" spans="1:14">
      <c r="A87" s="1153">
        <f t="shared" si="28"/>
        <v>73</v>
      </c>
      <c r="B87" s="514"/>
      <c r="C87" s="88"/>
      <c r="D87" s="430"/>
      <c r="E87" s="430"/>
      <c r="F87" s="430"/>
      <c r="G87" s="466"/>
      <c r="H87" s="466"/>
      <c r="I87" s="430"/>
      <c r="K87" s="430"/>
      <c r="N87" s="430"/>
    </row>
    <row r="88" spans="1:14">
      <c r="A88" s="1153">
        <f t="shared" si="28"/>
        <v>74</v>
      </c>
      <c r="B88" s="707"/>
      <c r="C88" s="620" t="s">
        <v>301</v>
      </c>
      <c r="D88" s="430"/>
      <c r="E88" s="430"/>
      <c r="F88" s="430"/>
      <c r="G88" s="466"/>
      <c r="H88" s="466"/>
      <c r="I88" s="430"/>
      <c r="K88" s="430"/>
      <c r="N88" s="430"/>
    </row>
    <row r="89" spans="1:14">
      <c r="A89" s="1153">
        <f t="shared" si="28"/>
        <v>75</v>
      </c>
      <c r="B89" s="514">
        <v>38900</v>
      </c>
      <c r="C89" s="1058" t="s">
        <v>1526</v>
      </c>
      <c r="D89" s="346">
        <f>[4]Reserve!$Q165</f>
        <v>0</v>
      </c>
      <c r="E89" s="346">
        <v>0</v>
      </c>
      <c r="F89" s="346">
        <f t="shared" ref="F89:F115" si="29">D89-E89</f>
        <v>0</v>
      </c>
      <c r="G89" s="466">
        <f t="shared" ref="G89:H102" si="30">$G$16</f>
        <v>1</v>
      </c>
      <c r="H89" s="466">
        <f t="shared" si="30"/>
        <v>1</v>
      </c>
      <c r="I89" s="346">
        <f t="shared" ref="I89:I115" si="31">F89*G89*H89</f>
        <v>0</v>
      </c>
      <c r="K89" s="346">
        <f>[4]Reserve!$C165</f>
        <v>0</v>
      </c>
      <c r="L89" s="466">
        <f t="shared" ref="L89:M102" si="32">$G$16</f>
        <v>1</v>
      </c>
      <c r="M89" s="466">
        <f t="shared" si="32"/>
        <v>1</v>
      </c>
      <c r="N89" s="346">
        <f t="shared" ref="N89:N114" si="33">K89*L89*M89</f>
        <v>0</v>
      </c>
    </row>
    <row r="90" spans="1:14">
      <c r="A90" s="1153">
        <f t="shared" si="28"/>
        <v>76</v>
      </c>
      <c r="B90" s="514">
        <v>39000</v>
      </c>
      <c r="C90" s="1058" t="s">
        <v>1527</v>
      </c>
      <c r="D90" s="346">
        <f>[4]Reserve!$Q166</f>
        <v>1061493.2903289264</v>
      </c>
      <c r="E90" s="430">
        <v>0</v>
      </c>
      <c r="F90" s="430">
        <f t="shared" si="29"/>
        <v>1061493.2903289264</v>
      </c>
      <c r="G90" s="466">
        <f t="shared" si="30"/>
        <v>1</v>
      </c>
      <c r="H90" s="466">
        <f t="shared" si="30"/>
        <v>1</v>
      </c>
      <c r="I90" s="430">
        <f t="shared" si="31"/>
        <v>1061493.2903289264</v>
      </c>
      <c r="K90" s="346">
        <f>[4]Reserve!$C166</f>
        <v>923762.4874014433</v>
      </c>
      <c r="L90" s="466">
        <f t="shared" si="32"/>
        <v>1</v>
      </c>
      <c r="M90" s="466">
        <f t="shared" si="32"/>
        <v>1</v>
      </c>
      <c r="N90" s="430">
        <f t="shared" si="33"/>
        <v>923762.4874014433</v>
      </c>
    </row>
    <row r="91" spans="1:14">
      <c r="A91" s="1153">
        <f t="shared" si="28"/>
        <v>77</v>
      </c>
      <c r="B91" s="514">
        <v>39002</v>
      </c>
      <c r="C91" s="1058" t="s">
        <v>1528</v>
      </c>
      <c r="D91" s="346">
        <f>[4]Reserve!$Q167</f>
        <v>103168.30917999994</v>
      </c>
      <c r="E91" s="430">
        <v>0</v>
      </c>
      <c r="F91" s="430">
        <f t="shared" si="29"/>
        <v>103168.30917999994</v>
      </c>
      <c r="G91" s="466">
        <f t="shared" si="30"/>
        <v>1</v>
      </c>
      <c r="H91" s="466">
        <f t="shared" si="30"/>
        <v>1</v>
      </c>
      <c r="I91" s="430">
        <f t="shared" si="31"/>
        <v>103168.30917999994</v>
      </c>
      <c r="K91" s="346">
        <f>[4]Reserve!$C167</f>
        <v>99913.744394615351</v>
      </c>
      <c r="L91" s="466">
        <f t="shared" si="32"/>
        <v>1</v>
      </c>
      <c r="M91" s="466">
        <f t="shared" si="32"/>
        <v>1</v>
      </c>
      <c r="N91" s="430">
        <f t="shared" si="33"/>
        <v>99913.744394615351</v>
      </c>
    </row>
    <row r="92" spans="1:14">
      <c r="A92" s="1153">
        <f t="shared" si="28"/>
        <v>78</v>
      </c>
      <c r="B92" s="514">
        <v>39003</v>
      </c>
      <c r="C92" s="1058" t="s">
        <v>1529</v>
      </c>
      <c r="D92" s="346">
        <f>[4]Reserve!$Q168</f>
        <v>274645.34458400006</v>
      </c>
      <c r="E92" s="430">
        <v>0</v>
      </c>
      <c r="F92" s="430">
        <f t="shared" si="29"/>
        <v>274645.34458400006</v>
      </c>
      <c r="G92" s="466">
        <f t="shared" si="30"/>
        <v>1</v>
      </c>
      <c r="H92" s="466">
        <f t="shared" si="30"/>
        <v>1</v>
      </c>
      <c r="I92" s="430">
        <f t="shared" si="31"/>
        <v>274645.34458400006</v>
      </c>
      <c r="K92" s="346">
        <f>[4]Reserve!$C168</f>
        <v>261312.39584953847</v>
      </c>
      <c r="L92" s="466">
        <f t="shared" si="32"/>
        <v>1</v>
      </c>
      <c r="M92" s="466">
        <f t="shared" si="32"/>
        <v>1</v>
      </c>
      <c r="N92" s="430">
        <f t="shared" si="33"/>
        <v>261312.39584953847</v>
      </c>
    </row>
    <row r="93" spans="1:14">
      <c r="A93" s="1153">
        <f t="shared" si="28"/>
        <v>79</v>
      </c>
      <c r="B93" s="514">
        <v>39004</v>
      </c>
      <c r="C93" s="1058" t="s">
        <v>1530</v>
      </c>
      <c r="D93" s="346">
        <f>[4]Reserve!$Q169</f>
        <v>4562.2991120000033</v>
      </c>
      <c r="E93" s="430">
        <v>0</v>
      </c>
      <c r="F93" s="430">
        <f t="shared" si="29"/>
        <v>4562.2991120000033</v>
      </c>
      <c r="G93" s="466">
        <f t="shared" si="30"/>
        <v>1</v>
      </c>
      <c r="H93" s="466">
        <f t="shared" si="30"/>
        <v>1</v>
      </c>
      <c r="I93" s="430">
        <f t="shared" si="31"/>
        <v>4562.2991120000033</v>
      </c>
      <c r="K93" s="346">
        <f>[4]Reserve!$C169</f>
        <v>4318.7524532307707</v>
      </c>
      <c r="L93" s="466">
        <f t="shared" si="32"/>
        <v>1</v>
      </c>
      <c r="M93" s="466">
        <f t="shared" si="32"/>
        <v>1</v>
      </c>
      <c r="N93" s="430">
        <f t="shared" si="33"/>
        <v>4318.7524532307707</v>
      </c>
    </row>
    <row r="94" spans="1:14">
      <c r="A94" s="1153">
        <f t="shared" si="28"/>
        <v>80</v>
      </c>
      <c r="B94" s="514">
        <v>39009</v>
      </c>
      <c r="C94" s="1058" t="s">
        <v>1531</v>
      </c>
      <c r="D94" s="346">
        <f>[4]Reserve!$Q170</f>
        <v>1248109.8085129997</v>
      </c>
      <c r="E94" s="430">
        <v>0</v>
      </c>
      <c r="F94" s="430">
        <f t="shared" si="29"/>
        <v>1248109.8085129997</v>
      </c>
      <c r="G94" s="466">
        <f t="shared" si="30"/>
        <v>1</v>
      </c>
      <c r="H94" s="466">
        <f t="shared" si="30"/>
        <v>1</v>
      </c>
      <c r="I94" s="430">
        <f t="shared" si="31"/>
        <v>1248109.8085129997</v>
      </c>
      <c r="K94" s="346">
        <f>[4]Reserve!$C170</f>
        <v>1194302.9851401155</v>
      </c>
      <c r="L94" s="466">
        <f t="shared" si="32"/>
        <v>1</v>
      </c>
      <c r="M94" s="466">
        <f t="shared" si="32"/>
        <v>1</v>
      </c>
      <c r="N94" s="430">
        <f t="shared" si="33"/>
        <v>1194302.9851401155</v>
      </c>
    </row>
    <row r="95" spans="1:14">
      <c r="A95" s="1153">
        <f t="shared" si="28"/>
        <v>81</v>
      </c>
      <c r="B95" s="514">
        <v>39100</v>
      </c>
      <c r="C95" s="1058" t="s">
        <v>1532</v>
      </c>
      <c r="D95" s="346">
        <f>[4]Reserve!$Q171</f>
        <v>1067724.7252613688</v>
      </c>
      <c r="E95" s="430">
        <v>0</v>
      </c>
      <c r="F95" s="430">
        <f t="shared" si="29"/>
        <v>1067724.7252613688</v>
      </c>
      <c r="G95" s="466">
        <f t="shared" si="30"/>
        <v>1</v>
      </c>
      <c r="H95" s="466">
        <f t="shared" si="30"/>
        <v>1</v>
      </c>
      <c r="I95" s="430">
        <f t="shared" si="31"/>
        <v>1067724.7252613688</v>
      </c>
      <c r="K95" s="346">
        <f>[4]Reserve!$C171</f>
        <v>994844.35406668484</v>
      </c>
      <c r="L95" s="466">
        <f t="shared" si="32"/>
        <v>1</v>
      </c>
      <c r="M95" s="466">
        <f t="shared" si="32"/>
        <v>1</v>
      </c>
      <c r="N95" s="430">
        <f t="shared" si="33"/>
        <v>994844.35406668484</v>
      </c>
    </row>
    <row r="96" spans="1:14">
      <c r="A96" s="1153">
        <f t="shared" si="28"/>
        <v>82</v>
      </c>
      <c r="B96" s="514">
        <v>39103</v>
      </c>
      <c r="C96" s="1058" t="s">
        <v>780</v>
      </c>
      <c r="D96" s="346">
        <f>[4]Reserve!$Q172</f>
        <v>0</v>
      </c>
      <c r="E96" s="430">
        <v>0</v>
      </c>
      <c r="F96" s="430">
        <f t="shared" si="29"/>
        <v>0</v>
      </c>
      <c r="G96" s="466">
        <f t="shared" si="30"/>
        <v>1</v>
      </c>
      <c r="H96" s="466">
        <f t="shared" si="30"/>
        <v>1</v>
      </c>
      <c r="I96" s="430">
        <f t="shared" si="31"/>
        <v>0</v>
      </c>
      <c r="K96" s="346">
        <f>[4]Reserve!$C172</f>
        <v>0</v>
      </c>
      <c r="L96" s="466">
        <f t="shared" si="32"/>
        <v>1</v>
      </c>
      <c r="M96" s="466">
        <f t="shared" si="32"/>
        <v>1</v>
      </c>
      <c r="N96" s="430">
        <f t="shared" si="33"/>
        <v>0</v>
      </c>
    </row>
    <row r="97" spans="1:14">
      <c r="A97" s="1153">
        <f t="shared" si="28"/>
        <v>83</v>
      </c>
      <c r="B97" s="514">
        <v>39200</v>
      </c>
      <c r="C97" s="1058" t="s">
        <v>1533</v>
      </c>
      <c r="D97" s="346">
        <f>[4]Reserve!$Q173</f>
        <v>99732.918329999971</v>
      </c>
      <c r="E97" s="430">
        <v>0</v>
      </c>
      <c r="F97" s="430">
        <f t="shared" si="29"/>
        <v>99732.918329999971</v>
      </c>
      <c r="G97" s="466">
        <f t="shared" si="30"/>
        <v>1</v>
      </c>
      <c r="H97" s="466">
        <f t="shared" si="30"/>
        <v>1</v>
      </c>
      <c r="I97" s="430">
        <f t="shared" si="31"/>
        <v>99732.918329999971</v>
      </c>
      <c r="K97" s="346">
        <f>[4]Reserve!$C173</f>
        <v>83004.206858076912</v>
      </c>
      <c r="L97" s="466">
        <f t="shared" si="32"/>
        <v>1</v>
      </c>
      <c r="M97" s="466">
        <f t="shared" si="32"/>
        <v>1</v>
      </c>
      <c r="N97" s="430">
        <f t="shared" si="33"/>
        <v>83004.206858076912</v>
      </c>
    </row>
    <row r="98" spans="1:14">
      <c r="A98" s="1153">
        <f t="shared" si="28"/>
        <v>84</v>
      </c>
      <c r="B98" s="514">
        <v>39202</v>
      </c>
      <c r="C98" s="1058" t="s">
        <v>1534</v>
      </c>
      <c r="D98" s="346">
        <f>[4]Reserve!$Q174</f>
        <v>-2529.39</v>
      </c>
      <c r="E98" s="430">
        <v>0</v>
      </c>
      <c r="F98" s="430">
        <f t="shared" si="29"/>
        <v>-2529.39</v>
      </c>
      <c r="G98" s="466">
        <f t="shared" si="30"/>
        <v>1</v>
      </c>
      <c r="H98" s="466">
        <f t="shared" si="30"/>
        <v>1</v>
      </c>
      <c r="I98" s="430">
        <f t="shared" si="31"/>
        <v>-2529.39</v>
      </c>
      <c r="K98" s="346">
        <f>[4]Reserve!$C174</f>
        <v>-2529.39</v>
      </c>
      <c r="L98" s="466">
        <f t="shared" si="32"/>
        <v>1</v>
      </c>
      <c r="M98" s="466">
        <f t="shared" si="32"/>
        <v>1</v>
      </c>
      <c r="N98" s="430">
        <f t="shared" si="33"/>
        <v>-2529.39</v>
      </c>
    </row>
    <row r="99" spans="1:14">
      <c r="A99" s="1153">
        <f t="shared" si="28"/>
        <v>85</v>
      </c>
      <c r="B99" s="707">
        <v>39400</v>
      </c>
      <c r="C99" s="1058" t="s">
        <v>1535</v>
      </c>
      <c r="D99" s="346">
        <f>[4]Reserve!$Q175</f>
        <v>1125067.9001141903</v>
      </c>
      <c r="E99" s="430">
        <v>0</v>
      </c>
      <c r="F99" s="430">
        <f t="shared" si="29"/>
        <v>1125067.9001141903</v>
      </c>
      <c r="G99" s="466">
        <f t="shared" si="30"/>
        <v>1</v>
      </c>
      <c r="H99" s="466">
        <f t="shared" si="30"/>
        <v>1</v>
      </c>
      <c r="I99" s="430">
        <f t="shared" si="31"/>
        <v>1125067.9001141903</v>
      </c>
      <c r="K99" s="346">
        <f>[4]Reserve!$C175</f>
        <v>1009734.8682471215</v>
      </c>
      <c r="L99" s="466">
        <f t="shared" si="32"/>
        <v>1</v>
      </c>
      <c r="M99" s="466">
        <f t="shared" si="32"/>
        <v>1</v>
      </c>
      <c r="N99" s="430">
        <f t="shared" si="33"/>
        <v>1009734.8682471215</v>
      </c>
    </row>
    <row r="100" spans="1:14">
      <c r="A100" s="1153">
        <f t="shared" si="28"/>
        <v>86</v>
      </c>
      <c r="B100" s="707">
        <v>39603</v>
      </c>
      <c r="C100" s="390" t="s">
        <v>1536</v>
      </c>
      <c r="D100" s="346">
        <f>[4]Reserve!$Q176</f>
        <v>39654.637739999991</v>
      </c>
      <c r="E100" s="430">
        <v>0</v>
      </c>
      <c r="F100" s="430">
        <f t="shared" si="29"/>
        <v>39654.637739999991</v>
      </c>
      <c r="G100" s="466">
        <f t="shared" si="30"/>
        <v>1</v>
      </c>
      <c r="H100" s="466">
        <f t="shared" si="30"/>
        <v>1</v>
      </c>
      <c r="I100" s="430">
        <f t="shared" si="31"/>
        <v>39654.637739999991</v>
      </c>
      <c r="K100" s="346">
        <f>[4]Reserve!$C176</f>
        <v>37157.873150769221</v>
      </c>
      <c r="L100" s="466">
        <f t="shared" si="32"/>
        <v>1</v>
      </c>
      <c r="M100" s="466">
        <f t="shared" si="32"/>
        <v>1</v>
      </c>
      <c r="N100" s="430">
        <f t="shared" si="33"/>
        <v>37157.873150769221</v>
      </c>
    </row>
    <row r="101" spans="1:14">
      <c r="A101" s="1153">
        <f t="shared" si="28"/>
        <v>87</v>
      </c>
      <c r="B101" s="707">
        <v>39604</v>
      </c>
      <c r="C101" s="1058" t="s">
        <v>1537</v>
      </c>
      <c r="D101" s="346">
        <f>[4]Reserve!$Q177</f>
        <v>62817.883901249988</v>
      </c>
      <c r="E101" s="430">
        <v>0</v>
      </c>
      <c r="F101" s="430">
        <f t="shared" si="29"/>
        <v>62817.883901249988</v>
      </c>
      <c r="G101" s="466">
        <f t="shared" si="30"/>
        <v>1</v>
      </c>
      <c r="H101" s="466">
        <f t="shared" si="30"/>
        <v>1</v>
      </c>
      <c r="I101" s="430">
        <f t="shared" si="31"/>
        <v>62817.883901249988</v>
      </c>
      <c r="K101" s="346">
        <f>[4]Reserve!$C177</f>
        <v>58839.865046538456</v>
      </c>
      <c r="L101" s="466">
        <f t="shared" si="32"/>
        <v>1</v>
      </c>
      <c r="M101" s="466">
        <f t="shared" si="32"/>
        <v>1</v>
      </c>
      <c r="N101" s="430">
        <f t="shared" si="33"/>
        <v>58839.865046538456</v>
      </c>
    </row>
    <row r="102" spans="1:14">
      <c r="A102" s="1153">
        <f t="shared" si="28"/>
        <v>88</v>
      </c>
      <c r="B102" s="707">
        <v>39605</v>
      </c>
      <c r="C102" s="1058" t="s">
        <v>1538</v>
      </c>
      <c r="D102" s="346">
        <f>[4]Reserve!$Q178</f>
        <v>19141.220840499998</v>
      </c>
      <c r="E102" s="430">
        <v>0</v>
      </c>
      <c r="F102" s="430">
        <f t="shared" si="29"/>
        <v>19141.220840499998</v>
      </c>
      <c r="G102" s="466">
        <f t="shared" si="30"/>
        <v>1</v>
      </c>
      <c r="H102" s="466">
        <f t="shared" si="30"/>
        <v>1</v>
      </c>
      <c r="I102" s="430">
        <f t="shared" si="31"/>
        <v>19141.220840499998</v>
      </c>
      <c r="K102" s="346">
        <f>[4]Reserve!$C178</f>
        <v>17249.974841673073</v>
      </c>
      <c r="L102" s="466">
        <f t="shared" si="32"/>
        <v>1</v>
      </c>
      <c r="M102" s="466">
        <f t="shared" si="32"/>
        <v>1</v>
      </c>
      <c r="N102" s="430">
        <f t="shared" si="33"/>
        <v>17249.974841673073</v>
      </c>
    </row>
    <row r="103" spans="1:14">
      <c r="A103" s="1153">
        <f t="shared" si="28"/>
        <v>89</v>
      </c>
      <c r="B103" s="707">
        <v>39700</v>
      </c>
      <c r="C103" s="1058" t="s">
        <v>1539</v>
      </c>
      <c r="D103" s="346">
        <f>[4]Reserve!$Q179</f>
        <v>242784.42595249997</v>
      </c>
      <c r="E103" s="430">
        <v>0</v>
      </c>
      <c r="F103" s="430">
        <f t="shared" si="29"/>
        <v>242784.42595249997</v>
      </c>
      <c r="G103" s="466">
        <f t="shared" ref="G103:H116" si="34">$G$16</f>
        <v>1</v>
      </c>
      <c r="H103" s="466">
        <f t="shared" si="34"/>
        <v>1</v>
      </c>
      <c r="I103" s="430">
        <f t="shared" si="31"/>
        <v>242784.42595249997</v>
      </c>
      <c r="K103" s="346">
        <f>[4]Reserve!$C179</f>
        <v>222773.73967951923</v>
      </c>
      <c r="L103" s="466">
        <f t="shared" ref="L103:M116" si="35">$G$16</f>
        <v>1</v>
      </c>
      <c r="M103" s="466">
        <f t="shared" si="35"/>
        <v>1</v>
      </c>
      <c r="N103" s="430">
        <f t="shared" si="33"/>
        <v>222773.73967951923</v>
      </c>
    </row>
    <row r="104" spans="1:14">
      <c r="A104" s="1153">
        <f t="shared" si="28"/>
        <v>90</v>
      </c>
      <c r="B104" s="707">
        <v>39701</v>
      </c>
      <c r="C104" s="1058" t="s">
        <v>1499</v>
      </c>
      <c r="D104" s="346">
        <f>[4]Reserve!$Q180</f>
        <v>0</v>
      </c>
      <c r="E104" s="430">
        <v>0</v>
      </c>
      <c r="F104" s="430">
        <f t="shared" si="29"/>
        <v>0</v>
      </c>
      <c r="G104" s="466">
        <f t="shared" si="34"/>
        <v>1</v>
      </c>
      <c r="H104" s="466">
        <f t="shared" si="34"/>
        <v>1</v>
      </c>
      <c r="I104" s="430">
        <f t="shared" si="31"/>
        <v>0</v>
      </c>
      <c r="K104" s="346">
        <f>[4]Reserve!$C180</f>
        <v>0</v>
      </c>
      <c r="L104" s="466">
        <f t="shared" si="35"/>
        <v>1</v>
      </c>
      <c r="M104" s="466">
        <f t="shared" si="35"/>
        <v>1</v>
      </c>
      <c r="N104" s="430">
        <f t="shared" si="33"/>
        <v>0</v>
      </c>
    </row>
    <row r="105" spans="1:14">
      <c r="A105" s="1153">
        <f t="shared" si="28"/>
        <v>91</v>
      </c>
      <c r="B105" s="707">
        <v>39702</v>
      </c>
      <c r="C105" s="1058" t="s">
        <v>1499</v>
      </c>
      <c r="D105" s="346">
        <f>[4]Reserve!$Q181</f>
        <v>0</v>
      </c>
      <c r="E105" s="430">
        <v>0</v>
      </c>
      <c r="F105" s="430">
        <f t="shared" si="29"/>
        <v>0</v>
      </c>
      <c r="G105" s="466">
        <f t="shared" si="34"/>
        <v>1</v>
      </c>
      <c r="H105" s="466">
        <f t="shared" si="34"/>
        <v>1</v>
      </c>
      <c r="I105" s="430">
        <f t="shared" si="31"/>
        <v>0</v>
      </c>
      <c r="K105" s="346">
        <f>[4]Reserve!$C181</f>
        <v>0</v>
      </c>
      <c r="L105" s="466">
        <f t="shared" si="35"/>
        <v>1</v>
      </c>
      <c r="M105" s="466">
        <f t="shared" si="35"/>
        <v>1</v>
      </c>
      <c r="N105" s="430">
        <f t="shared" si="33"/>
        <v>0</v>
      </c>
    </row>
    <row r="106" spans="1:14">
      <c r="A106" s="1153">
        <f t="shared" si="28"/>
        <v>92</v>
      </c>
      <c r="B106" s="707">
        <v>39705</v>
      </c>
      <c r="C106" s="1058" t="s">
        <v>1540</v>
      </c>
      <c r="D106" s="346">
        <f>[4]Reserve!$Q182</f>
        <v>0</v>
      </c>
      <c r="E106" s="430">
        <v>0</v>
      </c>
      <c r="F106" s="430">
        <f t="shared" si="29"/>
        <v>0</v>
      </c>
      <c r="G106" s="466">
        <f t="shared" si="34"/>
        <v>1</v>
      </c>
      <c r="H106" s="466">
        <f t="shared" si="34"/>
        <v>1</v>
      </c>
      <c r="I106" s="430">
        <f t="shared" si="31"/>
        <v>0</v>
      </c>
      <c r="K106" s="346">
        <f>[4]Reserve!$C182</f>
        <v>0</v>
      </c>
      <c r="L106" s="466">
        <f t="shared" si="35"/>
        <v>1</v>
      </c>
      <c r="M106" s="466">
        <f t="shared" si="35"/>
        <v>1</v>
      </c>
      <c r="N106" s="430">
        <f t="shared" si="33"/>
        <v>0</v>
      </c>
    </row>
    <row r="107" spans="1:14">
      <c r="A107" s="1153">
        <f t="shared" si="28"/>
        <v>93</v>
      </c>
      <c r="B107" s="707">
        <v>39800</v>
      </c>
      <c r="C107" s="1058" t="s">
        <v>1541</v>
      </c>
      <c r="D107" s="346">
        <f>[4]Reserve!$Q183</f>
        <v>1926941.6572500004</v>
      </c>
      <c r="E107" s="430">
        <v>0</v>
      </c>
      <c r="F107" s="430">
        <f t="shared" si="29"/>
        <v>1926941.6572500004</v>
      </c>
      <c r="G107" s="466">
        <f t="shared" si="34"/>
        <v>1</v>
      </c>
      <c r="H107" s="466">
        <f t="shared" si="34"/>
        <v>1</v>
      </c>
      <c r="I107" s="430">
        <f t="shared" si="31"/>
        <v>1926941.6572500004</v>
      </c>
      <c r="K107" s="346">
        <f>[4]Reserve!$C183</f>
        <v>1805130.5538750004</v>
      </c>
      <c r="L107" s="466">
        <f t="shared" si="35"/>
        <v>1</v>
      </c>
      <c r="M107" s="466">
        <f t="shared" si="35"/>
        <v>1</v>
      </c>
      <c r="N107" s="430">
        <f t="shared" si="33"/>
        <v>1805130.5538750004</v>
      </c>
    </row>
    <row r="108" spans="1:14">
      <c r="A108" s="1153">
        <f t="shared" si="28"/>
        <v>94</v>
      </c>
      <c r="B108" s="707">
        <v>39901</v>
      </c>
      <c r="C108" s="1058" t="s">
        <v>1500</v>
      </c>
      <c r="D108" s="346">
        <f>[4]Reserve!$Q184</f>
        <v>5282.297999999998</v>
      </c>
      <c r="E108" s="430">
        <v>0</v>
      </c>
      <c r="F108" s="430">
        <f t="shared" si="29"/>
        <v>5282.297999999998</v>
      </c>
      <c r="G108" s="466">
        <f t="shared" si="34"/>
        <v>1</v>
      </c>
      <c r="H108" s="466">
        <f t="shared" si="34"/>
        <v>1</v>
      </c>
      <c r="I108" s="430">
        <f t="shared" si="31"/>
        <v>5282.297999999998</v>
      </c>
      <c r="K108" s="346">
        <f>[4]Reserve!$C184</f>
        <v>4530.7844615384602</v>
      </c>
      <c r="L108" s="466">
        <f t="shared" si="35"/>
        <v>1</v>
      </c>
      <c r="M108" s="466">
        <f t="shared" si="35"/>
        <v>1</v>
      </c>
      <c r="N108" s="430">
        <f t="shared" si="33"/>
        <v>4530.7844615384602</v>
      </c>
    </row>
    <row r="109" spans="1:14">
      <c r="A109" s="1153">
        <f t="shared" si="28"/>
        <v>95</v>
      </c>
      <c r="B109" s="707">
        <v>39902</v>
      </c>
      <c r="C109" s="1058" t="s">
        <v>1501</v>
      </c>
      <c r="D109" s="346">
        <f>[4]Reserve!$Q185</f>
        <v>0</v>
      </c>
      <c r="E109" s="430">
        <v>0</v>
      </c>
      <c r="F109" s="430">
        <f t="shared" si="29"/>
        <v>0</v>
      </c>
      <c r="G109" s="466">
        <f t="shared" si="34"/>
        <v>1</v>
      </c>
      <c r="H109" s="466">
        <f t="shared" si="34"/>
        <v>1</v>
      </c>
      <c r="I109" s="430">
        <f t="shared" si="31"/>
        <v>0</v>
      </c>
      <c r="K109" s="346">
        <f>[4]Reserve!$C185</f>
        <v>0</v>
      </c>
      <c r="L109" s="466">
        <f t="shared" si="35"/>
        <v>1</v>
      </c>
      <c r="M109" s="466">
        <f t="shared" si="35"/>
        <v>1</v>
      </c>
      <c r="N109" s="430">
        <f t="shared" si="33"/>
        <v>0</v>
      </c>
    </row>
    <row r="110" spans="1:14">
      <c r="A110" s="1153">
        <f t="shared" si="28"/>
        <v>96</v>
      </c>
      <c r="B110" s="707">
        <v>39903</v>
      </c>
      <c r="C110" s="1058" t="s">
        <v>1542</v>
      </c>
      <c r="D110" s="346">
        <f>[4]Reserve!$Q186</f>
        <v>54549.582999999977</v>
      </c>
      <c r="E110" s="430">
        <v>0</v>
      </c>
      <c r="F110" s="430">
        <f t="shared" si="29"/>
        <v>54549.582999999977</v>
      </c>
      <c r="G110" s="466">
        <f t="shared" si="34"/>
        <v>1</v>
      </c>
      <c r="H110" s="466">
        <f t="shared" si="34"/>
        <v>1</v>
      </c>
      <c r="I110" s="430">
        <f t="shared" si="31"/>
        <v>54549.582999999977</v>
      </c>
      <c r="K110" s="346">
        <f>[4]Reserve!$C186</f>
        <v>47468.61234615383</v>
      </c>
      <c r="L110" s="466">
        <f t="shared" si="35"/>
        <v>1</v>
      </c>
      <c r="M110" s="466">
        <f t="shared" si="35"/>
        <v>1</v>
      </c>
      <c r="N110" s="430">
        <f t="shared" si="33"/>
        <v>47468.61234615383</v>
      </c>
    </row>
    <row r="111" spans="1:14">
      <c r="A111" s="1153">
        <f t="shared" si="28"/>
        <v>97</v>
      </c>
      <c r="B111" s="707">
        <v>39906</v>
      </c>
      <c r="C111" s="1058" t="s">
        <v>1543</v>
      </c>
      <c r="D111" s="346">
        <f>[4]Reserve!$Q187</f>
        <v>355562.19814712851</v>
      </c>
      <c r="E111" s="430">
        <v>0</v>
      </c>
      <c r="F111" s="430">
        <f t="shared" si="29"/>
        <v>355562.19814712851</v>
      </c>
      <c r="G111" s="466">
        <f t="shared" si="34"/>
        <v>1</v>
      </c>
      <c r="H111" s="466">
        <f t="shared" si="34"/>
        <v>1</v>
      </c>
      <c r="I111" s="430">
        <f t="shared" si="31"/>
        <v>355562.19814712851</v>
      </c>
      <c r="K111" s="346">
        <f>[4]Reserve!$C187</f>
        <v>487081.04667750426</v>
      </c>
      <c r="L111" s="466">
        <f t="shared" si="35"/>
        <v>1</v>
      </c>
      <c r="M111" s="466">
        <f t="shared" si="35"/>
        <v>1</v>
      </c>
      <c r="N111" s="430">
        <f t="shared" si="33"/>
        <v>487081.04667750426</v>
      </c>
    </row>
    <row r="112" spans="1:14">
      <c r="A112" s="1153">
        <f t="shared" si="28"/>
        <v>98</v>
      </c>
      <c r="B112" s="707">
        <v>39907</v>
      </c>
      <c r="C112" s="1058" t="s">
        <v>1544</v>
      </c>
      <c r="D112" s="346">
        <f>[4]Reserve!$Q188</f>
        <v>0</v>
      </c>
      <c r="E112" s="430">
        <v>0</v>
      </c>
      <c r="F112" s="430">
        <f t="shared" si="29"/>
        <v>0</v>
      </c>
      <c r="G112" s="466">
        <f t="shared" si="34"/>
        <v>1</v>
      </c>
      <c r="H112" s="466">
        <f t="shared" si="34"/>
        <v>1</v>
      </c>
      <c r="I112" s="430">
        <f t="shared" si="31"/>
        <v>0</v>
      </c>
      <c r="K112" s="346">
        <f>[4]Reserve!$C188</f>
        <v>0</v>
      </c>
      <c r="L112" s="466">
        <f t="shared" si="35"/>
        <v>1</v>
      </c>
      <c r="M112" s="466">
        <f t="shared" si="35"/>
        <v>1</v>
      </c>
      <c r="N112" s="430">
        <f t="shared" si="33"/>
        <v>0</v>
      </c>
    </row>
    <row r="113" spans="1:19">
      <c r="A113" s="1153">
        <f t="shared" si="28"/>
        <v>99</v>
      </c>
      <c r="B113" s="707">
        <v>39908</v>
      </c>
      <c r="C113" s="1058" t="s">
        <v>1545</v>
      </c>
      <c r="D113" s="346">
        <f>[4]Reserve!$Q189</f>
        <v>110712.2595805</v>
      </c>
      <c r="E113" s="430">
        <v>0</v>
      </c>
      <c r="F113" s="430">
        <f t="shared" si="29"/>
        <v>110712.2595805</v>
      </c>
      <c r="G113" s="466">
        <f t="shared" si="34"/>
        <v>1</v>
      </c>
      <c r="H113" s="466">
        <f t="shared" si="34"/>
        <v>1</v>
      </c>
      <c r="I113" s="430">
        <f t="shared" si="31"/>
        <v>110712.2595805</v>
      </c>
      <c r="K113" s="346">
        <f>[4]Reserve!$C189</f>
        <v>108890.54757936539</v>
      </c>
      <c r="L113" s="466">
        <f t="shared" si="35"/>
        <v>1</v>
      </c>
      <c r="M113" s="466">
        <f t="shared" si="35"/>
        <v>1</v>
      </c>
      <c r="N113" s="430">
        <f t="shared" si="33"/>
        <v>108890.54757936539</v>
      </c>
    </row>
    <row r="114" spans="1:19">
      <c r="A114" s="1153">
        <f t="shared" si="28"/>
        <v>100</v>
      </c>
      <c r="B114" s="707"/>
      <c r="C114" s="88" t="s">
        <v>1143</v>
      </c>
      <c r="D114" s="346">
        <f>[4]Reserve!$Q190</f>
        <v>-6374709.4599999981</v>
      </c>
      <c r="E114" s="430">
        <v>0</v>
      </c>
      <c r="F114" s="430">
        <f t="shared" si="29"/>
        <v>-6374709.4599999981</v>
      </c>
      <c r="G114" s="466">
        <f t="shared" si="34"/>
        <v>1</v>
      </c>
      <c r="H114" s="466">
        <f t="shared" si="34"/>
        <v>1</v>
      </c>
      <c r="I114" s="430">
        <f t="shared" si="31"/>
        <v>-6374709.4599999981</v>
      </c>
      <c r="K114" s="346">
        <f>[4]Reserve!$C190</f>
        <v>-5933440.2569230748</v>
      </c>
      <c r="L114" s="466">
        <f t="shared" si="35"/>
        <v>1</v>
      </c>
      <c r="M114" s="466">
        <f t="shared" si="35"/>
        <v>1</v>
      </c>
      <c r="N114" s="430">
        <f t="shared" si="33"/>
        <v>-5933440.2569230748</v>
      </c>
    </row>
    <row r="115" spans="1:19">
      <c r="A115" s="1153">
        <f t="shared" si="28"/>
        <v>101</v>
      </c>
      <c r="B115" s="707"/>
      <c r="C115" s="88" t="s">
        <v>1403</v>
      </c>
      <c r="D115" s="346">
        <f>[4]Reserve!$Q191</f>
        <v>0</v>
      </c>
      <c r="E115" s="430">
        <v>0</v>
      </c>
      <c r="F115" s="430">
        <f t="shared" si="29"/>
        <v>0</v>
      </c>
      <c r="G115" s="466">
        <f t="shared" si="34"/>
        <v>1</v>
      </c>
      <c r="H115" s="466">
        <f t="shared" si="34"/>
        <v>1</v>
      </c>
      <c r="I115" s="430">
        <f t="shared" si="31"/>
        <v>0</v>
      </c>
      <c r="K115" s="346">
        <f>[4]Reserve!$C191</f>
        <v>0</v>
      </c>
      <c r="L115" s="466">
        <f t="shared" si="35"/>
        <v>1</v>
      </c>
      <c r="M115" s="466">
        <f t="shared" si="35"/>
        <v>1</v>
      </c>
      <c r="N115" s="430">
        <f t="shared" ref="N115" si="36">K115*L115*M115</f>
        <v>0</v>
      </c>
    </row>
    <row r="116" spans="1:19">
      <c r="A116" s="1153">
        <f t="shared" si="28"/>
        <v>102</v>
      </c>
      <c r="B116" s="707"/>
      <c r="C116" s="88" t="s">
        <v>1258</v>
      </c>
      <c r="D116" s="346">
        <f>[4]Reserve!$Q192</f>
        <v>0</v>
      </c>
      <c r="E116" s="430">
        <v>0</v>
      </c>
      <c r="F116" s="430">
        <f t="shared" ref="F116" si="37">D116-E116</f>
        <v>0</v>
      </c>
      <c r="G116" s="466">
        <f t="shared" si="34"/>
        <v>1</v>
      </c>
      <c r="H116" s="466">
        <f t="shared" si="34"/>
        <v>1</v>
      </c>
      <c r="I116" s="430">
        <f t="shared" ref="I116" si="38">F116*G116*H116</f>
        <v>0</v>
      </c>
      <c r="K116" s="346">
        <f>[4]Reserve!$C192</f>
        <v>0</v>
      </c>
      <c r="L116" s="466">
        <f t="shared" si="35"/>
        <v>1</v>
      </c>
      <c r="M116" s="466">
        <f t="shared" si="35"/>
        <v>1</v>
      </c>
      <c r="N116" s="430">
        <f t="shared" ref="N116" si="39">K116*L116*M116</f>
        <v>0</v>
      </c>
      <c r="P116" s="691"/>
    </row>
    <row r="117" spans="1:19">
      <c r="A117" s="1153">
        <f t="shared" si="28"/>
        <v>103</v>
      </c>
      <c r="B117" s="707"/>
      <c r="C117" s="88"/>
      <c r="D117" s="1057"/>
      <c r="E117" s="430"/>
      <c r="F117" s="1057"/>
      <c r="G117" s="466"/>
      <c r="H117" s="466"/>
      <c r="I117" s="1057"/>
      <c r="K117" s="1057"/>
      <c r="L117" s="466"/>
      <c r="M117" s="466"/>
      <c r="N117" s="1057"/>
    </row>
    <row r="118" spans="1:19">
      <c r="A118" s="1153">
        <f t="shared" si="28"/>
        <v>104</v>
      </c>
      <c r="B118" s="390"/>
      <c r="C118" s="88" t="s">
        <v>1381</v>
      </c>
      <c r="D118" s="346">
        <f>SUM(D89:D117)</f>
        <v>1424711.9098353647</v>
      </c>
      <c r="E118" s="346">
        <f>SUM(E89:E117)</f>
        <v>0</v>
      </c>
      <c r="F118" s="346">
        <f>SUM(F89:F117)</f>
        <v>1424711.9098353647</v>
      </c>
      <c r="I118" s="346">
        <f>SUM(I89:I117)</f>
        <v>1424711.9098353647</v>
      </c>
      <c r="K118" s="346">
        <f>SUM(K89:K117)</f>
        <v>1424347.1451458139</v>
      </c>
      <c r="N118" s="346">
        <f>SUM(N89:N117)</f>
        <v>1424347.1451458139</v>
      </c>
    </row>
    <row r="119" spans="1:19">
      <c r="A119" s="1153">
        <f t="shared" si="28"/>
        <v>105</v>
      </c>
      <c r="B119" s="390"/>
      <c r="C119" s="88"/>
      <c r="D119" s="430"/>
      <c r="E119" s="430"/>
      <c r="F119" s="430"/>
      <c r="I119" s="430"/>
      <c r="K119" s="430"/>
      <c r="N119" s="430"/>
    </row>
    <row r="120" spans="1:19">
      <c r="A120" s="1153">
        <f t="shared" si="28"/>
        <v>106</v>
      </c>
      <c r="B120" s="390"/>
      <c r="C120" s="233" t="s">
        <v>1324</v>
      </c>
      <c r="D120" s="346">
        <f>D118+D86+D60+D47+D26+D19</f>
        <v>177465160.10427526</v>
      </c>
      <c r="E120" s="346">
        <f>E118+E86+E60+E47+E26+E19</f>
        <v>0</v>
      </c>
      <c r="F120" s="346">
        <f>F118+F86+F60+F47+F26+F19</f>
        <v>177465160.10427526</v>
      </c>
      <c r="I120" s="346">
        <f>I118+I86+I60+I47+I26+I19</f>
        <v>177465160.10427526</v>
      </c>
      <c r="K120" s="346">
        <f>K118+K86+K60+K47+K26+K19</f>
        <v>175011395.92543331</v>
      </c>
      <c r="N120" s="346">
        <f>N118+N86+N60+N47+N26+N19</f>
        <v>175011395.92543331</v>
      </c>
      <c r="S120" s="691"/>
    </row>
    <row r="121" spans="1:19">
      <c r="A121" s="1153">
        <f t="shared" si="28"/>
        <v>107</v>
      </c>
      <c r="B121" s="1039"/>
      <c r="D121" s="430"/>
    </row>
    <row r="122" spans="1:19" ht="15.75">
      <c r="A122" s="1153">
        <f t="shared" si="28"/>
        <v>108</v>
      </c>
      <c r="B122" s="1044" t="s">
        <v>7</v>
      </c>
      <c r="D122" s="430"/>
    </row>
    <row r="123" spans="1:19">
      <c r="A123" s="1153">
        <f t="shared" si="28"/>
        <v>109</v>
      </c>
      <c r="B123" s="1039"/>
      <c r="D123" s="430"/>
    </row>
    <row r="124" spans="1:19">
      <c r="A124" s="1153">
        <f t="shared" si="28"/>
        <v>110</v>
      </c>
      <c r="B124" s="390"/>
      <c r="C124" s="620" t="s">
        <v>297</v>
      </c>
      <c r="D124" s="430"/>
    </row>
    <row r="125" spans="1:19">
      <c r="A125" s="1153">
        <f t="shared" si="28"/>
        <v>111</v>
      </c>
      <c r="B125" s="514">
        <v>30100</v>
      </c>
      <c r="C125" s="88" t="s">
        <v>291</v>
      </c>
      <c r="D125" s="346">
        <f>[4]Reserve!$Q84</f>
        <v>0</v>
      </c>
      <c r="E125" s="346">
        <v>0</v>
      </c>
      <c r="F125" s="346">
        <f>D125+E125</f>
        <v>0</v>
      </c>
      <c r="G125" s="466">
        <f>$G$16</f>
        <v>1</v>
      </c>
      <c r="H125" s="467">
        <f>Allocation!$H$17</f>
        <v>0.49780000000000002</v>
      </c>
      <c r="I125" s="346">
        <f>F125*G125*H125</f>
        <v>0</v>
      </c>
      <c r="K125" s="346">
        <f>[4]Reserve!$C84</f>
        <v>0</v>
      </c>
      <c r="L125" s="466">
        <f t="shared" ref="L125:M126" si="40">G125</f>
        <v>1</v>
      </c>
      <c r="M125" s="467">
        <f t="shared" si="40"/>
        <v>0.49780000000000002</v>
      </c>
      <c r="N125" s="346">
        <f>K125*L125*M125</f>
        <v>0</v>
      </c>
    </row>
    <row r="126" spans="1:19">
      <c r="A126" s="1153">
        <f t="shared" si="28"/>
        <v>112</v>
      </c>
      <c r="B126" s="514">
        <v>30300</v>
      </c>
      <c r="C126" s="88" t="s">
        <v>542</v>
      </c>
      <c r="D126" s="346">
        <f>[4]Reserve!$Q85</f>
        <v>0</v>
      </c>
      <c r="E126" s="381">
        <v>0</v>
      </c>
      <c r="F126" s="381">
        <f>D126+E126</f>
        <v>0</v>
      </c>
      <c r="G126" s="466">
        <f>$G$16</f>
        <v>1</v>
      </c>
      <c r="H126" s="467">
        <f>$H$125</f>
        <v>0.49780000000000002</v>
      </c>
      <c r="I126" s="1043">
        <f>F126*G126*H126</f>
        <v>0</v>
      </c>
      <c r="K126" s="346">
        <f>[4]Reserve!$C85</f>
        <v>0</v>
      </c>
      <c r="L126" s="466">
        <f t="shared" si="40"/>
        <v>1</v>
      </c>
      <c r="M126" s="467">
        <f t="shared" si="40"/>
        <v>0.49780000000000002</v>
      </c>
      <c r="N126" s="1043">
        <f>K126*L126*M126</f>
        <v>0</v>
      </c>
    </row>
    <row r="127" spans="1:19">
      <c r="A127" s="1153">
        <f t="shared" si="28"/>
        <v>113</v>
      </c>
      <c r="B127" s="514"/>
      <c r="C127" s="88"/>
      <c r="D127" s="619"/>
      <c r="E127" s="619"/>
      <c r="F127" s="619"/>
    </row>
    <row r="128" spans="1:19">
      <c r="A128" s="1153">
        <f t="shared" si="28"/>
        <v>114</v>
      </c>
      <c r="B128" s="707"/>
      <c r="C128" s="88" t="s">
        <v>298</v>
      </c>
      <c r="D128" s="346">
        <f>SUM(D125:D127)</f>
        <v>0</v>
      </c>
      <c r="E128" s="346">
        <f>SUM(E125:E127)</f>
        <v>0</v>
      </c>
      <c r="F128" s="346">
        <f>SUM(F125:F127)</f>
        <v>0</v>
      </c>
      <c r="G128" s="466"/>
      <c r="H128" s="466"/>
      <c r="I128" s="346">
        <f>SUM(I125:I127)</f>
        <v>0</v>
      </c>
      <c r="K128" s="346">
        <f>SUM(K125:K127)</f>
        <v>0</v>
      </c>
      <c r="N128" s="346">
        <f>SUM(N125:N127)</f>
        <v>0</v>
      </c>
    </row>
    <row r="129" spans="1:14">
      <c r="A129" s="1153">
        <f t="shared" si="28"/>
        <v>115</v>
      </c>
      <c r="B129" s="1059"/>
    </row>
    <row r="130" spans="1:14">
      <c r="A130" s="1153">
        <f t="shared" si="28"/>
        <v>116</v>
      </c>
      <c r="B130" s="707"/>
      <c r="C130" s="620" t="s">
        <v>299</v>
      </c>
    </row>
    <row r="131" spans="1:14">
      <c r="A131" s="1153">
        <f t="shared" si="28"/>
        <v>117</v>
      </c>
      <c r="B131" s="514">
        <v>37400</v>
      </c>
      <c r="C131" s="88" t="s">
        <v>1147</v>
      </c>
      <c r="D131" s="346">
        <v>0</v>
      </c>
      <c r="E131" s="346">
        <v>0</v>
      </c>
      <c r="F131" s="346">
        <f t="shared" ref="F131:F151" si="41">D131+E131</f>
        <v>0</v>
      </c>
      <c r="G131" s="466">
        <f t="shared" ref="G131:G151" si="42">$G$16</f>
        <v>1</v>
      </c>
      <c r="H131" s="467">
        <f t="shared" ref="H131:H151" si="43">$H$125</f>
        <v>0.49780000000000002</v>
      </c>
      <c r="I131" s="346">
        <f t="shared" ref="I131:I151" si="44">F131*G131*H131</f>
        <v>0</v>
      </c>
      <c r="K131" s="346">
        <v>0</v>
      </c>
      <c r="L131" s="466">
        <f t="shared" ref="L131:L151" si="45">G131</f>
        <v>1</v>
      </c>
      <c r="M131" s="467">
        <f t="shared" ref="M131:M151" si="46">H131</f>
        <v>0.49780000000000002</v>
      </c>
      <c r="N131" s="346">
        <f t="shared" ref="N131:N151" si="47">K131*L131*M131</f>
        <v>0</v>
      </c>
    </row>
    <row r="132" spans="1:14">
      <c r="A132" s="1153">
        <f t="shared" si="28"/>
        <v>118</v>
      </c>
      <c r="B132" s="514">
        <v>35010</v>
      </c>
      <c r="C132" s="88" t="s">
        <v>292</v>
      </c>
      <c r="D132" s="430">
        <v>0</v>
      </c>
      <c r="E132" s="430">
        <v>0</v>
      </c>
      <c r="F132" s="430">
        <f t="shared" si="41"/>
        <v>0</v>
      </c>
      <c r="G132" s="466">
        <f t="shared" si="42"/>
        <v>1</v>
      </c>
      <c r="H132" s="467">
        <f t="shared" si="43"/>
        <v>0.49780000000000002</v>
      </c>
      <c r="I132" s="430">
        <f t="shared" si="44"/>
        <v>0</v>
      </c>
      <c r="K132" s="430">
        <v>0</v>
      </c>
      <c r="L132" s="466">
        <f t="shared" si="45"/>
        <v>1</v>
      </c>
      <c r="M132" s="467">
        <f t="shared" si="46"/>
        <v>0.49780000000000002</v>
      </c>
      <c r="N132" s="430">
        <f t="shared" si="47"/>
        <v>0</v>
      </c>
    </row>
    <row r="133" spans="1:14">
      <c r="A133" s="1153">
        <f t="shared" si="28"/>
        <v>119</v>
      </c>
      <c r="B133" s="514">
        <v>37402</v>
      </c>
      <c r="C133" s="88" t="s">
        <v>999</v>
      </c>
      <c r="D133" s="430">
        <v>0</v>
      </c>
      <c r="E133" s="430">
        <v>0</v>
      </c>
      <c r="F133" s="430">
        <f t="shared" si="41"/>
        <v>0</v>
      </c>
      <c r="G133" s="466">
        <f t="shared" si="42"/>
        <v>1</v>
      </c>
      <c r="H133" s="467">
        <f t="shared" si="43"/>
        <v>0.49780000000000002</v>
      </c>
      <c r="I133" s="430">
        <f t="shared" si="44"/>
        <v>0</v>
      </c>
      <c r="K133" s="430">
        <v>0</v>
      </c>
      <c r="L133" s="466">
        <f t="shared" si="45"/>
        <v>1</v>
      </c>
      <c r="M133" s="467">
        <f t="shared" si="46"/>
        <v>0.49780000000000002</v>
      </c>
      <c r="N133" s="430">
        <f t="shared" si="47"/>
        <v>0</v>
      </c>
    </row>
    <row r="134" spans="1:14">
      <c r="A134" s="1153">
        <f t="shared" si="28"/>
        <v>120</v>
      </c>
      <c r="B134" s="514">
        <v>37403</v>
      </c>
      <c r="C134" s="88" t="s">
        <v>996</v>
      </c>
      <c r="D134" s="430">
        <v>0</v>
      </c>
      <c r="E134" s="430">
        <v>0</v>
      </c>
      <c r="F134" s="430">
        <f t="shared" si="41"/>
        <v>0</v>
      </c>
      <c r="G134" s="466">
        <f t="shared" si="42"/>
        <v>1</v>
      </c>
      <c r="H134" s="467">
        <f t="shared" si="43"/>
        <v>0.49780000000000002</v>
      </c>
      <c r="I134" s="430">
        <f t="shared" si="44"/>
        <v>0</v>
      </c>
      <c r="K134" s="430">
        <v>0</v>
      </c>
      <c r="L134" s="466">
        <f t="shared" si="45"/>
        <v>1</v>
      </c>
      <c r="M134" s="467">
        <f t="shared" si="46"/>
        <v>0.49780000000000002</v>
      </c>
      <c r="N134" s="430">
        <f t="shared" si="47"/>
        <v>0</v>
      </c>
    </row>
    <row r="135" spans="1:14">
      <c r="A135" s="1153">
        <f t="shared" si="28"/>
        <v>121</v>
      </c>
      <c r="B135" s="514">
        <v>36602</v>
      </c>
      <c r="C135" s="88" t="s">
        <v>856</v>
      </c>
      <c r="D135" s="430">
        <v>0</v>
      </c>
      <c r="E135" s="430">
        <v>0</v>
      </c>
      <c r="F135" s="430">
        <f t="shared" si="41"/>
        <v>0</v>
      </c>
      <c r="G135" s="466">
        <f t="shared" si="42"/>
        <v>1</v>
      </c>
      <c r="H135" s="467">
        <f t="shared" si="43"/>
        <v>0.49780000000000002</v>
      </c>
      <c r="I135" s="430">
        <f t="shared" si="44"/>
        <v>0</v>
      </c>
      <c r="K135" s="430">
        <v>0</v>
      </c>
      <c r="L135" s="466">
        <f t="shared" si="45"/>
        <v>1</v>
      </c>
      <c r="M135" s="467">
        <f t="shared" si="46"/>
        <v>0.49780000000000002</v>
      </c>
      <c r="N135" s="430">
        <f t="shared" si="47"/>
        <v>0</v>
      </c>
    </row>
    <row r="136" spans="1:14">
      <c r="A136" s="1153">
        <f t="shared" si="28"/>
        <v>122</v>
      </c>
      <c r="B136" s="514">
        <v>37501</v>
      </c>
      <c r="C136" s="88" t="s">
        <v>997</v>
      </c>
      <c r="D136" s="430">
        <v>0</v>
      </c>
      <c r="E136" s="430">
        <v>0</v>
      </c>
      <c r="F136" s="430">
        <f t="shared" si="41"/>
        <v>0</v>
      </c>
      <c r="G136" s="466">
        <f t="shared" si="42"/>
        <v>1</v>
      </c>
      <c r="H136" s="467">
        <f t="shared" si="43"/>
        <v>0.49780000000000002</v>
      </c>
      <c r="I136" s="430">
        <f t="shared" si="44"/>
        <v>0</v>
      </c>
      <c r="K136" s="430">
        <v>0</v>
      </c>
      <c r="L136" s="466">
        <f t="shared" si="45"/>
        <v>1</v>
      </c>
      <c r="M136" s="467">
        <f t="shared" si="46"/>
        <v>0.49780000000000002</v>
      </c>
      <c r="N136" s="430">
        <f t="shared" si="47"/>
        <v>0</v>
      </c>
    </row>
    <row r="137" spans="1:14">
      <c r="A137" s="1153">
        <f t="shared" si="28"/>
        <v>123</v>
      </c>
      <c r="B137" s="514">
        <v>37402</v>
      </c>
      <c r="C137" s="88" t="s">
        <v>999</v>
      </c>
      <c r="D137" s="430">
        <v>0</v>
      </c>
      <c r="E137" s="430">
        <v>0</v>
      </c>
      <c r="F137" s="430">
        <f t="shared" si="41"/>
        <v>0</v>
      </c>
      <c r="G137" s="466">
        <f t="shared" si="42"/>
        <v>1</v>
      </c>
      <c r="H137" s="467">
        <f t="shared" si="43"/>
        <v>0.49780000000000002</v>
      </c>
      <c r="I137" s="430">
        <f t="shared" si="44"/>
        <v>0</v>
      </c>
      <c r="K137" s="430">
        <v>0</v>
      </c>
      <c r="L137" s="466">
        <f t="shared" si="45"/>
        <v>1</v>
      </c>
      <c r="M137" s="467">
        <f t="shared" si="46"/>
        <v>0.49780000000000002</v>
      </c>
      <c r="N137" s="430">
        <f t="shared" si="47"/>
        <v>0</v>
      </c>
    </row>
    <row r="138" spans="1:14">
      <c r="A138" s="1153">
        <f t="shared" si="28"/>
        <v>124</v>
      </c>
      <c r="B138" s="514">
        <v>37503</v>
      </c>
      <c r="C138" s="88" t="s">
        <v>998</v>
      </c>
      <c r="D138" s="430">
        <v>0</v>
      </c>
      <c r="E138" s="430">
        <v>0</v>
      </c>
      <c r="F138" s="430">
        <f t="shared" si="41"/>
        <v>0</v>
      </c>
      <c r="G138" s="466">
        <f t="shared" si="42"/>
        <v>1</v>
      </c>
      <c r="H138" s="467">
        <f t="shared" si="43"/>
        <v>0.49780000000000002</v>
      </c>
      <c r="I138" s="430">
        <f t="shared" si="44"/>
        <v>0</v>
      </c>
      <c r="K138" s="430">
        <v>0</v>
      </c>
      <c r="L138" s="466">
        <f t="shared" si="45"/>
        <v>1</v>
      </c>
      <c r="M138" s="467">
        <f t="shared" si="46"/>
        <v>0.49780000000000002</v>
      </c>
      <c r="N138" s="430">
        <f t="shared" si="47"/>
        <v>0</v>
      </c>
    </row>
    <row r="139" spans="1:14">
      <c r="A139" s="1153">
        <f t="shared" si="28"/>
        <v>125</v>
      </c>
      <c r="B139" s="514">
        <v>36700</v>
      </c>
      <c r="C139" s="88" t="s">
        <v>844</v>
      </c>
      <c r="D139" s="430">
        <v>0</v>
      </c>
      <c r="E139" s="430">
        <v>0</v>
      </c>
      <c r="F139" s="430">
        <f t="shared" si="41"/>
        <v>0</v>
      </c>
      <c r="G139" s="466">
        <f t="shared" si="42"/>
        <v>1</v>
      </c>
      <c r="H139" s="467">
        <f t="shared" si="43"/>
        <v>0.49780000000000002</v>
      </c>
      <c r="I139" s="430">
        <f t="shared" si="44"/>
        <v>0</v>
      </c>
      <c r="K139" s="430">
        <v>0</v>
      </c>
      <c r="L139" s="466">
        <f t="shared" si="45"/>
        <v>1</v>
      </c>
      <c r="M139" s="467">
        <f t="shared" si="46"/>
        <v>0.49780000000000002</v>
      </c>
      <c r="N139" s="430">
        <f t="shared" si="47"/>
        <v>0</v>
      </c>
    </row>
    <row r="140" spans="1:14">
      <c r="A140" s="1153">
        <f t="shared" si="28"/>
        <v>126</v>
      </c>
      <c r="B140" s="514">
        <v>36701</v>
      </c>
      <c r="C140" s="88" t="s">
        <v>16</v>
      </c>
      <c r="D140" s="430">
        <v>0</v>
      </c>
      <c r="E140" s="430">
        <v>0</v>
      </c>
      <c r="F140" s="430">
        <f t="shared" si="41"/>
        <v>0</v>
      </c>
      <c r="G140" s="466">
        <f t="shared" si="42"/>
        <v>1</v>
      </c>
      <c r="H140" s="467">
        <f t="shared" si="43"/>
        <v>0.49780000000000002</v>
      </c>
      <c r="I140" s="430">
        <f t="shared" si="44"/>
        <v>0</v>
      </c>
      <c r="K140" s="430">
        <v>0</v>
      </c>
      <c r="L140" s="466">
        <f t="shared" si="45"/>
        <v>1</v>
      </c>
      <c r="M140" s="467">
        <f t="shared" si="46"/>
        <v>0.49780000000000002</v>
      </c>
      <c r="N140" s="430">
        <f t="shared" si="47"/>
        <v>0</v>
      </c>
    </row>
    <row r="141" spans="1:14">
      <c r="A141" s="1153">
        <f t="shared" si="28"/>
        <v>127</v>
      </c>
      <c r="B141" s="514">
        <v>37602</v>
      </c>
      <c r="C141" s="88" t="s">
        <v>845</v>
      </c>
      <c r="D141" s="430">
        <v>0</v>
      </c>
      <c r="E141" s="430">
        <v>0</v>
      </c>
      <c r="F141" s="430">
        <f t="shared" si="41"/>
        <v>0</v>
      </c>
      <c r="G141" s="466">
        <f t="shared" si="42"/>
        <v>1</v>
      </c>
      <c r="H141" s="467">
        <f t="shared" si="43"/>
        <v>0.49780000000000002</v>
      </c>
      <c r="I141" s="430">
        <f t="shared" si="44"/>
        <v>0</v>
      </c>
      <c r="K141" s="430">
        <v>0</v>
      </c>
      <c r="L141" s="466">
        <f t="shared" si="45"/>
        <v>1</v>
      </c>
      <c r="M141" s="467">
        <f t="shared" si="46"/>
        <v>0.49780000000000002</v>
      </c>
      <c r="N141" s="430">
        <f t="shared" si="47"/>
        <v>0</v>
      </c>
    </row>
    <row r="142" spans="1:14">
      <c r="A142" s="1153">
        <f t="shared" si="28"/>
        <v>128</v>
      </c>
      <c r="B142" s="514">
        <v>37800</v>
      </c>
      <c r="C142" s="88" t="s">
        <v>229</v>
      </c>
      <c r="D142" s="430">
        <v>0</v>
      </c>
      <c r="E142" s="430">
        <v>0</v>
      </c>
      <c r="F142" s="430">
        <f t="shared" si="41"/>
        <v>0</v>
      </c>
      <c r="G142" s="466">
        <f t="shared" si="42"/>
        <v>1</v>
      </c>
      <c r="H142" s="467">
        <f t="shared" si="43"/>
        <v>0.49780000000000002</v>
      </c>
      <c r="I142" s="430">
        <f t="shared" si="44"/>
        <v>0</v>
      </c>
      <c r="K142" s="430">
        <v>0</v>
      </c>
      <c r="L142" s="466">
        <f t="shared" si="45"/>
        <v>1</v>
      </c>
      <c r="M142" s="467">
        <f t="shared" si="46"/>
        <v>0.49780000000000002</v>
      </c>
      <c r="N142" s="430">
        <f t="shared" si="47"/>
        <v>0</v>
      </c>
    </row>
    <row r="143" spans="1:14">
      <c r="A143" s="1153">
        <f t="shared" si="28"/>
        <v>129</v>
      </c>
      <c r="B143" s="514">
        <v>37900</v>
      </c>
      <c r="C143" s="88" t="s">
        <v>1190</v>
      </c>
      <c r="D143" s="430">
        <v>0</v>
      </c>
      <c r="E143" s="430">
        <v>0</v>
      </c>
      <c r="F143" s="430">
        <f t="shared" si="41"/>
        <v>0</v>
      </c>
      <c r="G143" s="466">
        <f t="shared" si="42"/>
        <v>1</v>
      </c>
      <c r="H143" s="467">
        <f t="shared" si="43"/>
        <v>0.49780000000000002</v>
      </c>
      <c r="I143" s="430">
        <f t="shared" si="44"/>
        <v>0</v>
      </c>
      <c r="K143" s="430">
        <v>0</v>
      </c>
      <c r="L143" s="466">
        <f t="shared" si="45"/>
        <v>1</v>
      </c>
      <c r="M143" s="467">
        <f t="shared" si="46"/>
        <v>0.49780000000000002</v>
      </c>
      <c r="N143" s="430">
        <f t="shared" si="47"/>
        <v>0</v>
      </c>
    </row>
    <row r="144" spans="1:14">
      <c r="A144" s="1153">
        <f t="shared" si="28"/>
        <v>130</v>
      </c>
      <c r="B144" s="514">
        <v>37905</v>
      </c>
      <c r="C144" s="88" t="s">
        <v>725</v>
      </c>
      <c r="D144" s="430">
        <v>0</v>
      </c>
      <c r="E144" s="430">
        <v>0</v>
      </c>
      <c r="F144" s="430">
        <f t="shared" si="41"/>
        <v>0</v>
      </c>
      <c r="G144" s="466">
        <f t="shared" si="42"/>
        <v>1</v>
      </c>
      <c r="H144" s="467">
        <f t="shared" si="43"/>
        <v>0.49780000000000002</v>
      </c>
      <c r="I144" s="430">
        <f t="shared" si="44"/>
        <v>0</v>
      </c>
      <c r="K144" s="430">
        <v>0</v>
      </c>
      <c r="L144" s="466">
        <f t="shared" si="45"/>
        <v>1</v>
      </c>
      <c r="M144" s="467">
        <f t="shared" si="46"/>
        <v>0.49780000000000002</v>
      </c>
      <c r="N144" s="430">
        <f t="shared" si="47"/>
        <v>0</v>
      </c>
    </row>
    <row r="145" spans="1:19">
      <c r="A145" s="1153">
        <f t="shared" si="28"/>
        <v>131</v>
      </c>
      <c r="B145" s="514">
        <v>38000</v>
      </c>
      <c r="C145" s="88" t="s">
        <v>1052</v>
      </c>
      <c r="D145" s="430">
        <v>0</v>
      </c>
      <c r="E145" s="430">
        <v>0</v>
      </c>
      <c r="F145" s="430">
        <f t="shared" si="41"/>
        <v>0</v>
      </c>
      <c r="G145" s="466">
        <f t="shared" si="42"/>
        <v>1</v>
      </c>
      <c r="H145" s="467">
        <f t="shared" si="43"/>
        <v>0.49780000000000002</v>
      </c>
      <c r="I145" s="430">
        <f t="shared" si="44"/>
        <v>0</v>
      </c>
      <c r="K145" s="430">
        <v>0</v>
      </c>
      <c r="L145" s="466">
        <f t="shared" si="45"/>
        <v>1</v>
      </c>
      <c r="M145" s="467">
        <f t="shared" si="46"/>
        <v>0.49780000000000002</v>
      </c>
      <c r="N145" s="430">
        <f t="shared" si="47"/>
        <v>0</v>
      </c>
    </row>
    <row r="146" spans="1:19">
      <c r="A146" s="1153">
        <f t="shared" si="28"/>
        <v>132</v>
      </c>
      <c r="B146" s="514">
        <v>38100</v>
      </c>
      <c r="C146" s="88" t="s">
        <v>846</v>
      </c>
      <c r="D146" s="430">
        <v>0</v>
      </c>
      <c r="E146" s="430">
        <v>0</v>
      </c>
      <c r="F146" s="430">
        <f t="shared" si="41"/>
        <v>0</v>
      </c>
      <c r="G146" s="466">
        <f t="shared" si="42"/>
        <v>1</v>
      </c>
      <c r="H146" s="467">
        <f t="shared" si="43"/>
        <v>0.49780000000000002</v>
      </c>
      <c r="I146" s="430">
        <f t="shared" si="44"/>
        <v>0</v>
      </c>
      <c r="K146" s="430">
        <v>0</v>
      </c>
      <c r="L146" s="466">
        <f t="shared" si="45"/>
        <v>1</v>
      </c>
      <c r="M146" s="467">
        <f t="shared" si="46"/>
        <v>0.49780000000000002</v>
      </c>
      <c r="N146" s="430">
        <f t="shared" si="47"/>
        <v>0</v>
      </c>
    </row>
    <row r="147" spans="1:19">
      <c r="A147" s="1153">
        <f t="shared" si="28"/>
        <v>133</v>
      </c>
      <c r="B147" s="514">
        <v>38200</v>
      </c>
      <c r="C147" s="88" t="s">
        <v>442</v>
      </c>
      <c r="D147" s="430">
        <v>0</v>
      </c>
      <c r="E147" s="430">
        <v>0</v>
      </c>
      <c r="F147" s="430">
        <f t="shared" si="41"/>
        <v>0</v>
      </c>
      <c r="G147" s="466">
        <f t="shared" si="42"/>
        <v>1</v>
      </c>
      <c r="H147" s="467">
        <f t="shared" si="43"/>
        <v>0.49780000000000002</v>
      </c>
      <c r="I147" s="430">
        <f t="shared" si="44"/>
        <v>0</v>
      </c>
      <c r="K147" s="430">
        <v>0</v>
      </c>
      <c r="L147" s="466">
        <f t="shared" si="45"/>
        <v>1</v>
      </c>
      <c r="M147" s="467">
        <f t="shared" si="46"/>
        <v>0.49780000000000002</v>
      </c>
      <c r="N147" s="430">
        <f t="shared" si="47"/>
        <v>0</v>
      </c>
    </row>
    <row r="148" spans="1:19">
      <c r="A148" s="1153">
        <f t="shared" ref="A148:A211" si="48">A147+1</f>
        <v>134</v>
      </c>
      <c r="B148" s="514">
        <v>38300</v>
      </c>
      <c r="C148" s="88" t="s">
        <v>1053</v>
      </c>
      <c r="D148" s="430">
        <v>0</v>
      </c>
      <c r="E148" s="430">
        <v>0</v>
      </c>
      <c r="F148" s="430">
        <f t="shared" si="41"/>
        <v>0</v>
      </c>
      <c r="G148" s="466">
        <f t="shared" si="42"/>
        <v>1</v>
      </c>
      <c r="H148" s="467">
        <f t="shared" si="43"/>
        <v>0.49780000000000002</v>
      </c>
      <c r="I148" s="430">
        <f t="shared" si="44"/>
        <v>0</v>
      </c>
      <c r="K148" s="430">
        <v>0</v>
      </c>
      <c r="L148" s="466">
        <f t="shared" si="45"/>
        <v>1</v>
      </c>
      <c r="M148" s="467">
        <f t="shared" si="46"/>
        <v>0.49780000000000002</v>
      </c>
      <c r="N148" s="430">
        <f t="shared" si="47"/>
        <v>0</v>
      </c>
    </row>
    <row r="149" spans="1:19">
      <c r="A149" s="1153">
        <f t="shared" si="48"/>
        <v>135</v>
      </c>
      <c r="B149" s="514">
        <v>38400</v>
      </c>
      <c r="C149" s="88" t="s">
        <v>443</v>
      </c>
      <c r="D149" s="430">
        <v>0</v>
      </c>
      <c r="E149" s="430">
        <v>0</v>
      </c>
      <c r="F149" s="430">
        <f t="shared" si="41"/>
        <v>0</v>
      </c>
      <c r="G149" s="466">
        <f t="shared" si="42"/>
        <v>1</v>
      </c>
      <c r="H149" s="467">
        <f t="shared" si="43"/>
        <v>0.49780000000000002</v>
      </c>
      <c r="I149" s="430">
        <f t="shared" si="44"/>
        <v>0</v>
      </c>
      <c r="K149" s="430">
        <v>0</v>
      </c>
      <c r="L149" s="466">
        <f t="shared" si="45"/>
        <v>1</v>
      </c>
      <c r="M149" s="467">
        <f t="shared" si="46"/>
        <v>0.49780000000000002</v>
      </c>
      <c r="N149" s="430">
        <f t="shared" si="47"/>
        <v>0</v>
      </c>
    </row>
    <row r="150" spans="1:19">
      <c r="A150" s="1153">
        <f t="shared" si="48"/>
        <v>136</v>
      </c>
      <c r="B150" s="514">
        <v>38500</v>
      </c>
      <c r="C150" s="88" t="s">
        <v>444</v>
      </c>
      <c r="D150" s="430">
        <v>0</v>
      </c>
      <c r="E150" s="430">
        <v>0</v>
      </c>
      <c r="F150" s="430">
        <f t="shared" si="41"/>
        <v>0</v>
      </c>
      <c r="G150" s="466">
        <f t="shared" si="42"/>
        <v>1</v>
      </c>
      <c r="H150" s="467">
        <f t="shared" si="43"/>
        <v>0.49780000000000002</v>
      </c>
      <c r="I150" s="430">
        <f t="shared" si="44"/>
        <v>0</v>
      </c>
      <c r="K150" s="430">
        <v>0</v>
      </c>
      <c r="L150" s="466">
        <f t="shared" si="45"/>
        <v>1</v>
      </c>
      <c r="M150" s="467">
        <f t="shared" si="46"/>
        <v>0.49780000000000002</v>
      </c>
      <c r="N150" s="430">
        <f t="shared" si="47"/>
        <v>0</v>
      </c>
    </row>
    <row r="151" spans="1:19">
      <c r="A151" s="1153">
        <f t="shared" si="48"/>
        <v>137</v>
      </c>
      <c r="B151" s="514">
        <v>38600</v>
      </c>
      <c r="C151" s="88" t="s">
        <v>106</v>
      </c>
      <c r="D151" s="1043">
        <v>0</v>
      </c>
      <c r="E151" s="1043">
        <v>0</v>
      </c>
      <c r="F151" s="1043">
        <f t="shared" si="41"/>
        <v>0</v>
      </c>
      <c r="G151" s="466">
        <f t="shared" si="42"/>
        <v>1</v>
      </c>
      <c r="H151" s="467">
        <f t="shared" si="43"/>
        <v>0.49780000000000002</v>
      </c>
      <c r="I151" s="1043">
        <f t="shared" si="44"/>
        <v>0</v>
      </c>
      <c r="K151" s="1043">
        <v>0</v>
      </c>
      <c r="L151" s="466">
        <f t="shared" si="45"/>
        <v>1</v>
      </c>
      <c r="M151" s="467">
        <f t="shared" si="46"/>
        <v>0.49780000000000002</v>
      </c>
      <c r="N151" s="1043">
        <f t="shared" si="47"/>
        <v>0</v>
      </c>
    </row>
    <row r="152" spans="1:19">
      <c r="A152" s="1153">
        <f t="shared" si="48"/>
        <v>138</v>
      </c>
      <c r="B152" s="514"/>
      <c r="C152" s="88"/>
      <c r="M152" s="467"/>
    </row>
    <row r="153" spans="1:19">
      <c r="A153" s="1153">
        <f t="shared" si="48"/>
        <v>139</v>
      </c>
      <c r="B153" s="514"/>
      <c r="C153" s="88" t="s">
        <v>300</v>
      </c>
      <c r="D153" s="346">
        <f>SUM(D131:D152)</f>
        <v>0</v>
      </c>
      <c r="E153" s="346">
        <f>SUM(E131:E152)</f>
        <v>0</v>
      </c>
      <c r="F153" s="346">
        <f>SUM(F131:F152)</f>
        <v>0</v>
      </c>
      <c r="I153" s="346">
        <f>SUM(I131:I152)</f>
        <v>0</v>
      </c>
      <c r="K153" s="346">
        <f>SUM(K131:K152)</f>
        <v>0</v>
      </c>
      <c r="M153" s="467"/>
      <c r="N153" s="346">
        <f>SUM(N131:N152)</f>
        <v>0</v>
      </c>
    </row>
    <row r="154" spans="1:19">
      <c r="A154" s="1153">
        <f t="shared" si="48"/>
        <v>140</v>
      </c>
      <c r="B154" s="514"/>
      <c r="C154" s="88"/>
      <c r="M154" s="467"/>
    </row>
    <row r="155" spans="1:19">
      <c r="A155" s="1153">
        <f t="shared" si="48"/>
        <v>141</v>
      </c>
      <c r="B155" s="707"/>
      <c r="C155" s="620" t="s">
        <v>301</v>
      </c>
      <c r="M155" s="467"/>
    </row>
    <row r="156" spans="1:19">
      <c r="A156" s="1153">
        <f t="shared" si="48"/>
        <v>142</v>
      </c>
      <c r="B156" s="514">
        <v>39001</v>
      </c>
      <c r="C156" s="88" t="s">
        <v>1546</v>
      </c>
      <c r="D156" s="360">
        <f>[4]Reserve!$Q86</f>
        <v>102168.84616800002</v>
      </c>
      <c r="E156" s="622">
        <v>0</v>
      </c>
      <c r="F156" s="346">
        <f t="shared" ref="F156:F176" si="49">D156+E156</f>
        <v>102168.84616800002</v>
      </c>
      <c r="G156" s="467">
        <f t="shared" ref="G156:G177" si="50">$G$16</f>
        <v>1</v>
      </c>
      <c r="H156" s="467">
        <f t="shared" ref="H156:H177" si="51">$H$125</f>
        <v>0.49780000000000002</v>
      </c>
      <c r="I156" s="430">
        <f t="shared" ref="I156:I177" si="52">F156*G156*H156</f>
        <v>50859.651622430414</v>
      </c>
      <c r="K156" s="346">
        <f>[4]Reserve!$C86</f>
        <v>99765.714352923082</v>
      </c>
      <c r="L156" s="467">
        <f t="shared" ref="L156:L177" si="53">G156</f>
        <v>1</v>
      </c>
      <c r="M156" s="467">
        <f t="shared" ref="M156:M177" si="54">H156</f>
        <v>0.49780000000000002</v>
      </c>
      <c r="N156" s="346">
        <f t="shared" ref="N156:N177" si="55">K156*L156*M156</f>
        <v>49663.372604885109</v>
      </c>
      <c r="P156" s="514"/>
      <c r="R156" s="424"/>
      <c r="S156" s="424"/>
    </row>
    <row r="157" spans="1:19">
      <c r="A157" s="1153">
        <f t="shared" si="48"/>
        <v>143</v>
      </c>
      <c r="B157" s="514">
        <v>39004</v>
      </c>
      <c r="C157" s="88" t="s">
        <v>1530</v>
      </c>
      <c r="D157" s="360">
        <f>[4]Reserve!$Q87</f>
        <v>9378.6003014999951</v>
      </c>
      <c r="E157" s="430">
        <v>0</v>
      </c>
      <c r="F157" s="430">
        <f t="shared" si="49"/>
        <v>9378.6003014999951</v>
      </c>
      <c r="G157" s="466">
        <f t="shared" si="50"/>
        <v>1</v>
      </c>
      <c r="H157" s="467">
        <f t="shared" si="51"/>
        <v>0.49780000000000002</v>
      </c>
      <c r="I157" s="430">
        <f t="shared" si="52"/>
        <v>4668.6672300866976</v>
      </c>
      <c r="K157" s="346">
        <f>[4]Reserve!$C87</f>
        <v>8814.780081173074</v>
      </c>
      <c r="L157" s="466">
        <f t="shared" si="53"/>
        <v>1</v>
      </c>
      <c r="M157" s="467">
        <f t="shared" si="54"/>
        <v>0.49780000000000002</v>
      </c>
      <c r="N157" s="430">
        <f t="shared" si="55"/>
        <v>4387.997524407956</v>
      </c>
      <c r="P157" s="514"/>
      <c r="R157" s="424"/>
      <c r="S157" s="424"/>
    </row>
    <row r="158" spans="1:19">
      <c r="A158" s="1153">
        <f t="shared" si="48"/>
        <v>144</v>
      </c>
      <c r="B158" s="514">
        <v>39009</v>
      </c>
      <c r="C158" s="88" t="s">
        <v>1531</v>
      </c>
      <c r="D158" s="360">
        <f>[4]Reserve!$Q88</f>
        <v>38834</v>
      </c>
      <c r="E158" s="430">
        <v>0</v>
      </c>
      <c r="F158" s="430">
        <f t="shared" si="49"/>
        <v>38834</v>
      </c>
      <c r="G158" s="466">
        <f t="shared" si="50"/>
        <v>1</v>
      </c>
      <c r="H158" s="467">
        <f t="shared" si="51"/>
        <v>0.49780000000000002</v>
      </c>
      <c r="I158" s="430">
        <f t="shared" si="52"/>
        <v>19331.565200000001</v>
      </c>
      <c r="K158" s="346">
        <f>[4]Reserve!$C88</f>
        <v>38834</v>
      </c>
      <c r="L158" s="466">
        <f t="shared" si="53"/>
        <v>1</v>
      </c>
      <c r="M158" s="467">
        <f t="shared" si="54"/>
        <v>0.49780000000000002</v>
      </c>
      <c r="N158" s="430">
        <f t="shared" si="55"/>
        <v>19331.565200000001</v>
      </c>
      <c r="P158" s="514"/>
      <c r="R158" s="424"/>
      <c r="S158" s="424"/>
    </row>
    <row r="159" spans="1:19">
      <c r="A159" s="1153">
        <f t="shared" si="48"/>
        <v>145</v>
      </c>
      <c r="B159" s="514">
        <v>39100</v>
      </c>
      <c r="C159" s="88" t="s">
        <v>1532</v>
      </c>
      <c r="D159" s="360">
        <f>[4]Reserve!$Q89</f>
        <v>38609.33</v>
      </c>
      <c r="E159" s="430">
        <v>0</v>
      </c>
      <c r="F159" s="430">
        <f t="shared" si="49"/>
        <v>38609.33</v>
      </c>
      <c r="G159" s="466">
        <f t="shared" si="50"/>
        <v>1</v>
      </c>
      <c r="H159" s="467">
        <f t="shared" si="51"/>
        <v>0.49780000000000002</v>
      </c>
      <c r="I159" s="430">
        <f t="shared" si="52"/>
        <v>19219.724474000002</v>
      </c>
      <c r="K159" s="346">
        <f>[4]Reserve!$C89</f>
        <v>39252.686923076937</v>
      </c>
      <c r="L159" s="466">
        <f t="shared" ref="L159:L164" si="56">G159</f>
        <v>1</v>
      </c>
      <c r="M159" s="467">
        <f t="shared" ref="M159:M164" si="57">H159</f>
        <v>0.49780000000000002</v>
      </c>
      <c r="N159" s="430">
        <f t="shared" si="55"/>
        <v>19539.987550307702</v>
      </c>
      <c r="P159" s="514"/>
      <c r="R159" s="424"/>
      <c r="S159" s="424"/>
    </row>
    <row r="160" spans="1:19">
      <c r="A160" s="1153">
        <f t="shared" si="48"/>
        <v>146</v>
      </c>
      <c r="B160" s="514">
        <v>39101</v>
      </c>
      <c r="C160" s="88" t="s">
        <v>1502</v>
      </c>
      <c r="D160" s="360">
        <f>[4]Reserve!$Q90</f>
        <v>0</v>
      </c>
      <c r="E160" s="430">
        <v>0</v>
      </c>
      <c r="F160" s="430">
        <f t="shared" si="49"/>
        <v>0</v>
      </c>
      <c r="G160" s="466">
        <f t="shared" si="50"/>
        <v>1</v>
      </c>
      <c r="H160" s="467">
        <f t="shared" si="51"/>
        <v>0.49780000000000002</v>
      </c>
      <c r="I160" s="430">
        <f t="shared" si="52"/>
        <v>0</v>
      </c>
      <c r="K160" s="346">
        <f>[4]Reserve!$C90</f>
        <v>0</v>
      </c>
      <c r="L160" s="466">
        <f t="shared" si="56"/>
        <v>1</v>
      </c>
      <c r="M160" s="467">
        <f t="shared" si="57"/>
        <v>0.49780000000000002</v>
      </c>
      <c r="N160" s="430">
        <f t="shared" si="55"/>
        <v>0</v>
      </c>
      <c r="P160" s="514"/>
      <c r="R160" s="424"/>
      <c r="S160" s="424"/>
    </row>
    <row r="161" spans="1:19">
      <c r="A161" s="1153">
        <f t="shared" si="48"/>
        <v>147</v>
      </c>
      <c r="B161" s="514">
        <v>39103</v>
      </c>
      <c r="C161" s="88" t="s">
        <v>780</v>
      </c>
      <c r="D161" s="360">
        <f>[4]Reserve!$Q91</f>
        <v>0</v>
      </c>
      <c r="E161" s="430">
        <v>0</v>
      </c>
      <c r="F161" s="430">
        <f t="shared" si="49"/>
        <v>0</v>
      </c>
      <c r="G161" s="466">
        <f t="shared" si="50"/>
        <v>1</v>
      </c>
      <c r="H161" s="467">
        <f t="shared" si="51"/>
        <v>0.49780000000000002</v>
      </c>
      <c r="I161" s="430">
        <f t="shared" si="52"/>
        <v>0</v>
      </c>
      <c r="K161" s="346">
        <f>[4]Reserve!$C91</f>
        <v>0</v>
      </c>
      <c r="L161" s="466">
        <f t="shared" si="56"/>
        <v>1</v>
      </c>
      <c r="M161" s="467">
        <f t="shared" si="57"/>
        <v>0.49780000000000002</v>
      </c>
      <c r="N161" s="430">
        <f t="shared" si="55"/>
        <v>0</v>
      </c>
      <c r="P161" s="514"/>
      <c r="R161" s="424"/>
      <c r="S161" s="424"/>
    </row>
    <row r="162" spans="1:19">
      <c r="A162" s="1153">
        <f t="shared" si="48"/>
        <v>148</v>
      </c>
      <c r="B162" s="514">
        <v>39200</v>
      </c>
      <c r="C162" s="88" t="s">
        <v>1547</v>
      </c>
      <c r="D162" s="360">
        <f>[4]Reserve!$Q92</f>
        <v>16534.224411500003</v>
      </c>
      <c r="E162" s="430">
        <v>0</v>
      </c>
      <c r="F162" s="430">
        <f t="shared" si="49"/>
        <v>16534.224411500003</v>
      </c>
      <c r="G162" s="466">
        <f t="shared" si="50"/>
        <v>1</v>
      </c>
      <c r="H162" s="467">
        <f t="shared" si="51"/>
        <v>0.49780000000000002</v>
      </c>
      <c r="I162" s="430">
        <f t="shared" si="52"/>
        <v>8230.736912044702</v>
      </c>
      <c r="K162" s="346">
        <f>[4]Reserve!$C92</f>
        <v>15624.275803096156</v>
      </c>
      <c r="L162" s="466">
        <f t="shared" si="56"/>
        <v>1</v>
      </c>
      <c r="M162" s="467">
        <f t="shared" si="57"/>
        <v>0.49780000000000002</v>
      </c>
      <c r="N162" s="430">
        <f t="shared" si="55"/>
        <v>7777.7644947812669</v>
      </c>
      <c r="P162" s="514"/>
      <c r="R162" s="424"/>
      <c r="S162" s="424"/>
    </row>
    <row r="163" spans="1:19">
      <c r="A163" s="1153">
        <f t="shared" si="48"/>
        <v>149</v>
      </c>
      <c r="B163" s="514">
        <v>39300</v>
      </c>
      <c r="C163" s="88" t="s">
        <v>649</v>
      </c>
      <c r="D163" s="360">
        <f>[4]Reserve!$Q93</f>
        <v>0</v>
      </c>
      <c r="E163" s="430">
        <v>0</v>
      </c>
      <c r="F163" s="430">
        <f t="shared" si="49"/>
        <v>0</v>
      </c>
      <c r="G163" s="466">
        <f t="shared" si="50"/>
        <v>1</v>
      </c>
      <c r="H163" s="467">
        <f t="shared" si="51"/>
        <v>0.49780000000000002</v>
      </c>
      <c r="I163" s="430">
        <f t="shared" si="52"/>
        <v>0</v>
      </c>
      <c r="K163" s="346">
        <f>[4]Reserve!$C93</f>
        <v>0</v>
      </c>
      <c r="L163" s="466">
        <f t="shared" si="56"/>
        <v>1</v>
      </c>
      <c r="M163" s="467">
        <f t="shared" si="57"/>
        <v>0.49780000000000002</v>
      </c>
      <c r="N163" s="430">
        <f t="shared" si="55"/>
        <v>0</v>
      </c>
      <c r="P163" s="514"/>
      <c r="R163" s="424"/>
      <c r="S163" s="424"/>
    </row>
    <row r="164" spans="1:19">
      <c r="A164" s="1153">
        <f t="shared" si="48"/>
        <v>150</v>
      </c>
      <c r="B164" s="514">
        <v>39400</v>
      </c>
      <c r="C164" s="88" t="s">
        <v>1535</v>
      </c>
      <c r="D164" s="360">
        <f>[4]Reserve!$Q94</f>
        <v>137900.94648000001</v>
      </c>
      <c r="E164" s="430">
        <v>0</v>
      </c>
      <c r="F164" s="430">
        <f t="shared" si="49"/>
        <v>137900.94648000001</v>
      </c>
      <c r="G164" s="466">
        <f t="shared" si="50"/>
        <v>1</v>
      </c>
      <c r="H164" s="467">
        <f t="shared" si="51"/>
        <v>0.49780000000000002</v>
      </c>
      <c r="I164" s="430">
        <f t="shared" si="52"/>
        <v>68647.091157744013</v>
      </c>
      <c r="K164" s="346">
        <f>[4]Reserve!$C94</f>
        <v>134911.20174461539</v>
      </c>
      <c r="L164" s="466">
        <f t="shared" si="56"/>
        <v>1</v>
      </c>
      <c r="M164" s="467">
        <f t="shared" si="57"/>
        <v>0.49780000000000002</v>
      </c>
      <c r="N164" s="430">
        <f t="shared" si="55"/>
        <v>67158.796228469539</v>
      </c>
      <c r="P164" s="514"/>
      <c r="R164" s="424"/>
      <c r="S164" s="424"/>
    </row>
    <row r="165" spans="1:19">
      <c r="A165" s="1153">
        <f t="shared" si="48"/>
        <v>151</v>
      </c>
      <c r="B165" s="514">
        <v>39600</v>
      </c>
      <c r="C165" s="88" t="s">
        <v>1548</v>
      </c>
      <c r="D165" s="360">
        <f>[4]Reserve!$Q95</f>
        <v>7954.9420419999979</v>
      </c>
      <c r="E165" s="430">
        <v>0</v>
      </c>
      <c r="F165" s="430">
        <f t="shared" si="49"/>
        <v>7954.9420419999979</v>
      </c>
      <c r="G165" s="466">
        <f t="shared" si="50"/>
        <v>1</v>
      </c>
      <c r="H165" s="467">
        <f t="shared" si="51"/>
        <v>0.49780000000000002</v>
      </c>
      <c r="I165" s="430">
        <f t="shared" si="52"/>
        <v>3959.9701485075989</v>
      </c>
      <c r="K165" s="346">
        <f>[4]Reserve!$C95</f>
        <v>7507.7005497692289</v>
      </c>
      <c r="L165" s="466">
        <f t="shared" si="53"/>
        <v>1</v>
      </c>
      <c r="M165" s="467">
        <f t="shared" si="54"/>
        <v>0.49780000000000002</v>
      </c>
      <c r="N165" s="430">
        <f t="shared" si="55"/>
        <v>3737.3333336751225</v>
      </c>
      <c r="P165" s="514"/>
      <c r="R165" s="424"/>
      <c r="S165" s="424"/>
    </row>
    <row r="166" spans="1:19">
      <c r="A166" s="1153">
        <f t="shared" si="48"/>
        <v>152</v>
      </c>
      <c r="B166" s="514">
        <v>39700</v>
      </c>
      <c r="C166" s="88" t="s">
        <v>1539</v>
      </c>
      <c r="D166" s="360">
        <f>[4]Reserve!$Q96</f>
        <v>-7962.453349999998</v>
      </c>
      <c r="E166" s="430">
        <v>0</v>
      </c>
      <c r="F166" s="430">
        <f t="shared" si="49"/>
        <v>-7962.453349999998</v>
      </c>
      <c r="G166" s="466">
        <f t="shared" si="50"/>
        <v>1</v>
      </c>
      <c r="H166" s="467">
        <f t="shared" si="51"/>
        <v>0.49780000000000002</v>
      </c>
      <c r="I166" s="430">
        <f t="shared" si="52"/>
        <v>-3963.7092776299992</v>
      </c>
      <c r="K166" s="346">
        <f>[4]Reserve!$C96</f>
        <v>-8549.9709019230759</v>
      </c>
      <c r="L166" s="466">
        <f t="shared" si="53"/>
        <v>1</v>
      </c>
      <c r="M166" s="467">
        <f t="shared" si="54"/>
        <v>0.49780000000000002</v>
      </c>
      <c r="N166" s="430">
        <f t="shared" si="55"/>
        <v>-4256.1755149773071</v>
      </c>
      <c r="P166" s="514"/>
      <c r="R166" s="424"/>
      <c r="S166" s="424"/>
    </row>
    <row r="167" spans="1:19">
      <c r="A167" s="1153">
        <f t="shared" si="48"/>
        <v>153</v>
      </c>
      <c r="B167" s="514">
        <v>39701</v>
      </c>
      <c r="C167" s="88" t="s">
        <v>1499</v>
      </c>
      <c r="D167" s="360">
        <f>[4]Reserve!$Q97</f>
        <v>0</v>
      </c>
      <c r="E167" s="430">
        <v>0</v>
      </c>
      <c r="F167" s="430">
        <f t="shared" si="49"/>
        <v>0</v>
      </c>
      <c r="G167" s="466">
        <f t="shared" si="50"/>
        <v>1</v>
      </c>
      <c r="H167" s="467">
        <f t="shared" si="51"/>
        <v>0.49780000000000002</v>
      </c>
      <c r="I167" s="430">
        <f t="shared" si="52"/>
        <v>0</v>
      </c>
      <c r="K167" s="346">
        <f>[4]Reserve!$C97</f>
        <v>0</v>
      </c>
      <c r="L167" s="466">
        <f t="shared" si="53"/>
        <v>1</v>
      </c>
      <c r="M167" s="467">
        <f t="shared" si="54"/>
        <v>0.49780000000000002</v>
      </c>
      <c r="N167" s="430">
        <f t="shared" si="55"/>
        <v>0</v>
      </c>
      <c r="P167" s="514"/>
      <c r="R167" s="424"/>
      <c r="S167" s="424"/>
    </row>
    <row r="168" spans="1:19">
      <c r="A168" s="1153">
        <f t="shared" si="48"/>
        <v>154</v>
      </c>
      <c r="B168" s="707">
        <v>39702</v>
      </c>
      <c r="C168" s="88" t="s">
        <v>1499</v>
      </c>
      <c r="D168" s="360">
        <f>[4]Reserve!$Q98</f>
        <v>0</v>
      </c>
      <c r="E168" s="430">
        <v>0</v>
      </c>
      <c r="F168" s="430">
        <f t="shared" si="49"/>
        <v>0</v>
      </c>
      <c r="G168" s="466">
        <f t="shared" si="50"/>
        <v>1</v>
      </c>
      <c r="H168" s="467">
        <f t="shared" si="51"/>
        <v>0.49780000000000002</v>
      </c>
      <c r="I168" s="430">
        <f t="shared" si="52"/>
        <v>0</v>
      </c>
      <c r="K168" s="346">
        <f>[4]Reserve!$C98</f>
        <v>0</v>
      </c>
      <c r="L168" s="466">
        <f t="shared" si="53"/>
        <v>1</v>
      </c>
      <c r="M168" s="467">
        <f t="shared" si="54"/>
        <v>0.49780000000000002</v>
      </c>
      <c r="N168" s="430">
        <f t="shared" si="55"/>
        <v>0</v>
      </c>
      <c r="P168" s="514"/>
      <c r="R168" s="424"/>
      <c r="S168" s="424"/>
    </row>
    <row r="169" spans="1:19">
      <c r="A169" s="1153">
        <f t="shared" si="48"/>
        <v>155</v>
      </c>
      <c r="B169" s="707">
        <v>39800</v>
      </c>
      <c r="C169" s="88" t="s">
        <v>1541</v>
      </c>
      <c r="D169" s="360">
        <f>[4]Reserve!$Q99</f>
        <v>702501.25536800025</v>
      </c>
      <c r="E169" s="430">
        <v>0</v>
      </c>
      <c r="F169" s="430">
        <f t="shared" si="49"/>
        <v>702501.25536800025</v>
      </c>
      <c r="G169" s="466">
        <f t="shared" si="50"/>
        <v>1</v>
      </c>
      <c r="H169" s="467">
        <f t="shared" si="51"/>
        <v>0.49780000000000002</v>
      </c>
      <c r="I169" s="430">
        <f t="shared" si="52"/>
        <v>349705.12492219056</v>
      </c>
      <c r="K169" s="346">
        <f>[4]Reserve!$C99</f>
        <v>688375.4587529233</v>
      </c>
      <c r="L169" s="466">
        <f t="shared" si="53"/>
        <v>1</v>
      </c>
      <c r="M169" s="467">
        <f t="shared" si="54"/>
        <v>0.49780000000000002</v>
      </c>
      <c r="N169" s="430">
        <f t="shared" si="55"/>
        <v>342673.30336720526</v>
      </c>
      <c r="P169" s="514"/>
      <c r="R169" s="424"/>
      <c r="S169" s="424"/>
    </row>
    <row r="170" spans="1:19">
      <c r="A170" s="1153">
        <f t="shared" si="48"/>
        <v>156</v>
      </c>
      <c r="B170" s="707">
        <v>39900</v>
      </c>
      <c r="C170" s="88" t="s">
        <v>1549</v>
      </c>
      <c r="D170" s="360">
        <f>[4]Reserve!$Q100</f>
        <v>0</v>
      </c>
      <c r="E170" s="430">
        <v>0</v>
      </c>
      <c r="F170" s="430">
        <f t="shared" si="49"/>
        <v>0</v>
      </c>
      <c r="G170" s="466">
        <f t="shared" si="50"/>
        <v>1</v>
      </c>
      <c r="H170" s="467">
        <f t="shared" si="51"/>
        <v>0.49780000000000002</v>
      </c>
      <c r="I170" s="430">
        <f t="shared" si="52"/>
        <v>0</v>
      </c>
      <c r="K170" s="346">
        <f>[4]Reserve!$C100</f>
        <v>0</v>
      </c>
      <c r="L170" s="466">
        <f t="shared" si="53"/>
        <v>1</v>
      </c>
      <c r="M170" s="467">
        <f t="shared" si="54"/>
        <v>0.49780000000000002</v>
      </c>
      <c r="N170" s="430">
        <f t="shared" si="55"/>
        <v>0</v>
      </c>
      <c r="P170" s="514"/>
      <c r="R170" s="424"/>
      <c r="S170" s="424"/>
    </row>
    <row r="171" spans="1:19">
      <c r="A171" s="1153">
        <f t="shared" si="48"/>
        <v>157</v>
      </c>
      <c r="B171" s="707">
        <v>39901</v>
      </c>
      <c r="C171" s="88" t="s">
        <v>1550</v>
      </c>
      <c r="D171" s="360">
        <f>[4]Reserve!$Q101</f>
        <v>-34765.769999999997</v>
      </c>
      <c r="E171" s="430">
        <v>0</v>
      </c>
      <c r="F171" s="430">
        <f t="shared" si="49"/>
        <v>-34765.769999999997</v>
      </c>
      <c r="G171" s="466">
        <f t="shared" si="50"/>
        <v>1</v>
      </c>
      <c r="H171" s="467">
        <f t="shared" si="51"/>
        <v>0.49780000000000002</v>
      </c>
      <c r="I171" s="430">
        <f t="shared" si="52"/>
        <v>-17306.400306</v>
      </c>
      <c r="K171" s="346">
        <f>[4]Reserve!$C101</f>
        <v>-34765.770000000004</v>
      </c>
      <c r="L171" s="466">
        <f t="shared" si="53"/>
        <v>1</v>
      </c>
      <c r="M171" s="467">
        <f t="shared" si="54"/>
        <v>0.49780000000000002</v>
      </c>
      <c r="N171" s="430">
        <f t="shared" si="55"/>
        <v>-17306.400306000003</v>
      </c>
      <c r="P171" s="514"/>
      <c r="R171" s="424"/>
      <c r="S171" s="424"/>
    </row>
    <row r="172" spans="1:19">
      <c r="A172" s="1153">
        <f t="shared" si="48"/>
        <v>158</v>
      </c>
      <c r="B172" s="707">
        <v>39902</v>
      </c>
      <c r="C172" s="88" t="s">
        <v>1551</v>
      </c>
      <c r="D172" s="360">
        <f>[4]Reserve!$Q102</f>
        <v>0</v>
      </c>
      <c r="E172" s="430">
        <v>0</v>
      </c>
      <c r="F172" s="430">
        <f t="shared" si="49"/>
        <v>0</v>
      </c>
      <c r="G172" s="466">
        <f t="shared" si="50"/>
        <v>1</v>
      </c>
      <c r="H172" s="467">
        <f t="shared" si="51"/>
        <v>0.49780000000000002</v>
      </c>
      <c r="I172" s="430">
        <f t="shared" si="52"/>
        <v>0</v>
      </c>
      <c r="K172" s="346">
        <f>[4]Reserve!$C102</f>
        <v>0</v>
      </c>
      <c r="L172" s="466">
        <f t="shared" si="53"/>
        <v>1</v>
      </c>
      <c r="M172" s="467">
        <f t="shared" si="54"/>
        <v>0.49780000000000002</v>
      </c>
      <c r="N172" s="430">
        <f t="shared" si="55"/>
        <v>0</v>
      </c>
      <c r="P172" s="514"/>
      <c r="R172" s="424"/>
      <c r="S172" s="424"/>
    </row>
    <row r="173" spans="1:19">
      <c r="A173" s="1153">
        <f t="shared" si="48"/>
        <v>159</v>
      </c>
      <c r="B173" s="707">
        <v>39903</v>
      </c>
      <c r="C173" s="88" t="s">
        <v>1542</v>
      </c>
      <c r="D173" s="360">
        <f>[4]Reserve!$Q103</f>
        <v>0</v>
      </c>
      <c r="E173" s="430">
        <v>0</v>
      </c>
      <c r="F173" s="430">
        <f t="shared" si="49"/>
        <v>0</v>
      </c>
      <c r="G173" s="466">
        <f t="shared" si="50"/>
        <v>1</v>
      </c>
      <c r="H173" s="467">
        <f t="shared" si="51"/>
        <v>0.49780000000000002</v>
      </c>
      <c r="I173" s="430">
        <f t="shared" si="52"/>
        <v>0</v>
      </c>
      <c r="K173" s="346">
        <f>[4]Reserve!$C103</f>
        <v>0</v>
      </c>
      <c r="L173" s="466">
        <f t="shared" si="53"/>
        <v>1</v>
      </c>
      <c r="M173" s="467">
        <f t="shared" si="54"/>
        <v>0.49780000000000002</v>
      </c>
      <c r="N173" s="430">
        <f t="shared" si="55"/>
        <v>0</v>
      </c>
      <c r="P173" s="514"/>
      <c r="R173" s="424"/>
      <c r="S173" s="424"/>
    </row>
    <row r="174" spans="1:19">
      <c r="A174" s="1153">
        <f t="shared" si="48"/>
        <v>160</v>
      </c>
      <c r="B174" s="707">
        <v>39906</v>
      </c>
      <c r="C174" s="88" t="s">
        <v>1543</v>
      </c>
      <c r="D174" s="360">
        <f>[4]Reserve!$Q104</f>
        <v>70196.03</v>
      </c>
      <c r="E174" s="430">
        <v>0</v>
      </c>
      <c r="F174" s="430">
        <f t="shared" si="49"/>
        <v>70196.03</v>
      </c>
      <c r="G174" s="466">
        <f t="shared" si="50"/>
        <v>1</v>
      </c>
      <c r="H174" s="467">
        <f t="shared" si="51"/>
        <v>0.49780000000000002</v>
      </c>
      <c r="I174" s="430">
        <f t="shared" si="52"/>
        <v>34943.583734</v>
      </c>
      <c r="K174" s="346">
        <f>[4]Reserve!$C104</f>
        <v>70196.030000000013</v>
      </c>
      <c r="L174" s="466">
        <f t="shared" si="53"/>
        <v>1</v>
      </c>
      <c r="M174" s="467">
        <f t="shared" si="54"/>
        <v>0.49780000000000002</v>
      </c>
      <c r="N174" s="430">
        <f t="shared" si="55"/>
        <v>34943.583734000007</v>
      </c>
      <c r="P174" s="514"/>
      <c r="R174" s="424"/>
      <c r="S174" s="424"/>
    </row>
    <row r="175" spans="1:19">
      <c r="A175" s="1153">
        <f t="shared" si="48"/>
        <v>161</v>
      </c>
      <c r="B175" s="707">
        <v>39907</v>
      </c>
      <c r="C175" s="88" t="s">
        <v>1544</v>
      </c>
      <c r="D175" s="360">
        <f>[4]Reserve!$Q105</f>
        <v>28247.902239833329</v>
      </c>
      <c r="E175" s="430">
        <v>0</v>
      </c>
      <c r="F175" s="430">
        <f t="shared" si="49"/>
        <v>28247.902239833329</v>
      </c>
      <c r="G175" s="466">
        <f t="shared" si="50"/>
        <v>1</v>
      </c>
      <c r="H175" s="467">
        <f t="shared" si="51"/>
        <v>0.49780000000000002</v>
      </c>
      <c r="I175" s="430">
        <f t="shared" si="52"/>
        <v>14061.805734989031</v>
      </c>
      <c r="K175" s="346">
        <f>[4]Reserve!$C105</f>
        <v>23127.547492903839</v>
      </c>
      <c r="L175" s="466">
        <f t="shared" si="53"/>
        <v>1</v>
      </c>
      <c r="M175" s="467">
        <f t="shared" si="54"/>
        <v>0.49780000000000002</v>
      </c>
      <c r="N175" s="430">
        <f t="shared" si="55"/>
        <v>11512.893141967532</v>
      </c>
      <c r="P175" s="514"/>
      <c r="R175" s="424"/>
      <c r="S175" s="424"/>
    </row>
    <row r="176" spans="1:19">
      <c r="A176" s="1153">
        <f t="shared" si="48"/>
        <v>162</v>
      </c>
      <c r="B176" s="707">
        <v>39908</v>
      </c>
      <c r="C176" s="88" t="s">
        <v>1545</v>
      </c>
      <c r="D176" s="360">
        <f>[4]Reserve!$Q106</f>
        <v>828509.36</v>
      </c>
      <c r="E176" s="430">
        <v>0</v>
      </c>
      <c r="F176" s="430">
        <f t="shared" si="49"/>
        <v>828509.36</v>
      </c>
      <c r="G176" s="466">
        <f t="shared" si="50"/>
        <v>1</v>
      </c>
      <c r="H176" s="467">
        <f t="shared" si="51"/>
        <v>0.49780000000000002</v>
      </c>
      <c r="I176" s="430">
        <f t="shared" si="52"/>
        <v>412431.959408</v>
      </c>
      <c r="K176" s="346">
        <f>[4]Reserve!$C106</f>
        <v>828509.36</v>
      </c>
      <c r="L176" s="466">
        <f t="shared" si="53"/>
        <v>1</v>
      </c>
      <c r="M176" s="467">
        <f t="shared" si="54"/>
        <v>0.49780000000000002</v>
      </c>
      <c r="N176" s="430">
        <f t="shared" si="55"/>
        <v>412431.959408</v>
      </c>
      <c r="P176" s="514"/>
      <c r="R176" s="424"/>
      <c r="S176" s="424"/>
    </row>
    <row r="177" spans="1:19">
      <c r="A177" s="1153">
        <f t="shared" si="48"/>
        <v>163</v>
      </c>
      <c r="B177" s="707"/>
      <c r="C177" s="88" t="s">
        <v>1143</v>
      </c>
      <c r="D177" s="360">
        <f>[4]Reserve!$Q107</f>
        <v>52517.30000000001</v>
      </c>
      <c r="E177" s="807"/>
      <c r="F177" s="807"/>
      <c r="G177" s="466">
        <f t="shared" si="50"/>
        <v>1</v>
      </c>
      <c r="H177" s="467">
        <f t="shared" si="51"/>
        <v>0.49780000000000002</v>
      </c>
      <c r="I177" s="1043">
        <f t="shared" si="52"/>
        <v>0</v>
      </c>
      <c r="K177" s="346">
        <f>[4]Reserve!$C107</f>
        <v>52517.30000000001</v>
      </c>
      <c r="L177" s="466">
        <f t="shared" si="53"/>
        <v>1</v>
      </c>
      <c r="M177" s="467">
        <f t="shared" si="54"/>
        <v>0.49780000000000002</v>
      </c>
      <c r="N177" s="1043">
        <f t="shared" si="55"/>
        <v>26143.111940000006</v>
      </c>
      <c r="R177" s="424"/>
      <c r="S177" s="424"/>
    </row>
    <row r="178" spans="1:19">
      <c r="A178" s="1153">
        <f t="shared" si="48"/>
        <v>164</v>
      </c>
      <c r="B178" s="390"/>
      <c r="C178" s="88"/>
      <c r="D178" s="619"/>
      <c r="E178" s="619"/>
      <c r="F178" s="619"/>
    </row>
    <row r="179" spans="1:19">
      <c r="A179" s="1153">
        <f t="shared" si="48"/>
        <v>165</v>
      </c>
      <c r="B179" s="390"/>
      <c r="C179" s="88" t="s">
        <v>4</v>
      </c>
      <c r="D179" s="346">
        <f>SUM(D156:D177)</f>
        <v>1990624.5136608335</v>
      </c>
      <c r="E179" s="346">
        <f>SUM(E156:E177)</f>
        <v>0</v>
      </c>
      <c r="F179" s="346">
        <f>SUM(F156:F177)</f>
        <v>1938107.2136608334</v>
      </c>
      <c r="I179" s="346">
        <f>SUM(I156:I177)</f>
        <v>964789.77096036298</v>
      </c>
      <c r="K179" s="346">
        <f>SUM(K156:K177)</f>
        <v>1964120.3147985579</v>
      </c>
      <c r="N179" s="346">
        <f>SUM(N156:N177)</f>
        <v>977739.09270672209</v>
      </c>
    </row>
    <row r="180" spans="1:19">
      <c r="A180" s="1153">
        <f t="shared" si="48"/>
        <v>166</v>
      </c>
      <c r="B180" s="390"/>
      <c r="C180" s="88"/>
    </row>
    <row r="181" spans="1:19" ht="15.75" thickBot="1">
      <c r="A181" s="1153">
        <f t="shared" si="48"/>
        <v>167</v>
      </c>
      <c r="B181" s="390"/>
      <c r="C181" s="233" t="s">
        <v>1327</v>
      </c>
      <c r="D181" s="329">
        <f>D128+D153+D179</f>
        <v>1990624.5136608335</v>
      </c>
      <c r="E181" s="329">
        <f>E128+E153+E179</f>
        <v>0</v>
      </c>
      <c r="F181" s="329">
        <f>F128+F153+F179</f>
        <v>1938107.2136608334</v>
      </c>
      <c r="I181" s="329">
        <f>I128+I153+I179</f>
        <v>964789.77096036298</v>
      </c>
      <c r="K181" s="329">
        <f>K128+K153+K179</f>
        <v>1964120.3147985579</v>
      </c>
      <c r="N181" s="329">
        <f>N128+N153+N179</f>
        <v>977739.09270672209</v>
      </c>
    </row>
    <row r="182" spans="1:19" ht="15.75" thickTop="1">
      <c r="A182" s="1153">
        <f t="shared" si="48"/>
        <v>168</v>
      </c>
      <c r="B182" s="1039"/>
      <c r="D182" s="430"/>
      <c r="E182" s="328"/>
    </row>
    <row r="183" spans="1:19" ht="15.75">
      <c r="A183" s="1153">
        <f t="shared" si="48"/>
        <v>169</v>
      </c>
      <c r="B183" s="1044" t="s">
        <v>8</v>
      </c>
      <c r="D183" s="430"/>
      <c r="E183" s="328"/>
    </row>
    <row r="184" spans="1:19">
      <c r="A184" s="1153">
        <f t="shared" si="48"/>
        <v>170</v>
      </c>
      <c r="D184" s="430"/>
    </row>
    <row r="185" spans="1:19">
      <c r="A185" s="1153">
        <f t="shared" si="48"/>
        <v>171</v>
      </c>
      <c r="B185" s="390"/>
      <c r="C185" s="620" t="s">
        <v>301</v>
      </c>
      <c r="D185" s="430"/>
    </row>
    <row r="186" spans="1:19">
      <c r="A186" s="1153">
        <f t="shared" si="48"/>
        <v>172</v>
      </c>
      <c r="B186" s="514">
        <v>39000</v>
      </c>
      <c r="C186" s="88" t="s">
        <v>1527</v>
      </c>
      <c r="D186" s="346">
        <f>[4]Reserve!$Q7</f>
        <v>516338.7606157955</v>
      </c>
      <c r="E186" s="622">
        <v>0</v>
      </c>
      <c r="F186" s="346">
        <f t="shared" ref="F186:F224" si="58">D186+E186</f>
        <v>516338.7606157955</v>
      </c>
      <c r="G186" s="467">
        <f>Allocation!$G$14</f>
        <v>0.104</v>
      </c>
      <c r="H186" s="467">
        <f>Allocation!$H$14</f>
        <v>0.49780000000000002</v>
      </c>
      <c r="I186" s="430">
        <f t="shared" ref="I186:I224" si="59">F186*G186*H186</f>
        <v>26731.477243592471</v>
      </c>
      <c r="K186" s="346">
        <f>[4]Reserve!$C7</f>
        <v>493349.57603280933</v>
      </c>
      <c r="L186" s="467">
        <f>G186</f>
        <v>0.104</v>
      </c>
      <c r="M186" s="467">
        <f t="shared" ref="M186:M224" si="60">H186</f>
        <v>0.49780000000000002</v>
      </c>
      <c r="N186" s="346">
        <f t="shared" ref="N186:N224" si="61">K186*L186*M186</f>
        <v>25541.299570709776</v>
      </c>
      <c r="P186" s="661"/>
      <c r="R186" s="424"/>
      <c r="S186" s="424"/>
    </row>
    <row r="187" spans="1:19">
      <c r="A187" s="1153">
        <f t="shared" si="48"/>
        <v>173</v>
      </c>
      <c r="B187" s="514">
        <v>39005</v>
      </c>
      <c r="C187" s="88" t="s">
        <v>1552</v>
      </c>
      <c r="D187" s="346">
        <f>[4]Reserve!$Q8</f>
        <v>3747661.406648498</v>
      </c>
      <c r="E187" s="622">
        <v>0</v>
      </c>
      <c r="F187" s="430">
        <f t="shared" si="58"/>
        <v>3747661.406648498</v>
      </c>
      <c r="G187" s="467">
        <v>1</v>
      </c>
      <c r="H187" s="467">
        <f>Allocation!E20</f>
        <v>1.570628E-2</v>
      </c>
      <c r="I187" s="430">
        <f t="shared" ref="I187:I201" si="62">F187*G187*H187</f>
        <v>58861.81939801517</v>
      </c>
      <c r="K187" s="346">
        <f>[4]Reserve!$C8</f>
        <v>3608671.8225592109</v>
      </c>
      <c r="L187" s="467">
        <f t="shared" ref="L187:L223" si="63">G187</f>
        <v>1</v>
      </c>
      <c r="M187" s="467">
        <f t="shared" ref="M187:M223" si="64">H187</f>
        <v>1.570628E-2</v>
      </c>
      <c r="N187" s="430">
        <f t="shared" si="61"/>
        <v>56678.810073225279</v>
      </c>
      <c r="P187" s="661"/>
      <c r="R187" s="424"/>
      <c r="S187" s="424"/>
    </row>
    <row r="188" spans="1:19">
      <c r="A188" s="1153">
        <f t="shared" si="48"/>
        <v>174</v>
      </c>
      <c r="B188" s="514">
        <v>39009</v>
      </c>
      <c r="C188" s="88" t="s">
        <v>1531</v>
      </c>
      <c r="D188" s="346">
        <f>[4]Reserve!$Q9</f>
        <v>9316766.3500000034</v>
      </c>
      <c r="E188" s="622">
        <v>0</v>
      </c>
      <c r="F188" s="430">
        <f t="shared" si="58"/>
        <v>9316766.3500000034</v>
      </c>
      <c r="G188" s="467">
        <f>Allocation!$G$14</f>
        <v>0.104</v>
      </c>
      <c r="H188" s="467">
        <f>Allocation!$H$14</f>
        <v>0.49780000000000002</v>
      </c>
      <c r="I188" s="430">
        <f t="shared" si="62"/>
        <v>482340.17405912018</v>
      </c>
      <c r="K188" s="346">
        <f>[4]Reserve!$C9</f>
        <v>9316061.6315384656</v>
      </c>
      <c r="L188" s="467">
        <f t="shared" si="63"/>
        <v>0.104</v>
      </c>
      <c r="M188" s="467">
        <f t="shared" si="64"/>
        <v>0.49780000000000002</v>
      </c>
      <c r="N188" s="430">
        <f t="shared" si="61"/>
        <v>482303.68993870419</v>
      </c>
      <c r="P188" s="661"/>
      <c r="R188" s="424"/>
      <c r="S188" s="424"/>
    </row>
    <row r="189" spans="1:19">
      <c r="A189" s="1153">
        <f t="shared" si="48"/>
        <v>175</v>
      </c>
      <c r="B189" s="514">
        <v>39020</v>
      </c>
      <c r="C189" s="88" t="s">
        <v>1503</v>
      </c>
      <c r="D189" s="346">
        <f>[4]Reserve!$Q10</f>
        <v>-0.04</v>
      </c>
      <c r="E189" s="622">
        <v>0</v>
      </c>
      <c r="F189" s="430">
        <f t="shared" si="58"/>
        <v>-0.04</v>
      </c>
      <c r="G189" s="467">
        <v>1</v>
      </c>
      <c r="H189" s="467">
        <f>Allocation!E22</f>
        <v>6.3622429999999994E-2</v>
      </c>
      <c r="I189" s="430">
        <f t="shared" si="62"/>
        <v>-2.5448971999999996E-3</v>
      </c>
      <c r="K189" s="346">
        <f>[4]Reserve!$C10</f>
        <v>-3.9999999999999994E-2</v>
      </c>
      <c r="L189" s="467">
        <f t="shared" si="63"/>
        <v>1</v>
      </c>
      <c r="M189" s="467">
        <f t="shared" si="64"/>
        <v>6.3622429999999994E-2</v>
      </c>
      <c r="N189" s="430">
        <f t="shared" si="61"/>
        <v>-2.5448971999999992E-3</v>
      </c>
      <c r="P189" s="661"/>
      <c r="R189" s="424"/>
      <c r="S189" s="424"/>
    </row>
    <row r="190" spans="1:19">
      <c r="A190" s="1153">
        <f t="shared" si="48"/>
        <v>176</v>
      </c>
      <c r="B190" s="514">
        <v>39029</v>
      </c>
      <c r="C190" s="88" t="s">
        <v>1504</v>
      </c>
      <c r="D190" s="346">
        <f>[4]Reserve!$Q11</f>
        <v>99.305679743138072</v>
      </c>
      <c r="E190" s="622">
        <v>0</v>
      </c>
      <c r="F190" s="430">
        <f t="shared" si="58"/>
        <v>99.305679743138072</v>
      </c>
      <c r="G190" s="467">
        <v>1</v>
      </c>
      <c r="H190" s="467">
        <f>Allocation!E22</f>
        <v>6.3622429999999994E-2</v>
      </c>
      <c r="I190" s="430">
        <f t="shared" si="62"/>
        <v>6.318068658060219</v>
      </c>
      <c r="K190" s="346">
        <f>[4]Reserve!$C11</f>
        <v>28.084654805093013</v>
      </c>
      <c r="L190" s="467">
        <f t="shared" si="63"/>
        <v>1</v>
      </c>
      <c r="M190" s="467">
        <f t="shared" si="64"/>
        <v>6.3622429999999994E-2</v>
      </c>
      <c r="N190" s="430">
        <f t="shared" si="61"/>
        <v>1.7868139844111937</v>
      </c>
      <c r="P190" s="661"/>
      <c r="R190" s="424"/>
      <c r="S190" s="424"/>
    </row>
    <row r="191" spans="1:19">
      <c r="A191" s="1153">
        <f t="shared" si="48"/>
        <v>177</v>
      </c>
      <c r="B191" s="514">
        <v>39100</v>
      </c>
      <c r="C191" s="88" t="s">
        <v>1532</v>
      </c>
      <c r="D191" s="346">
        <f>[4]Reserve!$Q12</f>
        <v>1951796.6277634995</v>
      </c>
      <c r="E191" s="622">
        <v>0</v>
      </c>
      <c r="F191" s="430">
        <f t="shared" si="58"/>
        <v>1951796.6277634995</v>
      </c>
      <c r="G191" s="467">
        <f>Allocation!$G$14</f>
        <v>0.104</v>
      </c>
      <c r="H191" s="467">
        <f>Allocation!$H$14</f>
        <v>0.49780000000000002</v>
      </c>
      <c r="I191" s="430">
        <f t="shared" si="62"/>
        <v>101046.85357526969</v>
      </c>
      <c r="K191" s="346">
        <f>[4]Reserve!$C12</f>
        <v>1849949.7732141423</v>
      </c>
      <c r="L191" s="467">
        <f t="shared" si="63"/>
        <v>0.104</v>
      </c>
      <c r="M191" s="467">
        <f t="shared" si="64"/>
        <v>0.49780000000000002</v>
      </c>
      <c r="N191" s="430">
        <f t="shared" si="61"/>
        <v>95774.119699024013</v>
      </c>
      <c r="P191" s="661"/>
      <c r="R191" s="424"/>
      <c r="S191" s="424"/>
    </row>
    <row r="192" spans="1:19">
      <c r="A192" s="1153">
        <f t="shared" si="48"/>
        <v>178</v>
      </c>
      <c r="B192" s="514">
        <v>39102</v>
      </c>
      <c r="C192" s="88" t="s">
        <v>1553</v>
      </c>
      <c r="D192" s="346">
        <f>[4]Reserve!$Q13</f>
        <v>1.26</v>
      </c>
      <c r="E192" s="622">
        <v>0</v>
      </c>
      <c r="F192" s="430">
        <f t="shared" si="58"/>
        <v>1.26</v>
      </c>
      <c r="G192" s="467">
        <f>Allocation!$G$14</f>
        <v>0.104</v>
      </c>
      <c r="H192" s="467">
        <f>Allocation!$H$14</f>
        <v>0.49780000000000002</v>
      </c>
      <c r="I192" s="430">
        <f t="shared" si="62"/>
        <v>6.5231711999999997E-2</v>
      </c>
      <c r="K192" s="346">
        <f>[4]Reserve!$C13</f>
        <v>1.26</v>
      </c>
      <c r="L192" s="467">
        <f t="shared" si="63"/>
        <v>0.104</v>
      </c>
      <c r="M192" s="467">
        <f t="shared" si="64"/>
        <v>0.49780000000000002</v>
      </c>
      <c r="N192" s="430">
        <f t="shared" si="61"/>
        <v>6.5231711999999997E-2</v>
      </c>
      <c r="P192" s="661"/>
      <c r="R192" s="424"/>
      <c r="S192" s="424"/>
    </row>
    <row r="193" spans="1:19">
      <c r="A193" s="1153">
        <f t="shared" si="48"/>
        <v>179</v>
      </c>
      <c r="B193" s="514">
        <v>39103</v>
      </c>
      <c r="C193" s="88" t="s">
        <v>1323</v>
      </c>
      <c r="D193" s="346">
        <f>[4]Reserve!$Q14</f>
        <v>0.45</v>
      </c>
      <c r="E193" s="622">
        <v>0</v>
      </c>
      <c r="F193" s="430">
        <f t="shared" si="58"/>
        <v>0.45</v>
      </c>
      <c r="G193" s="467">
        <f>Allocation!$G$14</f>
        <v>0.104</v>
      </c>
      <c r="H193" s="467">
        <f>Allocation!$H$14</f>
        <v>0.49780000000000002</v>
      </c>
      <c r="I193" s="430">
        <f t="shared" si="62"/>
        <v>2.3297040000000001E-2</v>
      </c>
      <c r="K193" s="346">
        <f>[4]Reserve!$C14</f>
        <v>0.45000000000000012</v>
      </c>
      <c r="L193" s="467">
        <f t="shared" si="63"/>
        <v>0.104</v>
      </c>
      <c r="M193" s="467">
        <f t="shared" si="64"/>
        <v>0.49780000000000002</v>
      </c>
      <c r="N193" s="430">
        <f t="shared" si="61"/>
        <v>2.3297040000000005E-2</v>
      </c>
      <c r="P193" s="661"/>
      <c r="R193" s="424"/>
      <c r="S193" s="424"/>
    </row>
    <row r="194" spans="1:19">
      <c r="A194" s="1153">
        <f t="shared" si="48"/>
        <v>180</v>
      </c>
      <c r="B194" s="514">
        <v>39104</v>
      </c>
      <c r="C194" s="88" t="s">
        <v>1554</v>
      </c>
      <c r="D194" s="346">
        <f>[4]Reserve!$Q15</f>
        <v>33336.902100401618</v>
      </c>
      <c r="E194" s="622">
        <v>0</v>
      </c>
      <c r="F194" s="430">
        <f t="shared" si="58"/>
        <v>33336.902100401618</v>
      </c>
      <c r="G194" s="467">
        <f>G187</f>
        <v>1</v>
      </c>
      <c r="H194" s="467">
        <f>H187</f>
        <v>1.570628E-2</v>
      </c>
      <c r="I194" s="430">
        <f t="shared" si="62"/>
        <v>523.59871872149586</v>
      </c>
      <c r="K194" s="346">
        <f>[4]Reserve!$C15</f>
        <v>31635.426378298143</v>
      </c>
      <c r="L194" s="467">
        <f t="shared" si="63"/>
        <v>1</v>
      </c>
      <c r="M194" s="467">
        <f t="shared" si="64"/>
        <v>1.570628E-2</v>
      </c>
      <c r="N194" s="430">
        <f t="shared" si="61"/>
        <v>496.87486461693658</v>
      </c>
      <c r="P194" s="661"/>
      <c r="R194" s="424"/>
      <c r="S194" s="424"/>
    </row>
    <row r="195" spans="1:19">
      <c r="A195" s="1153">
        <f t="shared" si="48"/>
        <v>181</v>
      </c>
      <c r="B195" s="514">
        <v>39120</v>
      </c>
      <c r="C195" s="88" t="s">
        <v>1505</v>
      </c>
      <c r="D195" s="346">
        <f>[4]Reserve!$Q16</f>
        <v>107353.39022200005</v>
      </c>
      <c r="E195" s="622">
        <v>0</v>
      </c>
      <c r="F195" s="430">
        <f t="shared" si="58"/>
        <v>107353.39022200005</v>
      </c>
      <c r="G195" s="467">
        <v>1</v>
      </c>
      <c r="H195" s="467">
        <f>H190</f>
        <v>6.3622429999999994E-2</v>
      </c>
      <c r="I195" s="430">
        <f t="shared" si="62"/>
        <v>6830.0835546618819</v>
      </c>
      <c r="K195" s="346">
        <f>[4]Reserve!$C16</f>
        <v>102124.75352130769</v>
      </c>
      <c r="L195" s="467">
        <f t="shared" si="63"/>
        <v>1</v>
      </c>
      <c r="M195" s="467">
        <f t="shared" si="64"/>
        <v>6.3622429999999994E-2</v>
      </c>
      <c r="N195" s="430">
        <f t="shared" si="61"/>
        <v>6497.4249821766516</v>
      </c>
      <c r="P195" s="661"/>
      <c r="R195" s="424"/>
      <c r="S195" s="424"/>
    </row>
    <row r="196" spans="1:19">
      <c r="A196" s="1153">
        <f t="shared" si="48"/>
        <v>182</v>
      </c>
      <c r="B196" s="514">
        <v>39200</v>
      </c>
      <c r="C196" s="88" t="s">
        <v>1533</v>
      </c>
      <c r="D196" s="346">
        <f>[4]Reserve!$Q17</f>
        <v>5792.1295969999974</v>
      </c>
      <c r="E196" s="622">
        <v>0</v>
      </c>
      <c r="F196" s="430">
        <f t="shared" si="58"/>
        <v>5792.1295969999974</v>
      </c>
      <c r="G196" s="467">
        <f>Allocation!$G$14</f>
        <v>0.104</v>
      </c>
      <c r="H196" s="467">
        <f>Allocation!$H$14</f>
        <v>0.49780000000000002</v>
      </c>
      <c r="I196" s="430">
        <f t="shared" si="62"/>
        <v>299.86549979220626</v>
      </c>
      <c r="K196" s="346">
        <f>[4]Reserve!$C17</f>
        <v>5486.4164299615368</v>
      </c>
      <c r="L196" s="467">
        <f t="shared" si="63"/>
        <v>0.104</v>
      </c>
      <c r="M196" s="467">
        <f t="shared" si="64"/>
        <v>0.49780000000000002</v>
      </c>
      <c r="N196" s="430">
        <f t="shared" si="61"/>
        <v>284.03836227882471</v>
      </c>
      <c r="P196" s="661"/>
      <c r="R196" s="424"/>
      <c r="S196" s="424"/>
    </row>
    <row r="197" spans="1:19">
      <c r="A197" s="1153">
        <f t="shared" si="48"/>
        <v>183</v>
      </c>
      <c r="B197" s="514">
        <v>39300</v>
      </c>
      <c r="C197" s="88" t="s">
        <v>1555</v>
      </c>
      <c r="D197" s="346">
        <f>[4]Reserve!$Q18</f>
        <v>0</v>
      </c>
      <c r="E197" s="622">
        <v>0</v>
      </c>
      <c r="F197" s="430">
        <f t="shared" si="58"/>
        <v>0</v>
      </c>
      <c r="G197" s="467">
        <f>Allocation!$G$14</f>
        <v>0.104</v>
      </c>
      <c r="H197" s="467">
        <f>Allocation!$H$14</f>
        <v>0.49780000000000002</v>
      </c>
      <c r="I197" s="430">
        <f t="shared" si="62"/>
        <v>0</v>
      </c>
      <c r="K197" s="346">
        <f>[4]Reserve!$C18</f>
        <v>0</v>
      </c>
      <c r="L197" s="467">
        <f t="shared" si="63"/>
        <v>0.104</v>
      </c>
      <c r="M197" s="467">
        <f t="shared" si="64"/>
        <v>0.49780000000000002</v>
      </c>
      <c r="N197" s="430">
        <f t="shared" si="61"/>
        <v>0</v>
      </c>
      <c r="P197" s="661"/>
      <c r="R197" s="424"/>
      <c r="S197" s="424"/>
    </row>
    <row r="198" spans="1:19">
      <c r="A198" s="1153">
        <f t="shared" si="48"/>
        <v>184</v>
      </c>
      <c r="B198" s="514">
        <v>39400</v>
      </c>
      <c r="C198" s="88" t="s">
        <v>1535</v>
      </c>
      <c r="D198" s="346">
        <f>[4]Reserve!$Q19</f>
        <v>35969.54557900002</v>
      </c>
      <c r="E198" s="622">
        <v>0</v>
      </c>
      <c r="F198" s="430">
        <f t="shared" si="58"/>
        <v>35969.54557900002</v>
      </c>
      <c r="G198" s="467">
        <f>Allocation!$G$14</f>
        <v>0.104</v>
      </c>
      <c r="H198" s="467">
        <f>Allocation!$H$14</f>
        <v>0.49780000000000002</v>
      </c>
      <c r="I198" s="430">
        <f t="shared" si="62"/>
        <v>1862.1865380795259</v>
      </c>
      <c r="K198" s="346">
        <f>[4]Reserve!$C19</f>
        <v>32756.233040500003</v>
      </c>
      <c r="L198" s="467">
        <f t="shared" si="63"/>
        <v>0.104</v>
      </c>
      <c r="M198" s="467">
        <f t="shared" si="64"/>
        <v>0.49780000000000002</v>
      </c>
      <c r="N198" s="430">
        <f t="shared" si="61"/>
        <v>1695.8294919863338</v>
      </c>
      <c r="P198" s="661"/>
      <c r="R198" s="424"/>
      <c r="S198" s="424"/>
    </row>
    <row r="199" spans="1:19">
      <c r="A199" s="1153">
        <f t="shared" si="48"/>
        <v>185</v>
      </c>
      <c r="B199" s="514">
        <v>39420</v>
      </c>
      <c r="C199" s="88" t="s">
        <v>1506</v>
      </c>
      <c r="D199" s="346">
        <f>[4]Reserve!$Q20</f>
        <v>388.07</v>
      </c>
      <c r="E199" s="622">
        <v>0</v>
      </c>
      <c r="F199" s="430">
        <f t="shared" si="58"/>
        <v>388.07</v>
      </c>
      <c r="G199" s="467">
        <v>1</v>
      </c>
      <c r="H199" s="467">
        <f>H190</f>
        <v>6.3622429999999994E-2</v>
      </c>
      <c r="I199" s="430">
        <f>F199*G199*H199</f>
        <v>24.689956410099999</v>
      </c>
      <c r="K199" s="346">
        <f>[4]Reserve!$C20</f>
        <v>388.07</v>
      </c>
      <c r="L199" s="467">
        <f t="shared" si="63"/>
        <v>1</v>
      </c>
      <c r="M199" s="467">
        <f t="shared" si="64"/>
        <v>6.3622429999999994E-2</v>
      </c>
      <c r="N199" s="430">
        <f t="shared" si="61"/>
        <v>24.689956410099999</v>
      </c>
      <c r="P199" s="661"/>
      <c r="R199" s="424"/>
      <c r="S199" s="424"/>
    </row>
    <row r="200" spans="1:19">
      <c r="A200" s="1153">
        <f t="shared" si="48"/>
        <v>186</v>
      </c>
      <c r="B200" s="514">
        <v>39500</v>
      </c>
      <c r="C200" s="88" t="s">
        <v>1556</v>
      </c>
      <c r="D200" s="346">
        <f>[4]Reserve!$Q21</f>
        <v>0</v>
      </c>
      <c r="E200" s="622">
        <v>0</v>
      </c>
      <c r="F200" s="430">
        <f t="shared" si="58"/>
        <v>0</v>
      </c>
      <c r="G200" s="467">
        <f>Allocation!$G$14</f>
        <v>0.104</v>
      </c>
      <c r="H200" s="467">
        <f>Allocation!$H$14</f>
        <v>0.49780000000000002</v>
      </c>
      <c r="I200" s="430">
        <f t="shared" si="62"/>
        <v>0</v>
      </c>
      <c r="K200" s="346">
        <f>[4]Reserve!$C21</f>
        <v>0</v>
      </c>
      <c r="L200" s="467">
        <f t="shared" si="63"/>
        <v>0.104</v>
      </c>
      <c r="M200" s="467">
        <f t="shared" si="64"/>
        <v>0.49780000000000002</v>
      </c>
      <c r="N200" s="430">
        <f t="shared" si="61"/>
        <v>0</v>
      </c>
      <c r="P200" s="661"/>
      <c r="R200" s="424"/>
      <c r="S200" s="424"/>
    </row>
    <row r="201" spans="1:19">
      <c r="A201" s="1153">
        <f t="shared" si="48"/>
        <v>187</v>
      </c>
      <c r="B201" s="514">
        <v>39700</v>
      </c>
      <c r="C201" s="88" t="s">
        <v>1539</v>
      </c>
      <c r="D201" s="346">
        <f>[4]Reserve!$Q22</f>
        <v>565490.13399250037</v>
      </c>
      <c r="E201" s="622">
        <v>0</v>
      </c>
      <c r="F201" s="430">
        <f t="shared" si="58"/>
        <v>565490.13399250037</v>
      </c>
      <c r="G201" s="467">
        <f>Allocation!$G$14</f>
        <v>0.104</v>
      </c>
      <c r="H201" s="467">
        <f>Allocation!$H$14</f>
        <v>0.49780000000000002</v>
      </c>
      <c r="I201" s="430">
        <f t="shared" si="62"/>
        <v>29276.102824952533</v>
      </c>
      <c r="K201" s="346">
        <f>[4]Reserve!$C22</f>
        <v>535333.61261336552</v>
      </c>
      <c r="L201" s="467">
        <f t="shared" si="63"/>
        <v>0.104</v>
      </c>
      <c r="M201" s="467">
        <f t="shared" si="64"/>
        <v>0.49780000000000002</v>
      </c>
      <c r="N201" s="430">
        <f t="shared" si="61"/>
        <v>27714.863525329067</v>
      </c>
      <c r="P201" s="661"/>
      <c r="R201" s="424"/>
      <c r="S201" s="424"/>
    </row>
    <row r="202" spans="1:19">
      <c r="A202" s="1153">
        <f t="shared" si="48"/>
        <v>188</v>
      </c>
      <c r="B202" s="514">
        <v>39720</v>
      </c>
      <c r="C202" s="88" t="s">
        <v>1507</v>
      </c>
      <c r="D202" s="346">
        <f>[4]Reserve!$Q23</f>
        <v>4026.871944999999</v>
      </c>
      <c r="E202" s="622">
        <v>0</v>
      </c>
      <c r="F202" s="430">
        <f t="shared" si="58"/>
        <v>4026.871944999999</v>
      </c>
      <c r="G202" s="467">
        <v>1</v>
      </c>
      <c r="H202" s="467">
        <f>H190</f>
        <v>6.3622429999999994E-2</v>
      </c>
      <c r="I202" s="430">
        <f t="shared" si="59"/>
        <v>256.19937843972627</v>
      </c>
      <c r="K202" s="346">
        <f>[4]Reserve!$C23</f>
        <v>3771.2132159615385</v>
      </c>
      <c r="L202" s="467">
        <f t="shared" si="63"/>
        <v>1</v>
      </c>
      <c r="M202" s="467">
        <f t="shared" si="64"/>
        <v>6.3622429999999994E-2</v>
      </c>
      <c r="N202" s="430">
        <f t="shared" si="61"/>
        <v>239.93374884758785</v>
      </c>
      <c r="P202" s="661"/>
      <c r="R202" s="424"/>
      <c r="S202" s="424"/>
    </row>
    <row r="203" spans="1:19">
      <c r="A203" s="1153">
        <f t="shared" si="48"/>
        <v>189</v>
      </c>
      <c r="B203" s="514">
        <v>39800</v>
      </c>
      <c r="C203" s="88" t="s">
        <v>1541</v>
      </c>
      <c r="D203" s="346">
        <f>[4]Reserve!$Q24</f>
        <v>48559.74680399998</v>
      </c>
      <c r="E203" s="622">
        <v>0</v>
      </c>
      <c r="F203" s="430">
        <f t="shared" si="58"/>
        <v>48559.74680399998</v>
      </c>
      <c r="G203" s="467">
        <f>$G$186</f>
        <v>0.104</v>
      </c>
      <c r="H203" s="467">
        <f>$H$186</f>
        <v>0.49780000000000002</v>
      </c>
      <c r="I203" s="430">
        <f t="shared" si="59"/>
        <v>2513.9963637392439</v>
      </c>
      <c r="K203" s="346">
        <f>[4]Reserve!$C24</f>
        <v>45314.049139538438</v>
      </c>
      <c r="L203" s="467">
        <f t="shared" si="63"/>
        <v>0.104</v>
      </c>
      <c r="M203" s="467">
        <f t="shared" si="64"/>
        <v>0.49780000000000002</v>
      </c>
      <c r="N203" s="430">
        <f t="shared" si="61"/>
        <v>2345.9627008128723</v>
      </c>
      <c r="P203" s="661"/>
      <c r="R203" s="424"/>
      <c r="S203" s="424"/>
    </row>
    <row r="204" spans="1:19">
      <c r="A204" s="1153">
        <f t="shared" si="48"/>
        <v>190</v>
      </c>
      <c r="B204" s="514">
        <v>39820</v>
      </c>
      <c r="C204" s="88" t="s">
        <v>1508</v>
      </c>
      <c r="D204" s="346">
        <f>[4]Reserve!$Q25</f>
        <v>1008.0229155000005</v>
      </c>
      <c r="E204" s="622">
        <v>0</v>
      </c>
      <c r="F204" s="430">
        <f t="shared" si="58"/>
        <v>1008.0229155000005</v>
      </c>
      <c r="G204" s="467">
        <v>1</v>
      </c>
      <c r="H204" s="467">
        <f>H202</f>
        <v>6.3622429999999994E-2</v>
      </c>
      <c r="I204" s="430">
        <f t="shared" si="59"/>
        <v>64.132867379794689</v>
      </c>
      <c r="K204" s="346">
        <f>[4]Reserve!$C25</f>
        <v>836.41155417307709</v>
      </c>
      <c r="L204" s="467">
        <f t="shared" si="63"/>
        <v>1</v>
      </c>
      <c r="M204" s="467">
        <f t="shared" si="64"/>
        <v>6.3622429999999994E-2</v>
      </c>
      <c r="N204" s="430">
        <f t="shared" si="61"/>
        <v>53.214535556567803</v>
      </c>
      <c r="P204" s="661"/>
      <c r="R204" s="424"/>
      <c r="S204" s="424"/>
    </row>
    <row r="205" spans="1:19">
      <c r="A205" s="1153">
        <f t="shared" si="48"/>
        <v>191</v>
      </c>
      <c r="B205" s="514">
        <v>39900</v>
      </c>
      <c r="C205" s="88" t="s">
        <v>1557</v>
      </c>
      <c r="D205" s="346">
        <f>[4]Reserve!$Q26</f>
        <v>162984.42999999996</v>
      </c>
      <c r="E205" s="622">
        <v>0</v>
      </c>
      <c r="F205" s="430">
        <f t="shared" si="58"/>
        <v>162984.42999999996</v>
      </c>
      <c r="G205" s="467">
        <f>$G$186</f>
        <v>0.104</v>
      </c>
      <c r="H205" s="467">
        <f>$H$186</f>
        <v>0.49780000000000002</v>
      </c>
      <c r="I205" s="430">
        <f t="shared" si="59"/>
        <v>8437.8995224159971</v>
      </c>
      <c r="K205" s="346">
        <f>[4]Reserve!$C26</f>
        <v>162826.86769230769</v>
      </c>
      <c r="L205" s="467">
        <f t="shared" si="63"/>
        <v>0.104</v>
      </c>
      <c r="M205" s="467">
        <f t="shared" si="64"/>
        <v>0.49780000000000002</v>
      </c>
      <c r="N205" s="430">
        <f t="shared" si="61"/>
        <v>8429.742332672</v>
      </c>
      <c r="P205" s="661"/>
      <c r="R205" s="424"/>
      <c r="S205" s="424"/>
    </row>
    <row r="206" spans="1:19">
      <c r="A206" s="1153">
        <f t="shared" si="48"/>
        <v>192</v>
      </c>
      <c r="B206" s="514">
        <v>39901</v>
      </c>
      <c r="C206" s="80" t="s">
        <v>1550</v>
      </c>
      <c r="D206" s="346">
        <f>[4]Reserve!$Q27</f>
        <v>23301685.245067656</v>
      </c>
      <c r="E206" s="430">
        <v>0</v>
      </c>
      <c r="F206" s="430">
        <f t="shared" ref="F206" si="65">D206+E206</f>
        <v>23301685.245067656</v>
      </c>
      <c r="G206" s="467">
        <v>1</v>
      </c>
      <c r="H206" s="467">
        <f>$H$201</f>
        <v>0.49780000000000002</v>
      </c>
      <c r="I206" s="430">
        <f t="shared" ref="I206" si="66">F206*G206*H206</f>
        <v>11599578.914994679</v>
      </c>
      <c r="K206" s="346">
        <f>[4]Reserve!$C27</f>
        <v>21518817.466754552</v>
      </c>
      <c r="L206" s="467">
        <f t="shared" si="63"/>
        <v>1</v>
      </c>
      <c r="M206" s="467">
        <f t="shared" si="64"/>
        <v>0.49780000000000002</v>
      </c>
      <c r="N206" s="430">
        <f t="shared" ref="N206" si="67">K206*L206*M206</f>
        <v>10712067.334950417</v>
      </c>
      <c r="P206" s="661"/>
      <c r="R206" s="424"/>
      <c r="S206" s="424"/>
    </row>
    <row r="207" spans="1:19">
      <c r="A207" s="1153">
        <f t="shared" si="48"/>
        <v>193</v>
      </c>
      <c r="B207" s="514">
        <v>39902</v>
      </c>
      <c r="C207" s="88" t="s">
        <v>1551</v>
      </c>
      <c r="D207" s="346">
        <f>[4]Reserve!$Q28</f>
        <v>18351173.860344965</v>
      </c>
      <c r="E207" s="622">
        <v>0</v>
      </c>
      <c r="F207" s="430">
        <f t="shared" si="58"/>
        <v>18351173.860344965</v>
      </c>
      <c r="G207" s="467">
        <f t="shared" ref="G207:G224" si="68">$G$186</f>
        <v>0.104</v>
      </c>
      <c r="H207" s="467">
        <f t="shared" ref="H207:H224" si="69">$H$186</f>
        <v>0.49780000000000002</v>
      </c>
      <c r="I207" s="430">
        <f t="shared" si="59"/>
        <v>950062.29215869121</v>
      </c>
      <c r="K207" s="346">
        <f>[4]Reserve!$C28</f>
        <v>17438857.745102491</v>
      </c>
      <c r="L207" s="467">
        <f t="shared" si="63"/>
        <v>0.104</v>
      </c>
      <c r="M207" s="467">
        <f t="shared" si="64"/>
        <v>0.49780000000000002</v>
      </c>
      <c r="N207" s="430">
        <f t="shared" si="61"/>
        <v>902830.59209325013</v>
      </c>
      <c r="P207" s="661"/>
      <c r="R207" s="424"/>
      <c r="S207" s="424"/>
    </row>
    <row r="208" spans="1:19">
      <c r="A208" s="1153">
        <f t="shared" si="48"/>
        <v>194</v>
      </c>
      <c r="B208" s="514">
        <v>39903</v>
      </c>
      <c r="C208" s="88" t="s">
        <v>1542</v>
      </c>
      <c r="D208" s="346">
        <f>[4]Reserve!$Q29</f>
        <v>2715647.2907973216</v>
      </c>
      <c r="E208" s="622">
        <v>0</v>
      </c>
      <c r="F208" s="430">
        <f t="shared" si="58"/>
        <v>2715647.2907973216</v>
      </c>
      <c r="G208" s="467">
        <f t="shared" si="68"/>
        <v>0.104</v>
      </c>
      <c r="H208" s="467">
        <f t="shared" si="69"/>
        <v>0.49780000000000002</v>
      </c>
      <c r="I208" s="430">
        <f t="shared" si="59"/>
        <v>140592.31902132629</v>
      </c>
      <c r="K208" s="346">
        <f>[4]Reserve!$C29</f>
        <v>2543235.3764677271</v>
      </c>
      <c r="L208" s="467">
        <f t="shared" si="63"/>
        <v>0.104</v>
      </c>
      <c r="M208" s="467">
        <f t="shared" si="64"/>
        <v>0.49780000000000002</v>
      </c>
      <c r="N208" s="430">
        <f t="shared" si="61"/>
        <v>131666.34732218599</v>
      </c>
      <c r="P208" s="661"/>
      <c r="R208" s="424"/>
      <c r="S208" s="424"/>
    </row>
    <row r="209" spans="1:19">
      <c r="A209" s="1153">
        <f t="shared" si="48"/>
        <v>195</v>
      </c>
      <c r="B209" s="514">
        <v>39904</v>
      </c>
      <c r="C209" s="88" t="s">
        <v>1558</v>
      </c>
      <c r="D209" s="346">
        <f>[4]Reserve!$Q30</f>
        <v>0</v>
      </c>
      <c r="E209" s="622">
        <v>0</v>
      </c>
      <c r="F209" s="430">
        <f t="shared" si="58"/>
        <v>0</v>
      </c>
      <c r="G209" s="467">
        <f t="shared" si="68"/>
        <v>0.104</v>
      </c>
      <c r="H209" s="467">
        <f t="shared" si="69"/>
        <v>0.49780000000000002</v>
      </c>
      <c r="I209" s="430">
        <f t="shared" si="59"/>
        <v>0</v>
      </c>
      <c r="K209" s="346">
        <f>[4]Reserve!$C30</f>
        <v>0</v>
      </c>
      <c r="L209" s="467">
        <f t="shared" si="63"/>
        <v>0.104</v>
      </c>
      <c r="M209" s="467">
        <f t="shared" si="64"/>
        <v>0.49780000000000002</v>
      </c>
      <c r="N209" s="430">
        <f t="shared" si="61"/>
        <v>0</v>
      </c>
      <c r="P209" s="661"/>
      <c r="R209" s="424"/>
      <c r="S209" s="424"/>
    </row>
    <row r="210" spans="1:19">
      <c r="A210" s="1153">
        <f t="shared" si="48"/>
        <v>196</v>
      </c>
      <c r="B210" s="514">
        <v>39905</v>
      </c>
      <c r="C210" s="88" t="s">
        <v>1559</v>
      </c>
      <c r="D210" s="346">
        <f>[4]Reserve!$Q31</f>
        <v>0</v>
      </c>
      <c r="E210" s="430">
        <v>0</v>
      </c>
      <c r="F210" s="430">
        <f t="shared" ref="F210" si="70">D210+E210</f>
        <v>0</v>
      </c>
      <c r="G210" s="467">
        <f t="shared" si="68"/>
        <v>0.104</v>
      </c>
      <c r="H210" s="467">
        <f t="shared" si="69"/>
        <v>0.49780000000000002</v>
      </c>
      <c r="I210" s="430">
        <f t="shared" ref="I210" si="71">F210*G210*H210</f>
        <v>0</v>
      </c>
      <c r="K210" s="346">
        <f>[4]Reserve!$C31</f>
        <v>0</v>
      </c>
      <c r="L210" s="467">
        <f t="shared" si="63"/>
        <v>0.104</v>
      </c>
      <c r="M210" s="467">
        <f t="shared" si="64"/>
        <v>0.49780000000000002</v>
      </c>
      <c r="N210" s="430">
        <f t="shared" ref="N210" si="72">K210*L210*M210</f>
        <v>0</v>
      </c>
      <c r="P210" s="661"/>
      <c r="R210" s="424"/>
      <c r="S210" s="424"/>
    </row>
    <row r="211" spans="1:19">
      <c r="A211" s="1153">
        <f t="shared" si="48"/>
        <v>197</v>
      </c>
      <c r="B211" s="707">
        <v>39906</v>
      </c>
      <c r="C211" s="88" t="s">
        <v>1543</v>
      </c>
      <c r="D211" s="346">
        <f>[4]Reserve!$Q32</f>
        <v>1227064.629840022</v>
      </c>
      <c r="E211" s="622">
        <v>0</v>
      </c>
      <c r="F211" s="430">
        <f t="shared" si="58"/>
        <v>1227064.629840022</v>
      </c>
      <c r="G211" s="467">
        <f t="shared" si="68"/>
        <v>0.104</v>
      </c>
      <c r="H211" s="467">
        <f t="shared" si="69"/>
        <v>0.49780000000000002</v>
      </c>
      <c r="I211" s="430">
        <f t="shared" si="59"/>
        <v>63526.608364373744</v>
      </c>
      <c r="K211" s="346">
        <f>[4]Reserve!$C32</f>
        <v>1103119.3899074136</v>
      </c>
      <c r="L211" s="467">
        <f t="shared" si="63"/>
        <v>0.104</v>
      </c>
      <c r="M211" s="467">
        <f t="shared" si="64"/>
        <v>0.49780000000000002</v>
      </c>
      <c r="N211" s="430">
        <f t="shared" si="61"/>
        <v>57109.814558774691</v>
      </c>
      <c r="P211" s="661"/>
      <c r="R211" s="424"/>
      <c r="S211" s="424"/>
    </row>
    <row r="212" spans="1:19">
      <c r="A212" s="1153">
        <f t="shared" ref="A212:A264" si="73">A211+1</f>
        <v>198</v>
      </c>
      <c r="B212" s="707">
        <v>39907</v>
      </c>
      <c r="C212" s="88" t="s">
        <v>1544</v>
      </c>
      <c r="D212" s="346">
        <f>[4]Reserve!$Q33</f>
        <v>299840.30277059053</v>
      </c>
      <c r="E212" s="622">
        <v>0</v>
      </c>
      <c r="F212" s="430">
        <f t="shared" si="58"/>
        <v>299840.30277059053</v>
      </c>
      <c r="G212" s="467">
        <f t="shared" si="68"/>
        <v>0.104</v>
      </c>
      <c r="H212" s="467">
        <f t="shared" si="69"/>
        <v>0.49780000000000002</v>
      </c>
      <c r="I212" s="430">
        <f t="shared" si="59"/>
        <v>15523.092282796795</v>
      </c>
      <c r="K212" s="346">
        <f>[4]Reserve!$C33</f>
        <v>249234.47945827432</v>
      </c>
      <c r="L212" s="467">
        <f t="shared" si="63"/>
        <v>0.104</v>
      </c>
      <c r="M212" s="467">
        <f t="shared" si="64"/>
        <v>0.49780000000000002</v>
      </c>
      <c r="N212" s="430">
        <f t="shared" si="61"/>
        <v>12903.168082930211</v>
      </c>
      <c r="P212" s="661"/>
      <c r="R212" s="424"/>
      <c r="S212" s="424"/>
    </row>
    <row r="213" spans="1:19">
      <c r="A213" s="1153">
        <f t="shared" si="73"/>
        <v>199</v>
      </c>
      <c r="B213" s="707">
        <v>39908</v>
      </c>
      <c r="C213" s="88" t="s">
        <v>1545</v>
      </c>
      <c r="D213" s="346">
        <f>[4]Reserve!$Q34</f>
        <v>35647387.33932507</v>
      </c>
      <c r="E213" s="622">
        <v>0</v>
      </c>
      <c r="F213" s="430">
        <f t="shared" si="58"/>
        <v>35647387.33932507</v>
      </c>
      <c r="G213" s="467">
        <f t="shared" si="68"/>
        <v>0.104</v>
      </c>
      <c r="H213" s="467">
        <f t="shared" si="69"/>
        <v>0.49780000000000002</v>
      </c>
      <c r="I213" s="430">
        <f t="shared" si="59"/>
        <v>1845508.0194216659</v>
      </c>
      <c r="K213" s="346">
        <f>[4]Reserve!$C34</f>
        <v>33415036.291575827</v>
      </c>
      <c r="L213" s="467">
        <f t="shared" si="63"/>
        <v>0.104</v>
      </c>
      <c r="M213" s="467">
        <f t="shared" si="64"/>
        <v>0.49780000000000002</v>
      </c>
      <c r="N213" s="430">
        <f t="shared" si="61"/>
        <v>1729936.5268584304</v>
      </c>
      <c r="P213" s="661"/>
      <c r="R213" s="424"/>
      <c r="S213" s="424"/>
    </row>
    <row r="214" spans="1:19">
      <c r="A214" s="1153">
        <f t="shared" si="73"/>
        <v>200</v>
      </c>
      <c r="B214" s="707">
        <v>39909</v>
      </c>
      <c r="C214" s="88" t="s">
        <v>1560</v>
      </c>
      <c r="D214" s="346">
        <f>[4]Reserve!$Q35</f>
        <v>44629.080000000009</v>
      </c>
      <c r="E214" s="622">
        <v>0</v>
      </c>
      <c r="F214" s="430">
        <f t="shared" si="58"/>
        <v>44629.080000000009</v>
      </c>
      <c r="G214" s="467">
        <f t="shared" si="68"/>
        <v>0.104</v>
      </c>
      <c r="H214" s="467">
        <f t="shared" si="69"/>
        <v>0.49780000000000002</v>
      </c>
      <c r="I214" s="430">
        <f t="shared" si="59"/>
        <v>2310.5010264960006</v>
      </c>
      <c r="K214" s="346">
        <f>[4]Reserve!$C35</f>
        <v>44317.763076923082</v>
      </c>
      <c r="L214" s="467">
        <f t="shared" si="63"/>
        <v>0.104</v>
      </c>
      <c r="M214" s="467">
        <f t="shared" si="64"/>
        <v>0.49780000000000002</v>
      </c>
      <c r="N214" s="430">
        <f t="shared" si="61"/>
        <v>2294.3837758080003</v>
      </c>
      <c r="P214" s="661"/>
      <c r="R214" s="424"/>
      <c r="S214" s="424"/>
    </row>
    <row r="215" spans="1:19">
      <c r="A215" s="1153">
        <f t="shared" si="73"/>
        <v>201</v>
      </c>
      <c r="B215" s="707">
        <v>39921</v>
      </c>
      <c r="C215" s="88" t="s">
        <v>1509</v>
      </c>
      <c r="D215" s="346">
        <f>[4]Reserve!$Q36</f>
        <v>1246483.9657340001</v>
      </c>
      <c r="E215" s="622">
        <v>0</v>
      </c>
      <c r="F215" s="430">
        <f t="shared" si="58"/>
        <v>1246483.9657340001</v>
      </c>
      <c r="G215" s="467">
        <v>1</v>
      </c>
      <c r="H215" s="467">
        <f>H189</f>
        <v>6.3622429999999994E-2</v>
      </c>
      <c r="I215" s="430">
        <f t="shared" si="59"/>
        <v>79304.338856033806</v>
      </c>
      <c r="K215" s="346">
        <f>[4]Reserve!$C36</f>
        <v>1170657.7342360769</v>
      </c>
      <c r="L215" s="467">
        <f t="shared" si="63"/>
        <v>1</v>
      </c>
      <c r="M215" s="467">
        <f t="shared" si="64"/>
        <v>6.3622429999999994E-2</v>
      </c>
      <c r="N215" s="430">
        <f t="shared" si="61"/>
        <v>74480.089750393396</v>
      </c>
      <c r="P215" s="661"/>
      <c r="R215" s="424"/>
      <c r="S215" s="424"/>
    </row>
    <row r="216" spans="1:19">
      <c r="A216" s="1153">
        <f t="shared" si="73"/>
        <v>202</v>
      </c>
      <c r="B216" s="707">
        <v>39922</v>
      </c>
      <c r="C216" s="88" t="s">
        <v>1510</v>
      </c>
      <c r="D216" s="346">
        <f>[4]Reserve!$Q37</f>
        <v>515707.56432599999</v>
      </c>
      <c r="E216" s="622">
        <v>0</v>
      </c>
      <c r="F216" s="430">
        <f t="shared" si="58"/>
        <v>515707.56432599999</v>
      </c>
      <c r="G216" s="467">
        <v>1</v>
      </c>
      <c r="H216" s="467">
        <f>H189</f>
        <v>6.3622429999999994E-2</v>
      </c>
      <c r="I216" s="430">
        <f t="shared" si="59"/>
        <v>32810.568411801425</v>
      </c>
      <c r="K216" s="346">
        <f>[4]Reserve!$C37</f>
        <v>472986.97424161539</v>
      </c>
      <c r="L216" s="467">
        <f t="shared" si="63"/>
        <v>1</v>
      </c>
      <c r="M216" s="467">
        <f t="shared" si="64"/>
        <v>6.3622429999999994E-2</v>
      </c>
      <c r="N216" s="430">
        <f t="shared" si="61"/>
        <v>30092.580659598974</v>
      </c>
      <c r="P216" s="661"/>
      <c r="R216" s="424"/>
      <c r="S216" s="424"/>
    </row>
    <row r="217" spans="1:19">
      <c r="A217" s="1153">
        <f t="shared" si="73"/>
        <v>203</v>
      </c>
      <c r="B217" s="707">
        <v>39923</v>
      </c>
      <c r="C217" s="88" t="s">
        <v>1511</v>
      </c>
      <c r="D217" s="346">
        <f>[4]Reserve!$Q38</f>
        <v>45881.344081999996</v>
      </c>
      <c r="E217" s="622">
        <v>0</v>
      </c>
      <c r="F217" s="430">
        <f t="shared" si="58"/>
        <v>45881.344081999996</v>
      </c>
      <c r="G217" s="467">
        <v>1</v>
      </c>
      <c r="H217" s="467">
        <f>H189</f>
        <v>6.3622429999999994E-2</v>
      </c>
      <c r="I217" s="430">
        <f t="shared" si="59"/>
        <v>2919.0826021629587</v>
      </c>
      <c r="K217" s="346">
        <f>[4]Reserve!$C38</f>
        <v>43680.824560538465</v>
      </c>
      <c r="L217" s="467">
        <f t="shared" si="63"/>
        <v>1</v>
      </c>
      <c r="M217" s="467">
        <f t="shared" si="64"/>
        <v>6.3622429999999994E-2</v>
      </c>
      <c r="N217" s="430">
        <f t="shared" si="61"/>
        <v>2779.0802029451388</v>
      </c>
      <c r="P217" s="661"/>
      <c r="R217" s="424"/>
      <c r="S217" s="424"/>
    </row>
    <row r="218" spans="1:19">
      <c r="A218" s="1153">
        <f t="shared" si="73"/>
        <v>204</v>
      </c>
      <c r="B218" s="707">
        <v>39924</v>
      </c>
      <c r="C218" s="88" t="s">
        <v>1392</v>
      </c>
      <c r="D218" s="346">
        <f>[4]Reserve!$Q39</f>
        <v>0</v>
      </c>
      <c r="E218" s="622">
        <v>0</v>
      </c>
      <c r="F218" s="430">
        <f t="shared" si="58"/>
        <v>0</v>
      </c>
      <c r="G218" s="467">
        <f t="shared" si="68"/>
        <v>0.104</v>
      </c>
      <c r="H218" s="467">
        <f t="shared" si="69"/>
        <v>0.49780000000000002</v>
      </c>
      <c r="I218" s="430">
        <f t="shared" si="59"/>
        <v>0</v>
      </c>
      <c r="K218" s="346">
        <f>[4]Reserve!$C39</f>
        <v>0</v>
      </c>
      <c r="L218" s="467">
        <f t="shared" si="63"/>
        <v>0.104</v>
      </c>
      <c r="M218" s="467">
        <f t="shared" si="64"/>
        <v>0.49780000000000002</v>
      </c>
      <c r="N218" s="430">
        <f t="shared" si="61"/>
        <v>0</v>
      </c>
      <c r="P218" s="661"/>
      <c r="R218" s="424"/>
      <c r="S218" s="424"/>
    </row>
    <row r="219" spans="1:19">
      <c r="A219" s="1153">
        <f t="shared" si="73"/>
        <v>205</v>
      </c>
      <c r="B219" s="707">
        <v>39926</v>
      </c>
      <c r="C219" s="88" t="s">
        <v>1520</v>
      </c>
      <c r="D219" s="346">
        <f>[4]Reserve!$Q40</f>
        <v>71816.370578999995</v>
      </c>
      <c r="E219" s="622">
        <v>0</v>
      </c>
      <c r="F219" s="430">
        <f t="shared" si="58"/>
        <v>71816.370578999995</v>
      </c>
      <c r="G219" s="467">
        <v>1</v>
      </c>
      <c r="H219" s="467">
        <f>H215</f>
        <v>6.3622429999999994E-2</v>
      </c>
      <c r="I219" s="430">
        <f t="shared" si="59"/>
        <v>4569.1320100164858</v>
      </c>
      <c r="K219" s="346">
        <f>[4]Reserve!$C40</f>
        <v>55799.476309730759</v>
      </c>
      <c r="L219" s="467">
        <f t="shared" si="63"/>
        <v>1</v>
      </c>
      <c r="M219" s="467">
        <f t="shared" si="64"/>
        <v>6.3622429999999994E-2</v>
      </c>
      <c r="N219" s="430">
        <f t="shared" si="61"/>
        <v>3550.0982755525033</v>
      </c>
      <c r="P219" s="661"/>
      <c r="R219" s="424"/>
      <c r="S219" s="424"/>
    </row>
    <row r="220" spans="1:19">
      <c r="A220" s="1153">
        <f t="shared" si="73"/>
        <v>206</v>
      </c>
      <c r="B220" s="707">
        <v>39928</v>
      </c>
      <c r="C220" s="88" t="s">
        <v>1521</v>
      </c>
      <c r="D220" s="346">
        <f>[4]Reserve!$Q41</f>
        <v>13197892.222419091</v>
      </c>
      <c r="E220" s="622">
        <v>0</v>
      </c>
      <c r="F220" s="430">
        <f t="shared" si="58"/>
        <v>13197892.222419091</v>
      </c>
      <c r="G220" s="467">
        <v>1</v>
      </c>
      <c r="H220" s="467">
        <f>H215</f>
        <v>6.3622429999999994E-2</v>
      </c>
      <c r="I220" s="430">
        <f t="shared" si="59"/>
        <v>839681.97406840289</v>
      </c>
      <c r="K220" s="346">
        <f>[4]Reserve!$C41</f>
        <v>12528079.516496228</v>
      </c>
      <c r="L220" s="467">
        <f t="shared" si="63"/>
        <v>1</v>
      </c>
      <c r="M220" s="467">
        <f t="shared" si="64"/>
        <v>6.3622429999999994E-2</v>
      </c>
      <c r="N220" s="430">
        <f t="shared" si="61"/>
        <v>797066.86207271507</v>
      </c>
      <c r="P220" s="661"/>
      <c r="R220" s="424"/>
      <c r="S220" s="424"/>
    </row>
    <row r="221" spans="1:19">
      <c r="A221" s="1153">
        <f t="shared" si="73"/>
        <v>207</v>
      </c>
      <c r="B221" s="707">
        <v>39931</v>
      </c>
      <c r="C221" s="88" t="s">
        <v>1522</v>
      </c>
      <c r="D221" s="346">
        <f>[4]Reserve!$Q42</f>
        <v>67769.857313999964</v>
      </c>
      <c r="E221" s="622">
        <v>0</v>
      </c>
      <c r="F221" s="430">
        <f t="shared" si="58"/>
        <v>67769.857313999964</v>
      </c>
      <c r="G221" s="467">
        <v>1</v>
      </c>
      <c r="H221" s="324">
        <f>Allocation!$E$23</f>
        <v>0</v>
      </c>
      <c r="I221" s="430">
        <f t="shared" si="59"/>
        <v>0</v>
      </c>
      <c r="K221" s="346">
        <f>[4]Reserve!$C42</f>
        <v>53661.806199923049</v>
      </c>
      <c r="L221" s="467">
        <f t="shared" si="63"/>
        <v>1</v>
      </c>
      <c r="M221" s="467">
        <f t="shared" si="64"/>
        <v>0</v>
      </c>
      <c r="N221" s="430">
        <f t="shared" si="61"/>
        <v>0</v>
      </c>
      <c r="P221" s="661"/>
      <c r="R221" s="424"/>
      <c r="S221" s="424"/>
    </row>
    <row r="222" spans="1:19">
      <c r="A222" s="1153">
        <f t="shared" si="73"/>
        <v>208</v>
      </c>
      <c r="B222" s="707">
        <v>39932</v>
      </c>
      <c r="C222" s="88" t="s">
        <v>1523</v>
      </c>
      <c r="D222" s="346">
        <f>[4]Reserve!$Q43</f>
        <v>64025.058426000003</v>
      </c>
      <c r="E222" s="622">
        <v>0</v>
      </c>
      <c r="F222" s="430">
        <f t="shared" si="58"/>
        <v>64025.058426000003</v>
      </c>
      <c r="G222" s="467">
        <v>1</v>
      </c>
      <c r="H222" s="324">
        <f>Allocation!$E$23</f>
        <v>0</v>
      </c>
      <c r="I222" s="430">
        <f t="shared" si="59"/>
        <v>0</v>
      </c>
      <c r="K222" s="346">
        <f>[4]Reserve!$C43</f>
        <v>48541.343037769235</v>
      </c>
      <c r="L222" s="467">
        <f t="shared" si="63"/>
        <v>1</v>
      </c>
      <c r="M222" s="467">
        <f t="shared" si="64"/>
        <v>0</v>
      </c>
      <c r="N222" s="430">
        <f t="shared" si="61"/>
        <v>0</v>
      </c>
      <c r="P222" s="661"/>
      <c r="R222" s="424"/>
      <c r="S222" s="424"/>
    </row>
    <row r="223" spans="1:19">
      <c r="A223" s="1153">
        <f t="shared" si="73"/>
        <v>209</v>
      </c>
      <c r="B223" s="707">
        <v>39938</v>
      </c>
      <c r="C223" s="88" t="s">
        <v>1524</v>
      </c>
      <c r="D223" s="346">
        <f>[4]Reserve!$Q44</f>
        <v>4113000.4530973448</v>
      </c>
      <c r="E223" s="622">
        <v>0</v>
      </c>
      <c r="F223" s="430">
        <f t="shared" si="58"/>
        <v>4113000.4530973448</v>
      </c>
      <c r="G223" s="467">
        <v>1</v>
      </c>
      <c r="H223" s="324">
        <f>Allocation!$E$23</f>
        <v>0</v>
      </c>
      <c r="I223" s="430">
        <f t="shared" si="59"/>
        <v>0</v>
      </c>
      <c r="K223" s="346">
        <f>[4]Reserve!$C44</f>
        <v>3519065.8934453321</v>
      </c>
      <c r="L223" s="467">
        <f t="shared" si="63"/>
        <v>1</v>
      </c>
      <c r="M223" s="467">
        <f t="shared" si="64"/>
        <v>0</v>
      </c>
      <c r="N223" s="430"/>
      <c r="P223" s="661"/>
      <c r="R223" s="424"/>
      <c r="S223" s="424"/>
    </row>
    <row r="224" spans="1:19">
      <c r="A224" s="1153">
        <f t="shared" si="73"/>
        <v>210</v>
      </c>
      <c r="B224" s="707"/>
      <c r="C224" s="88" t="s">
        <v>1143</v>
      </c>
      <c r="D224" s="346">
        <f>[4]Reserve!$Q45</f>
        <v>0</v>
      </c>
      <c r="E224" s="1060">
        <v>0</v>
      </c>
      <c r="F224" s="430">
        <f t="shared" si="58"/>
        <v>0</v>
      </c>
      <c r="G224" s="467">
        <f t="shared" si="68"/>
        <v>0.104</v>
      </c>
      <c r="H224" s="467">
        <f t="shared" si="69"/>
        <v>0.49780000000000002</v>
      </c>
      <c r="I224" s="1043">
        <f t="shared" si="59"/>
        <v>0</v>
      </c>
      <c r="K224" s="346">
        <f>[4]Reserve!$C45</f>
        <v>0</v>
      </c>
      <c r="L224" s="467">
        <f>L222</f>
        <v>1</v>
      </c>
      <c r="M224" s="423">
        <f t="shared" si="60"/>
        <v>0.49780000000000002</v>
      </c>
      <c r="N224" s="1043">
        <f t="shared" si="61"/>
        <v>0</v>
      </c>
      <c r="P224" s="661"/>
      <c r="R224" s="424"/>
      <c r="S224" s="424"/>
    </row>
    <row r="225" spans="1:19">
      <c r="A225" s="1153">
        <f t="shared" si="73"/>
        <v>211</v>
      </c>
      <c r="B225" s="390"/>
      <c r="C225" s="88"/>
      <c r="D225" s="619"/>
      <c r="E225" s="619"/>
      <c r="F225" s="619"/>
    </row>
    <row r="226" spans="1:19" ht="15.75" thickBot="1">
      <c r="A226" s="1153">
        <f t="shared" si="73"/>
        <v>212</v>
      </c>
      <c r="B226" s="390"/>
      <c r="C226" s="233" t="s">
        <v>1325</v>
      </c>
      <c r="D226" s="468">
        <f>SUM(D186:D224)</f>
        <v>117407577.94798602</v>
      </c>
      <c r="E226" s="468">
        <f>SUM(E186:E224)</f>
        <v>0</v>
      </c>
      <c r="F226" s="468">
        <f>SUM(F186:F224)</f>
        <v>117407577.94798602</v>
      </c>
      <c r="I226" s="468">
        <f>SUM(I186:I224)</f>
        <v>16295462.326771548</v>
      </c>
      <c r="K226" s="468">
        <f>SUM(K186:K224)</f>
        <v>110393627.69245526</v>
      </c>
      <c r="N226" s="468">
        <f>SUM(N186:N224)</f>
        <v>15164859.24518319</v>
      </c>
    </row>
    <row r="227" spans="1:19" ht="15.75" thickTop="1">
      <c r="A227" s="1153">
        <f t="shared" si="73"/>
        <v>213</v>
      </c>
      <c r="B227" s="1039"/>
      <c r="D227" s="430"/>
    </row>
    <row r="228" spans="1:19" ht="15.75">
      <c r="A228" s="1153">
        <f t="shared" si="73"/>
        <v>214</v>
      </c>
      <c r="B228" s="1044" t="s">
        <v>9</v>
      </c>
      <c r="D228" s="430"/>
    </row>
    <row r="229" spans="1:19">
      <c r="A229" s="1153">
        <f t="shared" si="73"/>
        <v>215</v>
      </c>
      <c r="B229" s="1039"/>
      <c r="D229" s="430"/>
    </row>
    <row r="230" spans="1:19">
      <c r="A230" s="1153">
        <f t="shared" si="73"/>
        <v>216</v>
      </c>
      <c r="B230" s="390"/>
      <c r="C230" s="620" t="s">
        <v>301</v>
      </c>
      <c r="D230" s="430"/>
    </row>
    <row r="231" spans="1:19">
      <c r="A231" s="1153">
        <f t="shared" si="73"/>
        <v>217</v>
      </c>
      <c r="B231" s="514">
        <v>38900</v>
      </c>
      <c r="C231" s="88" t="s">
        <v>1561</v>
      </c>
      <c r="D231" s="346">
        <f>[4]Reserve!$Q50</f>
        <v>0</v>
      </c>
      <c r="E231" s="346">
        <v>0</v>
      </c>
      <c r="F231" s="346">
        <f t="shared" ref="F231:F260" si="74">D231+E231</f>
        <v>0</v>
      </c>
      <c r="G231" s="467">
        <f>Allocation!$G$15</f>
        <v>0.1095</v>
      </c>
      <c r="H231" s="467">
        <f>Allocation!$H$15</f>
        <v>0.51517972406888612</v>
      </c>
      <c r="I231" s="346">
        <f t="shared" ref="I231:I260" si="75">F231*G231*H231</f>
        <v>0</v>
      </c>
      <c r="K231" s="346">
        <f>[4]Reserve!$C50</f>
        <v>0</v>
      </c>
      <c r="L231" s="467">
        <f t="shared" ref="L231:L260" si="76">G231</f>
        <v>0.1095</v>
      </c>
      <c r="M231" s="467">
        <f t="shared" ref="M231:M260" si="77">H231</f>
        <v>0.51517972406888612</v>
      </c>
      <c r="N231" s="346">
        <f t="shared" ref="N231:N260" si="78">K231*L231*M231</f>
        <v>0</v>
      </c>
      <c r="P231" s="661"/>
      <c r="R231" s="424"/>
      <c r="S231" s="424"/>
    </row>
    <row r="232" spans="1:19">
      <c r="A232" s="1153">
        <f t="shared" si="73"/>
        <v>218</v>
      </c>
      <c r="B232" s="514">
        <v>38910</v>
      </c>
      <c r="C232" s="88" t="s">
        <v>1562</v>
      </c>
      <c r="D232" s="346">
        <f>[4]Reserve!$Q51</f>
        <v>0</v>
      </c>
      <c r="E232" s="430">
        <v>0</v>
      </c>
      <c r="F232" s="430">
        <f t="shared" si="74"/>
        <v>0</v>
      </c>
      <c r="G232" s="467">
        <v>1</v>
      </c>
      <c r="H232" s="467">
        <f>Allocation!$I$21</f>
        <v>2.3186160000000001E-2</v>
      </c>
      <c r="I232" s="430">
        <f t="shared" si="75"/>
        <v>0</v>
      </c>
      <c r="K232" s="346">
        <f>[4]Reserve!$C51</f>
        <v>0</v>
      </c>
      <c r="L232" s="467">
        <f t="shared" si="76"/>
        <v>1</v>
      </c>
      <c r="M232" s="467">
        <f t="shared" si="77"/>
        <v>2.3186160000000001E-2</v>
      </c>
      <c r="N232" s="430">
        <f t="shared" si="78"/>
        <v>0</v>
      </c>
      <c r="P232" s="661"/>
      <c r="R232" s="424"/>
      <c r="S232" s="424"/>
    </row>
    <row r="233" spans="1:19">
      <c r="A233" s="1153">
        <f t="shared" si="73"/>
        <v>219</v>
      </c>
      <c r="B233" s="514">
        <v>39000</v>
      </c>
      <c r="C233" s="88" t="s">
        <v>1527</v>
      </c>
      <c r="D233" s="346">
        <f>[4]Reserve!$Q52</f>
        <v>2017623.899280499</v>
      </c>
      <c r="E233" s="430">
        <v>0</v>
      </c>
      <c r="F233" s="430">
        <f t="shared" si="74"/>
        <v>2017623.899280499</v>
      </c>
      <c r="G233" s="467">
        <f>$G$231</f>
        <v>0.1095</v>
      </c>
      <c r="H233" s="467">
        <f>$H$231</f>
        <v>0.51517972406888612</v>
      </c>
      <c r="I233" s="430">
        <f t="shared" si="75"/>
        <v>113818.56214581987</v>
      </c>
      <c r="K233" s="346">
        <f>[4]Reserve!$C52</f>
        <v>1823527.8571139807</v>
      </c>
      <c r="L233" s="467">
        <f t="shared" si="76"/>
        <v>0.1095</v>
      </c>
      <c r="M233" s="467">
        <f t="shared" si="77"/>
        <v>0.51517972406888612</v>
      </c>
      <c r="N233" s="430">
        <f t="shared" si="78"/>
        <v>102869.18131945989</v>
      </c>
      <c r="P233" s="661"/>
      <c r="R233" s="424"/>
      <c r="S233" s="424"/>
    </row>
    <row r="234" spans="1:19">
      <c r="A234" s="1153">
        <f t="shared" si="73"/>
        <v>220</v>
      </c>
      <c r="B234" s="514">
        <v>39009</v>
      </c>
      <c r="C234" s="88" t="s">
        <v>1531</v>
      </c>
      <c r="D234" s="346">
        <f>[4]Reserve!$Q53</f>
        <v>1698696.3401875002</v>
      </c>
      <c r="E234" s="430">
        <v>0</v>
      </c>
      <c r="F234" s="430">
        <f t="shared" si="74"/>
        <v>1698696.3401875002</v>
      </c>
      <c r="G234" s="467">
        <f>$G$231</f>
        <v>0.1095</v>
      </c>
      <c r="H234" s="467">
        <f>$H$231</f>
        <v>0.51517972406888612</v>
      </c>
      <c r="I234" s="430">
        <f t="shared" si="75"/>
        <v>95827.163343701235</v>
      </c>
      <c r="K234" s="346">
        <f>[4]Reserve!$C53</f>
        <v>1650738.1435120197</v>
      </c>
      <c r="L234" s="467">
        <f t="shared" ref="L234:L259" si="79">G234</f>
        <v>0.1095</v>
      </c>
      <c r="M234" s="467">
        <f t="shared" ref="M234:M259" si="80">H234</f>
        <v>0.51517972406888612</v>
      </c>
      <c r="N234" s="430">
        <f t="shared" si="78"/>
        <v>93121.736930653584</v>
      </c>
      <c r="P234" s="661"/>
      <c r="R234" s="424"/>
      <c r="S234" s="424"/>
    </row>
    <row r="235" spans="1:19">
      <c r="A235" s="1153">
        <f t="shared" si="73"/>
        <v>221</v>
      </c>
      <c r="B235" s="514">
        <v>39010</v>
      </c>
      <c r="C235" s="88" t="s">
        <v>1563</v>
      </c>
      <c r="D235" s="346">
        <f>[4]Reserve!$Q54</f>
        <v>2945091.9320000024</v>
      </c>
      <c r="E235" s="430">
        <v>0</v>
      </c>
      <c r="F235" s="430">
        <f t="shared" si="74"/>
        <v>2945091.9320000024</v>
      </c>
      <c r="G235" s="467">
        <v>1</v>
      </c>
      <c r="H235" s="467">
        <f>Allocation!$I$21</f>
        <v>2.3186160000000001E-2</v>
      </c>
      <c r="I235" s="430">
        <f t="shared" si="75"/>
        <v>68285.372750061171</v>
      </c>
      <c r="K235" s="346">
        <f>[4]Reserve!$C54</f>
        <v>2755432.48246154</v>
      </c>
      <c r="L235" s="467">
        <f t="shared" si="79"/>
        <v>1</v>
      </c>
      <c r="M235" s="467">
        <f t="shared" si="80"/>
        <v>2.3186160000000001E-2</v>
      </c>
      <c r="N235" s="430">
        <f t="shared" si="78"/>
        <v>63887.898407550463</v>
      </c>
      <c r="P235" s="661"/>
      <c r="R235" s="424"/>
      <c r="S235" s="424"/>
    </row>
    <row r="236" spans="1:19">
      <c r="A236" s="1153">
        <f t="shared" si="73"/>
        <v>222</v>
      </c>
      <c r="B236" s="514">
        <v>39100</v>
      </c>
      <c r="C236" s="88" t="s">
        <v>1532</v>
      </c>
      <c r="D236" s="346">
        <f>[4]Reserve!$Q55</f>
        <v>871243.71232916368</v>
      </c>
      <c r="E236" s="430">
        <v>0</v>
      </c>
      <c r="F236" s="430">
        <f t="shared" si="74"/>
        <v>871243.71232916368</v>
      </c>
      <c r="G236" s="467">
        <f t="shared" ref="G236:G239" si="81">$G$231</f>
        <v>0.1095</v>
      </c>
      <c r="H236" s="467">
        <f t="shared" ref="H236:H239" si="82">$H$231</f>
        <v>0.51517972406888612</v>
      </c>
      <c r="I236" s="430">
        <f t="shared" si="75"/>
        <v>49148.756936936712</v>
      </c>
      <c r="K236" s="346">
        <f>[4]Reserve!$C55</f>
        <v>823736.10758406133</v>
      </c>
      <c r="L236" s="467">
        <f t="shared" si="79"/>
        <v>0.1095</v>
      </c>
      <c r="M236" s="467">
        <f t="shared" si="80"/>
        <v>0.51517972406888612</v>
      </c>
      <c r="N236" s="430">
        <f t="shared" si="78"/>
        <v>46468.749396875486</v>
      </c>
      <c r="P236" s="661"/>
      <c r="R236" s="424"/>
      <c r="S236" s="424"/>
    </row>
    <row r="237" spans="1:19">
      <c r="A237" s="1153">
        <f t="shared" si="73"/>
        <v>223</v>
      </c>
      <c r="B237" s="514">
        <v>39101</v>
      </c>
      <c r="C237" s="88" t="s">
        <v>1502</v>
      </c>
      <c r="D237" s="346">
        <f>[4]Reserve!$Q56</f>
        <v>0</v>
      </c>
      <c r="E237" s="430">
        <v>0</v>
      </c>
      <c r="F237" s="430">
        <f t="shared" si="74"/>
        <v>0</v>
      </c>
      <c r="G237" s="467">
        <f t="shared" si="81"/>
        <v>0.1095</v>
      </c>
      <c r="H237" s="467">
        <f t="shared" si="82"/>
        <v>0.51517972406888612</v>
      </c>
      <c r="I237" s="430">
        <f t="shared" si="75"/>
        <v>0</v>
      </c>
      <c r="K237" s="346">
        <f>[4]Reserve!$C56</f>
        <v>0</v>
      </c>
      <c r="L237" s="467">
        <f t="shared" si="79"/>
        <v>0.1095</v>
      </c>
      <c r="M237" s="467">
        <f t="shared" si="80"/>
        <v>0.51517972406888612</v>
      </c>
      <c r="N237" s="430">
        <f t="shared" si="78"/>
        <v>0</v>
      </c>
      <c r="P237" s="661"/>
      <c r="R237" s="424"/>
      <c r="S237" s="424"/>
    </row>
    <row r="238" spans="1:19">
      <c r="A238" s="1153">
        <f t="shared" si="73"/>
        <v>224</v>
      </c>
      <c r="B238" s="514">
        <v>39102</v>
      </c>
      <c r="C238" s="88" t="s">
        <v>1512</v>
      </c>
      <c r="D238" s="346">
        <f>[4]Reserve!$Q57</f>
        <v>0</v>
      </c>
      <c r="E238" s="430">
        <v>0</v>
      </c>
      <c r="F238" s="430">
        <f t="shared" si="74"/>
        <v>0</v>
      </c>
      <c r="G238" s="467">
        <f t="shared" si="81"/>
        <v>0.1095</v>
      </c>
      <c r="H238" s="467">
        <f t="shared" si="82"/>
        <v>0.51517972406888612</v>
      </c>
      <c r="I238" s="430">
        <f t="shared" si="75"/>
        <v>0</v>
      </c>
      <c r="K238" s="346">
        <f>[4]Reserve!$C57</f>
        <v>0</v>
      </c>
      <c r="L238" s="467">
        <f t="shared" si="79"/>
        <v>0.1095</v>
      </c>
      <c r="M238" s="467">
        <f t="shared" si="80"/>
        <v>0.51517972406888612</v>
      </c>
      <c r="N238" s="430">
        <f t="shared" si="78"/>
        <v>0</v>
      </c>
      <c r="P238" s="661"/>
      <c r="R238" s="424"/>
      <c r="S238" s="424"/>
    </row>
    <row r="239" spans="1:19">
      <c r="A239" s="1153">
        <f t="shared" si="73"/>
        <v>225</v>
      </c>
      <c r="B239" s="514">
        <v>39103</v>
      </c>
      <c r="C239" s="88" t="s">
        <v>1323</v>
      </c>
      <c r="D239" s="346">
        <f>[4]Reserve!$Q58</f>
        <v>0</v>
      </c>
      <c r="E239" s="430">
        <v>0</v>
      </c>
      <c r="F239" s="430">
        <f t="shared" si="74"/>
        <v>0</v>
      </c>
      <c r="G239" s="467">
        <f t="shared" si="81"/>
        <v>0.1095</v>
      </c>
      <c r="H239" s="467">
        <f t="shared" si="82"/>
        <v>0.51517972406888612</v>
      </c>
      <c r="I239" s="430">
        <f t="shared" si="75"/>
        <v>0</v>
      </c>
      <c r="K239" s="346">
        <f>[4]Reserve!$C58</f>
        <v>0</v>
      </c>
      <c r="L239" s="467">
        <f t="shared" si="79"/>
        <v>0.1095</v>
      </c>
      <c r="M239" s="467">
        <f t="shared" si="80"/>
        <v>0.51517972406888612</v>
      </c>
      <c r="N239" s="430">
        <f t="shared" si="78"/>
        <v>0</v>
      </c>
      <c r="P239" s="661"/>
      <c r="R239" s="424"/>
      <c r="S239" s="424"/>
    </row>
    <row r="240" spans="1:19">
      <c r="A240" s="1153">
        <f t="shared" si="73"/>
        <v>226</v>
      </c>
      <c r="B240" s="514">
        <v>39110</v>
      </c>
      <c r="C240" s="88" t="s">
        <v>1513</v>
      </c>
      <c r="D240" s="346">
        <f>[4]Reserve!$Q59</f>
        <v>47614.658387146388</v>
      </c>
      <c r="E240" s="430">
        <v>0</v>
      </c>
      <c r="F240" s="430">
        <f t="shared" si="74"/>
        <v>47614.658387146388</v>
      </c>
      <c r="G240" s="467">
        <v>1</v>
      </c>
      <c r="H240" s="467">
        <f>Allocation!$I$21</f>
        <v>2.3186160000000001E-2</v>
      </c>
      <c r="I240" s="430">
        <f t="shared" si="75"/>
        <v>1104.0010877097181</v>
      </c>
      <c r="K240" s="346">
        <f>[4]Reserve!$C59</f>
        <v>39834.74667632152</v>
      </c>
      <c r="L240" s="467">
        <f t="shared" si="79"/>
        <v>1</v>
      </c>
      <c r="M240" s="467">
        <f t="shared" si="80"/>
        <v>2.3186160000000001E-2</v>
      </c>
      <c r="N240" s="430">
        <f t="shared" si="78"/>
        <v>923.61480999665901</v>
      </c>
      <c r="P240" s="661"/>
      <c r="R240" s="424"/>
      <c r="S240" s="424"/>
    </row>
    <row r="241" spans="1:19">
      <c r="A241" s="1153">
        <f t="shared" si="73"/>
        <v>227</v>
      </c>
      <c r="B241" s="514">
        <v>39210</v>
      </c>
      <c r="C241" s="88" t="s">
        <v>1514</v>
      </c>
      <c r="D241" s="346">
        <f>[4]Reserve!$Q60</f>
        <v>96385.355145000009</v>
      </c>
      <c r="E241" s="430">
        <v>0</v>
      </c>
      <c r="F241" s="430">
        <f t="shared" si="74"/>
        <v>96385.355145000009</v>
      </c>
      <c r="G241" s="467">
        <v>1</v>
      </c>
      <c r="H241" s="467">
        <f>Allocation!$I$21</f>
        <v>2.3186160000000001E-2</v>
      </c>
      <c r="I241" s="430">
        <f t="shared" si="75"/>
        <v>2234.8062660487935</v>
      </c>
      <c r="K241" s="346">
        <f>[4]Reserve!$C60</f>
        <v>93811.67619846153</v>
      </c>
      <c r="L241" s="467">
        <f t="shared" si="79"/>
        <v>1</v>
      </c>
      <c r="M241" s="467">
        <f t="shared" si="80"/>
        <v>2.3186160000000001E-2</v>
      </c>
      <c r="N241" s="430">
        <f t="shared" si="78"/>
        <v>2175.1325342057207</v>
      </c>
      <c r="P241" s="661"/>
      <c r="R241" s="424"/>
      <c r="S241" s="424"/>
    </row>
    <row r="242" spans="1:19">
      <c r="A242" s="1153">
        <f t="shared" si="73"/>
        <v>228</v>
      </c>
      <c r="B242" s="514">
        <v>39410</v>
      </c>
      <c r="C242" s="88" t="s">
        <v>1515</v>
      </c>
      <c r="D242" s="346">
        <f>[4]Reserve!$Q61</f>
        <v>122607.25379805913</v>
      </c>
      <c r="E242" s="430">
        <v>0</v>
      </c>
      <c r="F242" s="430">
        <f t="shared" si="74"/>
        <v>122607.25379805913</v>
      </c>
      <c r="G242" s="467">
        <v>1</v>
      </c>
      <c r="H242" s="467">
        <f>Allocation!$I$21</f>
        <v>2.3186160000000001E-2</v>
      </c>
      <c r="I242" s="430">
        <f t="shared" si="75"/>
        <v>2842.7914037224068</v>
      </c>
      <c r="K242" s="346">
        <f>[4]Reserve!$C61</f>
        <v>104565.07772099659</v>
      </c>
      <c r="L242" s="467">
        <f t="shared" si="79"/>
        <v>1</v>
      </c>
      <c r="M242" s="467">
        <f t="shared" si="80"/>
        <v>2.3186160000000001E-2</v>
      </c>
      <c r="N242" s="430">
        <f t="shared" si="78"/>
        <v>2424.4626224514623</v>
      </c>
      <c r="P242" s="661"/>
      <c r="R242" s="424"/>
      <c r="S242" s="424"/>
    </row>
    <row r="243" spans="1:19">
      <c r="A243" s="1153">
        <f t="shared" si="73"/>
        <v>229</v>
      </c>
      <c r="B243" s="514">
        <v>39510</v>
      </c>
      <c r="C243" s="88" t="s">
        <v>1516</v>
      </c>
      <c r="D243" s="346">
        <f>[4]Reserve!$Q62</f>
        <v>16578.851517499999</v>
      </c>
      <c r="E243" s="430">
        <v>0</v>
      </c>
      <c r="F243" s="430">
        <f t="shared" si="74"/>
        <v>16578.851517499999</v>
      </c>
      <c r="G243" s="467">
        <v>1</v>
      </c>
      <c r="H243" s="467">
        <f>Allocation!$I$21</f>
        <v>2.3186160000000001E-2</v>
      </c>
      <c r="I243" s="430">
        <f t="shared" si="75"/>
        <v>384.3999039009978</v>
      </c>
      <c r="K243" s="346">
        <f>[4]Reserve!$C62</f>
        <v>15393.373100865381</v>
      </c>
      <c r="L243" s="467">
        <f t="shared" si="79"/>
        <v>1</v>
      </c>
      <c r="M243" s="467">
        <f t="shared" si="80"/>
        <v>2.3186160000000001E-2</v>
      </c>
      <c r="N243" s="430">
        <f t="shared" si="78"/>
        <v>356.91321165636089</v>
      </c>
      <c r="P243" s="661"/>
      <c r="R243" s="424"/>
      <c r="S243" s="424"/>
    </row>
    <row r="244" spans="1:19">
      <c r="A244" s="1153">
        <f t="shared" si="73"/>
        <v>230</v>
      </c>
      <c r="B244" s="514">
        <v>39700</v>
      </c>
      <c r="C244" s="88" t="s">
        <v>1539</v>
      </c>
      <c r="D244" s="346">
        <f>[4]Reserve!$Q63</f>
        <v>1089238.7954675006</v>
      </c>
      <c r="E244" s="430">
        <v>0</v>
      </c>
      <c r="F244" s="430">
        <f t="shared" si="74"/>
        <v>1089238.7954675006</v>
      </c>
      <c r="G244" s="467">
        <f t="shared" ref="G244" si="83">$G$231</f>
        <v>0.1095</v>
      </c>
      <c r="H244" s="467">
        <f t="shared" ref="H244" si="84">$H$231</f>
        <v>0.51517972406888612</v>
      </c>
      <c r="I244" s="430">
        <f t="shared" si="75"/>
        <v>61446.334759300975</v>
      </c>
      <c r="K244" s="346">
        <f>[4]Reserve!$C63</f>
        <v>1033855.0449335581</v>
      </c>
      <c r="L244" s="467">
        <f t="shared" si="79"/>
        <v>0.1095</v>
      </c>
      <c r="M244" s="467">
        <f t="shared" si="80"/>
        <v>0.51517972406888612</v>
      </c>
      <c r="N244" s="430">
        <f t="shared" si="78"/>
        <v>58322.016666982548</v>
      </c>
      <c r="P244" s="661"/>
      <c r="R244" s="424"/>
      <c r="S244" s="424"/>
    </row>
    <row r="245" spans="1:19">
      <c r="A245" s="1153">
        <f t="shared" si="73"/>
        <v>231</v>
      </c>
      <c r="B245" s="514">
        <v>39710</v>
      </c>
      <c r="C245" s="88" t="s">
        <v>1564</v>
      </c>
      <c r="D245" s="346">
        <f>[4]Reserve!$Q64</f>
        <v>159674.96313499994</v>
      </c>
      <c r="E245" s="430">
        <v>0</v>
      </c>
      <c r="F245" s="430">
        <f t="shared" si="74"/>
        <v>159674.96313499994</v>
      </c>
      <c r="G245" s="467">
        <v>1</v>
      </c>
      <c r="H245" s="467">
        <f>Allocation!$I$21</f>
        <v>2.3186160000000001E-2</v>
      </c>
      <c r="I245" s="430">
        <f t="shared" si="75"/>
        <v>3702.2492432422105</v>
      </c>
      <c r="K245" s="346">
        <f>[4]Reserve!$C64</f>
        <v>151245.45353634612</v>
      </c>
      <c r="L245" s="467">
        <f t="shared" si="79"/>
        <v>1</v>
      </c>
      <c r="M245" s="467">
        <f t="shared" si="80"/>
        <v>2.3186160000000001E-2</v>
      </c>
      <c r="N245" s="430">
        <f t="shared" si="78"/>
        <v>3506.8012849662869</v>
      </c>
      <c r="P245" s="661"/>
      <c r="R245" s="424"/>
      <c r="S245" s="424"/>
    </row>
    <row r="246" spans="1:19">
      <c r="A246" s="1153">
        <f t="shared" si="73"/>
        <v>232</v>
      </c>
      <c r="B246" s="514">
        <v>39800</v>
      </c>
      <c r="C246" s="88" t="s">
        <v>1541</v>
      </c>
      <c r="D246" s="346">
        <f>[4]Reserve!$Q65</f>
        <v>13732.744207000011</v>
      </c>
      <c r="E246" s="430">
        <v>0</v>
      </c>
      <c r="F246" s="430">
        <f t="shared" si="74"/>
        <v>13732.744207000011</v>
      </c>
      <c r="G246" s="467">
        <f>$G$231</f>
        <v>0.1095</v>
      </c>
      <c r="H246" s="467">
        <f>$H$231</f>
        <v>0.51517972406888612</v>
      </c>
      <c r="I246" s="430">
        <f t="shared" si="75"/>
        <v>774.69403515415911</v>
      </c>
      <c r="K246" s="346">
        <f>[4]Reserve!$C65</f>
        <v>12115.242286500006</v>
      </c>
      <c r="L246" s="467">
        <f t="shared" si="79"/>
        <v>0.1095</v>
      </c>
      <c r="M246" s="467">
        <f t="shared" si="80"/>
        <v>0.51517972406888612</v>
      </c>
      <c r="N246" s="430">
        <f t="shared" ref="N246" si="85">K246*L246*M246</f>
        <v>683.44722601145179</v>
      </c>
      <c r="P246" s="661"/>
      <c r="R246" s="424"/>
      <c r="S246" s="424"/>
    </row>
    <row r="247" spans="1:19">
      <c r="A247" s="1153">
        <f t="shared" si="73"/>
        <v>233</v>
      </c>
      <c r="B247" s="707">
        <v>39810</v>
      </c>
      <c r="C247" s="88" t="s">
        <v>1517</v>
      </c>
      <c r="D247" s="346">
        <f>[4]Reserve!$Q66</f>
        <v>149303.53138250002</v>
      </c>
      <c r="E247" s="430">
        <v>0</v>
      </c>
      <c r="F247" s="430">
        <f t="shared" si="74"/>
        <v>149303.53138250002</v>
      </c>
      <c r="G247" s="467">
        <v>1</v>
      </c>
      <c r="H247" s="467">
        <f>Allocation!$I$21</f>
        <v>2.3186160000000001E-2</v>
      </c>
      <c r="I247" s="430">
        <f t="shared" si="75"/>
        <v>3461.775567199667</v>
      </c>
      <c r="K247" s="346">
        <f>[4]Reserve!$C66</f>
        <v>137956.11383375002</v>
      </c>
      <c r="L247" s="467">
        <f t="shared" si="79"/>
        <v>1</v>
      </c>
      <c r="M247" s="467">
        <f t="shared" si="80"/>
        <v>2.3186160000000001E-2</v>
      </c>
      <c r="N247" s="430">
        <f t="shared" si="78"/>
        <v>3198.6725283275414</v>
      </c>
      <c r="P247" s="661"/>
      <c r="R247" s="424"/>
      <c r="S247" s="424"/>
    </row>
    <row r="248" spans="1:19">
      <c r="A248" s="1153">
        <f t="shared" si="73"/>
        <v>234</v>
      </c>
      <c r="B248" s="707">
        <v>39900</v>
      </c>
      <c r="C248" s="88" t="s">
        <v>1549</v>
      </c>
      <c r="D248" s="346">
        <f>[4]Reserve!$Q67</f>
        <v>501737.31983799976</v>
      </c>
      <c r="E248" s="430">
        <v>0</v>
      </c>
      <c r="F248" s="430">
        <f t="shared" si="74"/>
        <v>501737.31983799976</v>
      </c>
      <c r="G248" s="467">
        <f t="shared" ref="G248:G254" si="86">$G$231</f>
        <v>0.1095</v>
      </c>
      <c r="H248" s="467">
        <f t="shared" ref="H248:H254" si="87">$H$231</f>
        <v>0.51517972406888612</v>
      </c>
      <c r="I248" s="430">
        <f t="shared" si="75"/>
        <v>28304.095891817749</v>
      </c>
      <c r="K248" s="346">
        <f>[4]Reserve!$C67</f>
        <v>460205.1080333076</v>
      </c>
      <c r="L248" s="467">
        <f t="shared" si="79"/>
        <v>0.1095</v>
      </c>
      <c r="M248" s="467">
        <f t="shared" si="80"/>
        <v>0.51517972406888612</v>
      </c>
      <c r="N248" s="430">
        <f t="shared" si="78"/>
        <v>25961.173292600201</v>
      </c>
      <c r="P248" s="661"/>
      <c r="R248" s="424"/>
      <c r="S248" s="424"/>
    </row>
    <row r="249" spans="1:19">
      <c r="A249" s="1153">
        <f t="shared" si="73"/>
        <v>235</v>
      </c>
      <c r="B249" s="707">
        <v>39901</v>
      </c>
      <c r="C249" s="88" t="s">
        <v>1550</v>
      </c>
      <c r="D249" s="346">
        <f>[4]Reserve!$Q68</f>
        <v>5258880.845536002</v>
      </c>
      <c r="E249" s="430">
        <v>0</v>
      </c>
      <c r="F249" s="430">
        <f t="shared" si="74"/>
        <v>5258880.845536002</v>
      </c>
      <c r="G249" s="467">
        <f t="shared" si="86"/>
        <v>0.1095</v>
      </c>
      <c r="H249" s="467">
        <f t="shared" si="87"/>
        <v>0.51517972406888612</v>
      </c>
      <c r="I249" s="430">
        <f t="shared" si="75"/>
        <v>296664.93172912544</v>
      </c>
      <c r="K249" s="346">
        <f>[4]Reserve!$C68</f>
        <v>4782854.4722596938</v>
      </c>
      <c r="L249" s="467">
        <f t="shared" si="79"/>
        <v>0.1095</v>
      </c>
      <c r="M249" s="467">
        <f t="shared" si="80"/>
        <v>0.51517972406888612</v>
      </c>
      <c r="N249" s="430">
        <f t="shared" si="78"/>
        <v>269811.24637720239</v>
      </c>
      <c r="P249" s="661"/>
      <c r="R249" s="424"/>
      <c r="S249" s="424"/>
    </row>
    <row r="250" spans="1:19">
      <c r="A250" s="1153">
        <f t="shared" si="73"/>
        <v>236</v>
      </c>
      <c r="B250" s="707">
        <v>39902</v>
      </c>
      <c r="C250" s="88" t="s">
        <v>1551</v>
      </c>
      <c r="D250" s="346">
        <f>[4]Reserve!$Q69</f>
        <v>1235832.4524924993</v>
      </c>
      <c r="E250" s="430">
        <v>0</v>
      </c>
      <c r="F250" s="430">
        <f t="shared" si="74"/>
        <v>1235832.4524924993</v>
      </c>
      <c r="G250" s="467">
        <f t="shared" si="86"/>
        <v>0.1095</v>
      </c>
      <c r="H250" s="467">
        <f t="shared" si="87"/>
        <v>0.51517972406888612</v>
      </c>
      <c r="I250" s="430">
        <f t="shared" si="75"/>
        <v>69716.002494815431</v>
      </c>
      <c r="K250" s="346">
        <f>[4]Reserve!$C69</f>
        <v>1146579.6306710572</v>
      </c>
      <c r="L250" s="467">
        <f t="shared" si="79"/>
        <v>0.1095</v>
      </c>
      <c r="M250" s="467">
        <f t="shared" si="80"/>
        <v>0.51517972406888612</v>
      </c>
      <c r="N250" s="430">
        <f t="shared" si="78"/>
        <v>64681.056263857208</v>
      </c>
      <c r="P250" s="661"/>
      <c r="R250" s="424"/>
      <c r="S250" s="424"/>
    </row>
    <row r="251" spans="1:19">
      <c r="A251" s="1153">
        <f t="shared" si="73"/>
        <v>237</v>
      </c>
      <c r="B251" s="707">
        <v>39903</v>
      </c>
      <c r="C251" s="88" t="s">
        <v>1542</v>
      </c>
      <c r="D251" s="346">
        <f>[4]Reserve!$Q70</f>
        <v>374102.01541899983</v>
      </c>
      <c r="E251" s="430">
        <v>0</v>
      </c>
      <c r="F251" s="430">
        <f t="shared" si="74"/>
        <v>374102.01541899983</v>
      </c>
      <c r="G251" s="467">
        <f t="shared" si="86"/>
        <v>0.1095</v>
      </c>
      <c r="H251" s="467">
        <f t="shared" si="87"/>
        <v>0.51517972406888612</v>
      </c>
      <c r="I251" s="430">
        <f t="shared" si="75"/>
        <v>21103.910151950608</v>
      </c>
      <c r="K251" s="346">
        <f>[4]Reserve!$C70</f>
        <v>351088.88030511525</v>
      </c>
      <c r="L251" s="467">
        <f t="shared" si="79"/>
        <v>0.1095</v>
      </c>
      <c r="M251" s="467">
        <f t="shared" si="80"/>
        <v>0.51517972406888612</v>
      </c>
      <c r="N251" s="430">
        <f t="shared" si="78"/>
        <v>19805.689036477161</v>
      </c>
      <c r="P251" s="661"/>
      <c r="R251" s="424"/>
      <c r="S251" s="424"/>
    </row>
    <row r="252" spans="1:19">
      <c r="A252" s="1153">
        <f t="shared" si="73"/>
        <v>238</v>
      </c>
      <c r="B252" s="707">
        <v>39906</v>
      </c>
      <c r="C252" s="88" t="s">
        <v>1543</v>
      </c>
      <c r="D252" s="346">
        <f>[4]Reserve!$Q71</f>
        <v>580076.93831045763</v>
      </c>
      <c r="E252" s="430">
        <v>0</v>
      </c>
      <c r="F252" s="430">
        <f t="shared" si="74"/>
        <v>580076.93831045763</v>
      </c>
      <c r="G252" s="467">
        <f t="shared" si="86"/>
        <v>0.1095</v>
      </c>
      <c r="H252" s="467">
        <f t="shared" si="87"/>
        <v>0.51517972406888612</v>
      </c>
      <c r="I252" s="430">
        <f t="shared" si="75"/>
        <v>32723.404533416888</v>
      </c>
      <c r="K252" s="346">
        <f>[4]Reserve!$C71</f>
        <v>529828.74061441608</v>
      </c>
      <c r="L252" s="467">
        <f t="shared" si="79"/>
        <v>0.1095</v>
      </c>
      <c r="M252" s="467">
        <f t="shared" si="80"/>
        <v>0.51517972406888612</v>
      </c>
      <c r="N252" s="430">
        <f t="shared" si="78"/>
        <v>29888.794171088284</v>
      </c>
      <c r="P252" s="661"/>
      <c r="R252" s="424"/>
      <c r="S252" s="424"/>
    </row>
    <row r="253" spans="1:19">
      <c r="A253" s="1153">
        <f t="shared" si="73"/>
        <v>239</v>
      </c>
      <c r="B253" s="707">
        <v>39907</v>
      </c>
      <c r="C253" s="88" t="s">
        <v>1544</v>
      </c>
      <c r="D253" s="346">
        <f>[4]Reserve!$Q72</f>
        <v>137253.01705550007</v>
      </c>
      <c r="E253" s="430">
        <v>0</v>
      </c>
      <c r="F253" s="430">
        <f t="shared" si="74"/>
        <v>137253.01705550007</v>
      </c>
      <c r="G253" s="467">
        <f t="shared" si="86"/>
        <v>0.1095</v>
      </c>
      <c r="H253" s="467">
        <f t="shared" si="87"/>
        <v>0.51517972406888612</v>
      </c>
      <c r="I253" s="430">
        <f t="shared" si="75"/>
        <v>7742.7418742430737</v>
      </c>
      <c r="K253" s="346">
        <f>[4]Reserve!$C72</f>
        <v>130946.7895918654</v>
      </c>
      <c r="L253" s="467">
        <f t="shared" si="79"/>
        <v>0.1095</v>
      </c>
      <c r="M253" s="467">
        <f t="shared" si="80"/>
        <v>0.51517972406888612</v>
      </c>
      <c r="N253" s="430">
        <f t="shared" si="78"/>
        <v>7386.9938367959858</v>
      </c>
      <c r="P253" s="661"/>
      <c r="R253" s="424"/>
      <c r="S253" s="424"/>
    </row>
    <row r="254" spans="1:19">
      <c r="A254" s="1153">
        <f t="shared" si="73"/>
        <v>240</v>
      </c>
      <c r="B254" s="707">
        <v>39908</v>
      </c>
      <c r="C254" s="88" t="s">
        <v>1545</v>
      </c>
      <c r="D254" s="346">
        <f>[4]Reserve!$Q73</f>
        <v>31828465.908743147</v>
      </c>
      <c r="E254" s="430">
        <v>0</v>
      </c>
      <c r="F254" s="430">
        <f t="shared" si="74"/>
        <v>31828465.908743147</v>
      </c>
      <c r="G254" s="467">
        <f t="shared" si="86"/>
        <v>0.1095</v>
      </c>
      <c r="H254" s="467">
        <f t="shared" si="87"/>
        <v>0.51517972406888612</v>
      </c>
      <c r="I254" s="430">
        <f t="shared" si="75"/>
        <v>1795513.1411420456</v>
      </c>
      <c r="K254" s="346">
        <f>[4]Reserve!$C73</f>
        <v>28889060.11579949</v>
      </c>
      <c r="L254" s="467">
        <f t="shared" si="79"/>
        <v>0.1095</v>
      </c>
      <c r="M254" s="467">
        <f t="shared" si="80"/>
        <v>0.51517972406888612</v>
      </c>
      <c r="N254" s="430">
        <f t="shared" si="78"/>
        <v>1629694.8530878415</v>
      </c>
      <c r="P254" s="661"/>
      <c r="R254" s="424"/>
      <c r="S254" s="424"/>
    </row>
    <row r="255" spans="1:19">
      <c r="A255" s="1153">
        <f t="shared" si="73"/>
        <v>241</v>
      </c>
      <c r="B255" s="707">
        <v>39910</v>
      </c>
      <c r="C255" s="88" t="s">
        <v>1565</v>
      </c>
      <c r="D255" s="346">
        <f>[4]Reserve!$Q74</f>
        <v>176542.27976900007</v>
      </c>
      <c r="E255" s="430">
        <v>0</v>
      </c>
      <c r="F255" s="430">
        <f t="shared" si="74"/>
        <v>176542.27976900007</v>
      </c>
      <c r="G255" s="467">
        <v>1</v>
      </c>
      <c r="H255" s="467">
        <f>$H$232</f>
        <v>2.3186160000000001E-2</v>
      </c>
      <c r="I255" s="430">
        <f t="shared" si="75"/>
        <v>4093.3375454887987</v>
      </c>
      <c r="K255" s="346">
        <f>[4]Reserve!$C74</f>
        <v>154058.03032242315</v>
      </c>
      <c r="L255" s="467">
        <f t="shared" si="79"/>
        <v>1</v>
      </c>
      <c r="M255" s="467">
        <f t="shared" si="80"/>
        <v>2.3186160000000001E-2</v>
      </c>
      <c r="N255" s="430">
        <f t="shared" si="78"/>
        <v>3572.0141403405546</v>
      </c>
      <c r="P255" s="661"/>
      <c r="R255" s="424"/>
      <c r="S255" s="424"/>
    </row>
    <row r="256" spans="1:19">
      <c r="A256" s="1153">
        <f t="shared" si="73"/>
        <v>242</v>
      </c>
      <c r="B256" s="707">
        <v>39916</v>
      </c>
      <c r="C256" s="88" t="s">
        <v>1566</v>
      </c>
      <c r="D256" s="346">
        <f>[4]Reserve!$Q75</f>
        <v>251268.90388001542</v>
      </c>
      <c r="E256" s="430">
        <v>0</v>
      </c>
      <c r="F256" s="430">
        <f t="shared" si="74"/>
        <v>251268.90388001542</v>
      </c>
      <c r="G256" s="467">
        <v>1</v>
      </c>
      <c r="H256" s="467">
        <f>$H$232</f>
        <v>2.3186160000000001E-2</v>
      </c>
      <c r="I256" s="430">
        <f t="shared" si="75"/>
        <v>5825.9610083866582</v>
      </c>
      <c r="K256" s="346">
        <f>[4]Reserve!$C75</f>
        <v>237228.35593300345</v>
      </c>
      <c r="L256" s="467">
        <f t="shared" si="79"/>
        <v>1</v>
      </c>
      <c r="M256" s="467">
        <f t="shared" si="80"/>
        <v>2.3186160000000001E-2</v>
      </c>
      <c r="N256" s="430">
        <f t="shared" si="78"/>
        <v>5500.4146171995671</v>
      </c>
      <c r="P256" s="661"/>
      <c r="R256" s="424"/>
      <c r="S256" s="424"/>
    </row>
    <row r="257" spans="1:19">
      <c r="A257" s="1153">
        <f t="shared" si="73"/>
        <v>243</v>
      </c>
      <c r="B257" s="707">
        <v>39917</v>
      </c>
      <c r="C257" s="88" t="s">
        <v>1567</v>
      </c>
      <c r="D257" s="346">
        <f>[4]Reserve!$Q76</f>
        <v>76530.082507000014</v>
      </c>
      <c r="E257" s="430">
        <v>0</v>
      </c>
      <c r="F257" s="430">
        <f t="shared" si="74"/>
        <v>76530.082507000014</v>
      </c>
      <c r="G257" s="467">
        <v>1</v>
      </c>
      <c r="H257" s="467">
        <f>$H$232</f>
        <v>2.3186160000000001E-2</v>
      </c>
      <c r="I257" s="430">
        <f t="shared" si="75"/>
        <v>1774.4387378205035</v>
      </c>
      <c r="K257" s="346">
        <f>[4]Reserve!$C76</f>
        <v>73085.685674961554</v>
      </c>
      <c r="L257" s="467">
        <f t="shared" si="79"/>
        <v>1</v>
      </c>
      <c r="M257" s="467">
        <f t="shared" si="80"/>
        <v>2.3186160000000001E-2</v>
      </c>
      <c r="N257" s="430">
        <f t="shared" si="78"/>
        <v>1694.5764017693666</v>
      </c>
      <c r="P257" s="661"/>
      <c r="R257" s="424"/>
      <c r="S257" s="424"/>
    </row>
    <row r="258" spans="1:19">
      <c r="A258" s="1153">
        <f t="shared" si="73"/>
        <v>244</v>
      </c>
      <c r="B258" s="707">
        <v>39918</v>
      </c>
      <c r="C258" s="88" t="s">
        <v>1518</v>
      </c>
      <c r="D258" s="346">
        <f>[4]Reserve!$Q77</f>
        <v>11040.551216</v>
      </c>
      <c r="E258" s="430">
        <v>0</v>
      </c>
      <c r="F258" s="430">
        <f t="shared" ref="F258:F259" si="88">D258+E258</f>
        <v>11040.551216</v>
      </c>
      <c r="G258" s="467">
        <v>1</v>
      </c>
      <c r="H258" s="467">
        <f>$H$232</f>
        <v>2.3186160000000001E-2</v>
      </c>
      <c r="I258" s="430">
        <f t="shared" ref="I258:I259" si="89">F258*G258*H258</f>
        <v>255.98798698237056</v>
      </c>
      <c r="K258" s="346">
        <f>[4]Reserve!$C77</f>
        <v>10370.258019692306</v>
      </c>
      <c r="L258" s="467">
        <f t="shared" si="79"/>
        <v>1</v>
      </c>
      <c r="M258" s="467">
        <f t="shared" si="80"/>
        <v>2.3186160000000001E-2</v>
      </c>
      <c r="N258" s="430">
        <f t="shared" ref="N258:N259" si="90">K258*L258*M258</f>
        <v>240.44646168586897</v>
      </c>
      <c r="P258" s="661"/>
      <c r="R258" s="424"/>
      <c r="S258" s="424"/>
    </row>
    <row r="259" spans="1:19">
      <c r="A259" s="1153">
        <f t="shared" si="73"/>
        <v>245</v>
      </c>
      <c r="B259" s="707">
        <v>39924</v>
      </c>
      <c r="C259" s="88" t="s">
        <v>1519</v>
      </c>
      <c r="D259" s="346">
        <f>[4]Reserve!$Q78</f>
        <v>0</v>
      </c>
      <c r="E259" s="430">
        <v>0</v>
      </c>
      <c r="F259" s="430">
        <f t="shared" si="88"/>
        <v>0</v>
      </c>
      <c r="G259" s="467">
        <f t="shared" ref="G259" si="91">$G$231</f>
        <v>0.1095</v>
      </c>
      <c r="H259" s="467">
        <f t="shared" ref="H259" si="92">$H$231</f>
        <v>0.51517972406888612</v>
      </c>
      <c r="I259" s="430">
        <f t="shared" si="89"/>
        <v>0</v>
      </c>
      <c r="K259" s="346">
        <f>[4]Reserve!$C78</f>
        <v>0</v>
      </c>
      <c r="L259" s="467">
        <f t="shared" si="79"/>
        <v>0.1095</v>
      </c>
      <c r="M259" s="467">
        <f t="shared" si="80"/>
        <v>0.51517972406888612</v>
      </c>
      <c r="N259" s="430">
        <f t="shared" si="90"/>
        <v>0</v>
      </c>
      <c r="P259" s="661"/>
      <c r="R259" s="424"/>
      <c r="S259" s="424"/>
    </row>
    <row r="260" spans="1:19">
      <c r="A260" s="1153">
        <f t="shared" si="73"/>
        <v>246</v>
      </c>
      <c r="B260" s="707"/>
      <c r="C260" s="88" t="s">
        <v>1568</v>
      </c>
      <c r="D260" s="346">
        <f>[4]Reserve!$Q79</f>
        <v>0</v>
      </c>
      <c r="E260" s="381">
        <v>0</v>
      </c>
      <c r="F260" s="430">
        <f t="shared" si="74"/>
        <v>0</v>
      </c>
      <c r="G260" s="467">
        <f>$G$231</f>
        <v>0.1095</v>
      </c>
      <c r="H260" s="467">
        <f>$H$231</f>
        <v>0.51517972406888612</v>
      </c>
      <c r="I260" s="1043">
        <f t="shared" si="75"/>
        <v>0</v>
      </c>
      <c r="K260" s="346">
        <f>[4]Reserve!$C79</f>
        <v>0</v>
      </c>
      <c r="L260" s="467">
        <f t="shared" si="76"/>
        <v>0.1095</v>
      </c>
      <c r="M260" s="467">
        <f t="shared" si="77"/>
        <v>0.51517972406888612</v>
      </c>
      <c r="N260" s="1043">
        <f t="shared" si="78"/>
        <v>0</v>
      </c>
      <c r="P260" s="661"/>
      <c r="R260" s="424"/>
      <c r="S260" s="424"/>
    </row>
    <row r="261" spans="1:19">
      <c r="A261" s="1153">
        <f t="shared" si="73"/>
        <v>247</v>
      </c>
      <c r="B261" s="81"/>
      <c r="C261" s="88"/>
      <c r="D261" s="1057"/>
      <c r="E261" s="619"/>
      <c r="F261" s="619"/>
    </row>
    <row r="262" spans="1:19" ht="15.75" thickBot="1">
      <c r="A262" s="1153">
        <f t="shared" si="73"/>
        <v>248</v>
      </c>
      <c r="B262" s="81"/>
      <c r="C262" s="233" t="s">
        <v>1326</v>
      </c>
      <c r="D262" s="468">
        <f>SUM(D231:D261)</f>
        <v>49659522.351603501</v>
      </c>
      <c r="E262" s="468">
        <f>SUM(E231:E261)</f>
        <v>0</v>
      </c>
      <c r="F262" s="468">
        <f>SUM(F231:F261)</f>
        <v>49659522.351603501</v>
      </c>
      <c r="I262" s="468">
        <f>SUM(I231:I261)</f>
        <v>2666748.8605388911</v>
      </c>
      <c r="K262" s="468">
        <f>SUM(K231:K261)</f>
        <v>45407517.386183426</v>
      </c>
      <c r="N262" s="468">
        <f>SUM(N231:N261)</f>
        <v>2436175.8846259955</v>
      </c>
    </row>
    <row r="263" spans="1:19" ht="15.75" thickTop="1">
      <c r="A263" s="1153">
        <f t="shared" si="73"/>
        <v>249</v>
      </c>
    </row>
    <row r="264" spans="1:19" ht="30.75" thickBot="1">
      <c r="A264" s="1153">
        <f t="shared" si="73"/>
        <v>250</v>
      </c>
      <c r="C264" s="615" t="s">
        <v>1145</v>
      </c>
      <c r="D264" s="468">
        <f>D262+D226+D181+D120</f>
        <v>346522884.91752565</v>
      </c>
      <c r="E264" s="468">
        <f>E262+E226+E181+E120</f>
        <v>0</v>
      </c>
      <c r="F264" s="468">
        <f>F262+F226+F181+F120</f>
        <v>346470367.61752558</v>
      </c>
      <c r="I264" s="468">
        <f>I262+I226+I181+I120</f>
        <v>197392161.06254607</v>
      </c>
      <c r="K264" s="468">
        <f>K262+K226+K181+K120</f>
        <v>332776661.31887054</v>
      </c>
      <c r="N264" s="468">
        <f>N262+N226+N181+N120</f>
        <v>193590170.14794922</v>
      </c>
      <c r="P264" s="671"/>
    </row>
    <row r="265" spans="1:19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75" top="1" bottom="0.94" header="0.5" footer="0.5"/>
  <pageSetup scale="54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0" max="13" man="1"/>
    <brk id="153" max="13" man="1"/>
    <brk id="181" max="13" man="1"/>
    <brk id="227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67"/>
  <sheetViews>
    <sheetView view="pageBreakPreview" zoomScale="60" zoomScaleNormal="70" workbookViewId="0">
      <pane ySplit="12" topLeftCell="A13" activePane="bottomLeft" state="frozen"/>
      <selection activeCell="C29" sqref="C29"/>
      <selection pane="bottomLeft" activeCell="D35" sqref="D35"/>
    </sheetView>
  </sheetViews>
  <sheetFormatPr defaultRowHeight="15"/>
  <cols>
    <col min="1" max="1" width="5" style="80" customWidth="1"/>
    <col min="2" max="2" width="9.33203125" style="80" customWidth="1"/>
    <col min="3" max="3" width="33.88671875" style="80" customWidth="1"/>
    <col min="4" max="4" width="14.44140625" style="80" customWidth="1"/>
    <col min="5" max="5" width="10.33203125" style="80" customWidth="1"/>
    <col min="6" max="6" width="14.33203125" style="80" customWidth="1"/>
    <col min="7" max="7" width="12.6640625" style="854" bestFit="1" customWidth="1"/>
    <col min="8" max="8" width="13.5546875" style="854" customWidth="1"/>
    <col min="9" max="9" width="14.5546875" style="80" customWidth="1"/>
    <col min="10" max="10" width="3.21875" style="80" customWidth="1"/>
    <col min="11" max="11" width="13.88671875" style="80" customWidth="1"/>
    <col min="12" max="12" width="12.6640625" style="854" bestFit="1" customWidth="1"/>
    <col min="13" max="13" width="9.77734375" style="854" bestFit="1" customWidth="1"/>
    <col min="14" max="14" width="14.77734375" style="80" bestFit="1" customWidth="1"/>
    <col min="15" max="15" width="6.21875" style="80" customWidth="1"/>
    <col min="16" max="16" width="20.88671875" style="80" bestFit="1" customWidth="1"/>
    <col min="17" max="17" width="12" style="80" bestFit="1" customWidth="1"/>
    <col min="18" max="18" width="1.77734375" style="80" customWidth="1"/>
    <col min="19" max="19" width="7.77734375" style="80" customWidth="1"/>
    <col min="20" max="20" width="7.109375" style="80" bestFit="1" customWidth="1"/>
    <col min="21" max="16384" width="8.88671875" style="80"/>
  </cols>
  <sheetData>
    <row r="1" spans="1:19">
      <c r="A1" s="1200" t="str">
        <f>'Table of Contents'!A1:C1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</row>
    <row r="2" spans="1:19">
      <c r="A2" s="1200" t="str">
        <f>'Table of Contents'!A2:C2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</row>
    <row r="3" spans="1:19">
      <c r="A3" s="1200" t="s">
        <v>1117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</row>
    <row r="4" spans="1:19" ht="15.75">
      <c r="A4" s="1201" t="str">
        <f>'B.1 F '!A4</f>
        <v>as of March 31, 2020</v>
      </c>
      <c r="B4" s="1201"/>
      <c r="C4" s="1201"/>
      <c r="D4" s="1201"/>
      <c r="E4" s="1201"/>
      <c r="F4" s="1201"/>
      <c r="G4" s="1201"/>
      <c r="H4" s="1201"/>
      <c r="I4" s="1201"/>
      <c r="J4" s="1201"/>
      <c r="K4" s="1201"/>
      <c r="L4" s="1201"/>
      <c r="M4" s="1201"/>
      <c r="N4" s="1201"/>
    </row>
    <row r="5" spans="1:19" ht="15.75">
      <c r="A5" s="150"/>
      <c r="B5" s="150"/>
      <c r="C5" s="150"/>
      <c r="D5" s="732"/>
      <c r="E5" s="150"/>
      <c r="F5" s="150"/>
      <c r="G5" s="857"/>
      <c r="H5" s="857"/>
      <c r="I5" s="81"/>
      <c r="J5" s="81"/>
      <c r="K5" s="150"/>
      <c r="P5" s="902"/>
    </row>
    <row r="6" spans="1:19" ht="15.75">
      <c r="A6" s="88" t="str">
        <f>'B.1 F '!A6</f>
        <v>Data:______Base Period__X___Forecasted Period</v>
      </c>
      <c r="B6" s="81"/>
      <c r="C6" s="81"/>
      <c r="D6" s="81"/>
      <c r="E6" s="902"/>
      <c r="F6" s="81"/>
      <c r="G6" s="857"/>
      <c r="K6" s="81"/>
      <c r="N6" s="1054" t="s">
        <v>1419</v>
      </c>
    </row>
    <row r="7" spans="1:19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57"/>
      <c r="I7" s="88"/>
      <c r="J7" s="1027"/>
      <c r="K7" s="81"/>
      <c r="N7" s="1027" t="s">
        <v>1011</v>
      </c>
    </row>
    <row r="8" spans="1:19">
      <c r="A8" s="1027" t="str">
        <f>'B.1 F '!A8</f>
        <v>Workpaper Reference No(s).</v>
      </c>
      <c r="B8" s="74"/>
      <c r="C8" s="74"/>
      <c r="D8" s="74"/>
      <c r="E8" s="74"/>
      <c r="F8" s="74"/>
      <c r="G8" s="76"/>
      <c r="H8" s="1026"/>
      <c r="I8" s="1027"/>
      <c r="J8" s="1027"/>
      <c r="K8" s="74"/>
      <c r="L8" s="1026"/>
      <c r="N8" s="1027" t="str">
        <f>'B.2 B'!N8</f>
        <v>Witness: Waller</v>
      </c>
    </row>
    <row r="9" spans="1:19">
      <c r="A9" s="1029"/>
      <c r="B9" s="827"/>
      <c r="C9" s="1050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9">
      <c r="A10" s="1033"/>
      <c r="B10" s="74"/>
      <c r="C10" s="1051"/>
      <c r="D10" s="1035"/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9" ht="15.75">
      <c r="A11" s="1033" t="s">
        <v>93</v>
      </c>
      <c r="B11" s="75" t="s">
        <v>268</v>
      </c>
      <c r="C11" s="486" t="s">
        <v>216</v>
      </c>
      <c r="D11" s="1055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9" ht="15.75">
      <c r="A12" s="1037" t="s">
        <v>99</v>
      </c>
      <c r="B12" s="185" t="s">
        <v>99</v>
      </c>
      <c r="C12" s="1038" t="s">
        <v>296</v>
      </c>
      <c r="D12" s="1056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56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9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9" ht="15.75">
      <c r="B14" s="942" t="s">
        <v>6</v>
      </c>
      <c r="J14" s="807"/>
    </row>
    <row r="15" spans="1:19">
      <c r="A15" s="855">
        <v>1</v>
      </c>
      <c r="B15" s="81"/>
      <c r="C15" s="620" t="s">
        <v>297</v>
      </c>
    </row>
    <row r="16" spans="1:19">
      <c r="A16" s="855">
        <f>A15+1</f>
        <v>2</v>
      </c>
      <c r="B16" s="514">
        <v>30100</v>
      </c>
      <c r="C16" s="88" t="s">
        <v>291</v>
      </c>
      <c r="D16" s="346">
        <f>[4]Reserve!$AF112</f>
        <v>8329.7199999999993</v>
      </c>
      <c r="E16" s="360">
        <v>0</v>
      </c>
      <c r="F16" s="360">
        <f>D16-E16</f>
        <v>8329.7199999999993</v>
      </c>
      <c r="G16" s="466">
        <v>1</v>
      </c>
      <c r="H16" s="466">
        <f>$G$16</f>
        <v>1</v>
      </c>
      <c r="I16" s="360">
        <f>F16*G16*H16</f>
        <v>8329.7199999999993</v>
      </c>
      <c r="J16" s="916"/>
      <c r="K16" s="346">
        <f>[4]Reserve!$D112</f>
        <v>8329.7199999999993</v>
      </c>
      <c r="L16" s="466">
        <f t="shared" ref="L16:M17" si="0">$G$16</f>
        <v>1</v>
      </c>
      <c r="M16" s="466">
        <f t="shared" si="0"/>
        <v>1</v>
      </c>
      <c r="N16" s="360">
        <f>K16*L16*M16</f>
        <v>8329.7199999999993</v>
      </c>
      <c r="S16" s="514"/>
    </row>
    <row r="17" spans="1:19">
      <c r="A17" s="855">
        <f t="shared" ref="A17:A83" si="1">A16+1</f>
        <v>3</v>
      </c>
      <c r="B17" s="514">
        <v>30200</v>
      </c>
      <c r="C17" s="88" t="s">
        <v>153</v>
      </c>
      <c r="D17" s="346">
        <f>[4]Reserve!$AF113</f>
        <v>119852.69</v>
      </c>
      <c r="E17" s="617">
        <v>0</v>
      </c>
      <c r="F17" s="617">
        <f t="shared" ref="F17:F78" si="2">D17-E17</f>
        <v>119852.69</v>
      </c>
      <c r="G17" s="466">
        <f>$G$16</f>
        <v>1</v>
      </c>
      <c r="H17" s="466">
        <f>$G$16</f>
        <v>1</v>
      </c>
      <c r="I17" s="617">
        <f>F17*G17*H17</f>
        <v>119852.69</v>
      </c>
      <c r="K17" s="346">
        <f>[4]Reserve!$D113</f>
        <v>119852.68999999996</v>
      </c>
      <c r="L17" s="466">
        <f t="shared" si="0"/>
        <v>1</v>
      </c>
      <c r="M17" s="466">
        <f t="shared" si="0"/>
        <v>1</v>
      </c>
      <c r="N17" s="617">
        <f>K17*L17*M17</f>
        <v>119852.68999999996</v>
      </c>
      <c r="S17" s="514"/>
    </row>
    <row r="18" spans="1:19">
      <c r="A18" s="855">
        <f t="shared" si="1"/>
        <v>4</v>
      </c>
      <c r="B18" s="514"/>
      <c r="C18" s="88"/>
      <c r="D18" s="1061"/>
      <c r="E18" s="1061"/>
      <c r="F18" s="1061"/>
      <c r="G18" s="466"/>
      <c r="H18" s="466"/>
      <c r="I18" s="1061"/>
      <c r="K18" s="1061"/>
      <c r="N18" s="1061"/>
    </row>
    <row r="19" spans="1:19">
      <c r="A19" s="855">
        <f t="shared" si="1"/>
        <v>5</v>
      </c>
      <c r="B19" s="707"/>
      <c r="C19" s="88" t="s">
        <v>1386</v>
      </c>
      <c r="D19" s="360">
        <f>SUM(D16:D18)</f>
        <v>128182.41</v>
      </c>
      <c r="E19" s="360">
        <f>SUM(E16:E18)</f>
        <v>0</v>
      </c>
      <c r="F19" s="360">
        <f>SUM(F16:F18)</f>
        <v>128182.41</v>
      </c>
      <c r="G19" s="466"/>
      <c r="H19" s="466"/>
      <c r="I19" s="360">
        <f>SUM(I16:I18)</f>
        <v>128182.41</v>
      </c>
      <c r="K19" s="360">
        <f>SUM(K16:K18)</f>
        <v>128182.40999999996</v>
      </c>
      <c r="N19" s="360">
        <f>SUM(N16:N17)</f>
        <v>128182.40999999996</v>
      </c>
    </row>
    <row r="20" spans="1:19">
      <c r="A20" s="855">
        <f t="shared" si="1"/>
        <v>6</v>
      </c>
      <c r="B20" s="707"/>
      <c r="C20" s="81"/>
      <c r="D20" s="617"/>
      <c r="E20" s="617"/>
      <c r="F20" s="617"/>
      <c r="G20" s="466"/>
      <c r="H20" s="466"/>
      <c r="I20" s="617"/>
      <c r="K20" s="617"/>
      <c r="N20" s="617"/>
    </row>
    <row r="21" spans="1:19">
      <c r="A21" s="855">
        <f t="shared" si="1"/>
        <v>7</v>
      </c>
      <c r="B21" s="707"/>
      <c r="C21" s="620" t="s">
        <v>154</v>
      </c>
      <c r="D21" s="617"/>
      <c r="E21" s="617"/>
      <c r="F21" s="617"/>
      <c r="G21" s="466"/>
      <c r="H21" s="466"/>
      <c r="I21" s="617"/>
      <c r="K21" s="617"/>
      <c r="N21" s="617"/>
    </row>
    <row r="22" spans="1:19">
      <c r="A22" s="855">
        <f t="shared" si="1"/>
        <v>8</v>
      </c>
      <c r="B22" s="514">
        <v>32540</v>
      </c>
      <c r="C22" s="88" t="s">
        <v>161</v>
      </c>
      <c r="D22" s="346">
        <f>[4]Reserve!$AF114</f>
        <v>0</v>
      </c>
      <c r="E22" s="360">
        <v>0</v>
      </c>
      <c r="F22" s="360">
        <f t="shared" si="2"/>
        <v>0</v>
      </c>
      <c r="G22" s="466">
        <f t="shared" ref="G22:H24" si="3">$G$16</f>
        <v>1</v>
      </c>
      <c r="H22" s="466">
        <f t="shared" si="3"/>
        <v>1</v>
      </c>
      <c r="I22" s="360">
        <f t="shared" ref="I22:I24" si="4">F22*G22*H22</f>
        <v>0</v>
      </c>
      <c r="K22" s="346">
        <f>[4]Reserve!$D114</f>
        <v>0</v>
      </c>
      <c r="L22" s="466">
        <f t="shared" ref="L22:M24" si="5">$G$16</f>
        <v>1</v>
      </c>
      <c r="M22" s="466">
        <f t="shared" si="5"/>
        <v>1</v>
      </c>
      <c r="N22" s="360">
        <f t="shared" ref="N22:N24" si="6">K22*L22*M22</f>
        <v>0</v>
      </c>
      <c r="S22" s="514"/>
    </row>
    <row r="23" spans="1:19">
      <c r="A23" s="855">
        <f t="shared" si="1"/>
        <v>9</v>
      </c>
      <c r="B23" s="514">
        <v>33202</v>
      </c>
      <c r="C23" s="88" t="s">
        <v>596</v>
      </c>
      <c r="D23" s="346">
        <f>[4]Reserve!$AF115</f>
        <v>0</v>
      </c>
      <c r="E23" s="617">
        <v>0</v>
      </c>
      <c r="F23" s="617">
        <f t="shared" si="2"/>
        <v>0</v>
      </c>
      <c r="G23" s="466">
        <f t="shared" si="3"/>
        <v>1</v>
      </c>
      <c r="H23" s="466">
        <f t="shared" si="3"/>
        <v>1</v>
      </c>
      <c r="I23" s="617">
        <f t="shared" si="4"/>
        <v>0</v>
      </c>
      <c r="K23" s="346">
        <f>[4]Reserve!$D115</f>
        <v>0</v>
      </c>
      <c r="L23" s="466">
        <f t="shared" si="5"/>
        <v>1</v>
      </c>
      <c r="M23" s="466">
        <f t="shared" si="5"/>
        <v>1</v>
      </c>
      <c r="N23" s="617">
        <f t="shared" si="6"/>
        <v>0</v>
      </c>
      <c r="S23" s="514"/>
    </row>
    <row r="24" spans="1:19">
      <c r="A24" s="855">
        <f t="shared" si="1"/>
        <v>10</v>
      </c>
      <c r="B24" s="514">
        <v>33400</v>
      </c>
      <c r="C24" s="88" t="s">
        <v>1119</v>
      </c>
      <c r="D24" s="346">
        <f>[4]Reserve!$AF116</f>
        <v>0</v>
      </c>
      <c r="E24" s="617">
        <v>0</v>
      </c>
      <c r="F24" s="617">
        <f t="shared" si="2"/>
        <v>0</v>
      </c>
      <c r="G24" s="466">
        <f t="shared" si="3"/>
        <v>1</v>
      </c>
      <c r="H24" s="466">
        <f t="shared" si="3"/>
        <v>1</v>
      </c>
      <c r="I24" s="617">
        <f t="shared" si="4"/>
        <v>0</v>
      </c>
      <c r="K24" s="346">
        <f>[4]Reserve!$D116</f>
        <v>0</v>
      </c>
      <c r="L24" s="466">
        <f t="shared" si="5"/>
        <v>1</v>
      </c>
      <c r="M24" s="466">
        <f t="shared" si="5"/>
        <v>1</v>
      </c>
      <c r="N24" s="617">
        <f t="shared" si="6"/>
        <v>0</v>
      </c>
      <c r="S24" s="514"/>
    </row>
    <row r="25" spans="1:19">
      <c r="A25" s="855">
        <f t="shared" si="1"/>
        <v>11</v>
      </c>
      <c r="B25" s="514"/>
      <c r="C25" s="81"/>
      <c r="D25" s="1061"/>
      <c r="E25" s="617"/>
      <c r="F25" s="617"/>
      <c r="G25" s="466"/>
      <c r="H25" s="466"/>
      <c r="I25" s="617"/>
      <c r="K25" s="1061"/>
      <c r="N25" s="617"/>
    </row>
    <row r="26" spans="1:19">
      <c r="A26" s="855">
        <f t="shared" si="1"/>
        <v>12</v>
      </c>
      <c r="B26" s="514"/>
      <c r="C26" s="81" t="s">
        <v>1385</v>
      </c>
      <c r="D26" s="360">
        <f>SUM(D22:D25)</f>
        <v>0</v>
      </c>
      <c r="E26" s="360">
        <f>SUM(E22:E25)</f>
        <v>0</v>
      </c>
      <c r="F26" s="360">
        <f>SUM(F22:F25)</f>
        <v>0</v>
      </c>
      <c r="G26" s="466"/>
      <c r="H26" s="466"/>
      <c r="I26" s="360">
        <f>SUM(I22:I25)</f>
        <v>0</v>
      </c>
      <c r="K26" s="360">
        <f>SUM(K22:K25)</f>
        <v>0</v>
      </c>
      <c r="N26" s="360">
        <f>SUM(N22:N25)</f>
        <v>0</v>
      </c>
    </row>
    <row r="27" spans="1:19">
      <c r="A27" s="855">
        <f t="shared" si="1"/>
        <v>13</v>
      </c>
      <c r="B27" s="514"/>
      <c r="C27" s="88"/>
      <c r="D27" s="617"/>
      <c r="E27" s="617"/>
      <c r="F27" s="617"/>
      <c r="G27" s="466"/>
      <c r="H27" s="466"/>
      <c r="I27" s="617"/>
      <c r="K27" s="617"/>
      <c r="N27" s="617"/>
    </row>
    <row r="28" spans="1:19">
      <c r="A28" s="855">
        <f t="shared" si="1"/>
        <v>14</v>
      </c>
      <c r="B28" s="514"/>
      <c r="C28" s="620" t="s">
        <v>279</v>
      </c>
      <c r="D28" s="617"/>
      <c r="E28" s="617"/>
      <c r="F28" s="617"/>
      <c r="G28" s="466"/>
      <c r="H28" s="466"/>
      <c r="I28" s="617"/>
      <c r="K28" s="617"/>
      <c r="N28" s="617"/>
    </row>
    <row r="29" spans="1:19">
      <c r="A29" s="855">
        <f t="shared" si="1"/>
        <v>15</v>
      </c>
      <c r="B29" s="514">
        <v>35010</v>
      </c>
      <c r="C29" s="88" t="s">
        <v>292</v>
      </c>
      <c r="D29" s="346">
        <f>[4]Reserve!$AF117</f>
        <v>0</v>
      </c>
      <c r="E29" s="360">
        <v>0</v>
      </c>
      <c r="F29" s="360">
        <f t="shared" si="2"/>
        <v>0</v>
      </c>
      <c r="G29" s="466">
        <f t="shared" ref="G29:H45" si="7">$G$16</f>
        <v>1</v>
      </c>
      <c r="H29" s="466">
        <f t="shared" si="7"/>
        <v>1</v>
      </c>
      <c r="I29" s="360">
        <f t="shared" ref="I29:I45" si="8">F29*G29*H29</f>
        <v>0</v>
      </c>
      <c r="K29" s="346">
        <f>[4]Reserve!$D117</f>
        <v>0</v>
      </c>
      <c r="L29" s="466">
        <f t="shared" ref="L29:M45" si="9">$G$16</f>
        <v>1</v>
      </c>
      <c r="M29" s="466">
        <f t="shared" si="9"/>
        <v>1</v>
      </c>
      <c r="N29" s="360">
        <f t="shared" ref="N29:N45" si="10">K29*L29*M29</f>
        <v>0</v>
      </c>
      <c r="S29" s="514"/>
    </row>
    <row r="30" spans="1:19">
      <c r="A30" s="855">
        <f t="shared" si="1"/>
        <v>16</v>
      </c>
      <c r="B30" s="514">
        <v>35020</v>
      </c>
      <c r="C30" s="88" t="s">
        <v>792</v>
      </c>
      <c r="D30" s="346">
        <f>[4]Reserve!$AF118</f>
        <v>4459.1916504999963</v>
      </c>
      <c r="E30" s="617">
        <v>0</v>
      </c>
      <c r="F30" s="617">
        <f t="shared" si="2"/>
        <v>4459.1916504999963</v>
      </c>
      <c r="G30" s="466">
        <f t="shared" si="7"/>
        <v>1</v>
      </c>
      <c r="H30" s="466">
        <f t="shared" si="7"/>
        <v>1</v>
      </c>
      <c r="I30" s="617">
        <f t="shared" si="8"/>
        <v>4459.1916504999963</v>
      </c>
      <c r="K30" s="346">
        <f>[4]Reserve!$D118</f>
        <v>4450.7648064999967</v>
      </c>
      <c r="L30" s="466">
        <f t="shared" si="9"/>
        <v>1</v>
      </c>
      <c r="M30" s="466">
        <f t="shared" si="9"/>
        <v>1</v>
      </c>
      <c r="N30" s="617">
        <f t="shared" si="10"/>
        <v>4450.7648064999967</v>
      </c>
      <c r="S30" s="514"/>
    </row>
    <row r="31" spans="1:19">
      <c r="A31" s="855">
        <f t="shared" si="1"/>
        <v>17</v>
      </c>
      <c r="B31" s="514">
        <v>35100</v>
      </c>
      <c r="C31" s="88" t="s">
        <v>969</v>
      </c>
      <c r="D31" s="346">
        <f>[4]Reserve!$AF119</f>
        <v>6426.5493197500009</v>
      </c>
      <c r="E31" s="617">
        <v>0</v>
      </c>
      <c r="F31" s="617">
        <f t="shared" si="2"/>
        <v>6426.5493197500009</v>
      </c>
      <c r="G31" s="466">
        <f t="shared" si="7"/>
        <v>1</v>
      </c>
      <c r="H31" s="466">
        <f t="shared" si="7"/>
        <v>1</v>
      </c>
      <c r="I31" s="617">
        <f t="shared" si="8"/>
        <v>6426.5493197500009</v>
      </c>
      <c r="K31" s="346">
        <f>[4]Reserve!$D119</f>
        <v>6283.2197997499998</v>
      </c>
      <c r="L31" s="466">
        <f t="shared" si="9"/>
        <v>1</v>
      </c>
      <c r="M31" s="466">
        <f t="shared" si="9"/>
        <v>1</v>
      </c>
      <c r="N31" s="617">
        <f t="shared" si="10"/>
        <v>6283.2197997499998</v>
      </c>
      <c r="S31" s="514"/>
    </row>
    <row r="32" spans="1:19">
      <c r="A32" s="855">
        <f t="shared" si="1"/>
        <v>18</v>
      </c>
      <c r="B32" s="514">
        <v>35102</v>
      </c>
      <c r="C32" s="88" t="s">
        <v>280</v>
      </c>
      <c r="D32" s="346">
        <f>[4]Reserve!$AF120</f>
        <v>114595.06262499992</v>
      </c>
      <c r="E32" s="617">
        <v>0</v>
      </c>
      <c r="F32" s="617">
        <f t="shared" si="2"/>
        <v>114595.06262499992</v>
      </c>
      <c r="G32" s="466">
        <f t="shared" si="7"/>
        <v>1</v>
      </c>
      <c r="H32" s="466">
        <f t="shared" si="7"/>
        <v>1</v>
      </c>
      <c r="I32" s="617">
        <f t="shared" si="8"/>
        <v>114595.06262499992</v>
      </c>
      <c r="K32" s="346">
        <f>[4]Reserve!$D120</f>
        <v>113690.82095499994</v>
      </c>
      <c r="L32" s="466">
        <f t="shared" si="9"/>
        <v>1</v>
      </c>
      <c r="M32" s="466">
        <f t="shared" si="9"/>
        <v>1</v>
      </c>
      <c r="N32" s="617">
        <f t="shared" si="10"/>
        <v>113690.82095499994</v>
      </c>
      <c r="S32" s="514"/>
    </row>
    <row r="33" spans="1:19">
      <c r="A33" s="855">
        <f t="shared" si="1"/>
        <v>19</v>
      </c>
      <c r="B33" s="514">
        <v>35103</v>
      </c>
      <c r="C33" s="88" t="s">
        <v>585</v>
      </c>
      <c r="D33" s="346">
        <f>[4]Reserve!$AF121</f>
        <v>20561.838024000022</v>
      </c>
      <c r="E33" s="617">
        <v>0</v>
      </c>
      <c r="F33" s="617">
        <f t="shared" si="2"/>
        <v>20561.838024000022</v>
      </c>
      <c r="G33" s="466">
        <f t="shared" si="7"/>
        <v>1</v>
      </c>
      <c r="H33" s="466">
        <f t="shared" si="7"/>
        <v>1</v>
      </c>
      <c r="I33" s="617">
        <f t="shared" si="8"/>
        <v>20561.838024000022</v>
      </c>
      <c r="K33" s="346">
        <f>[4]Reserve!$D121</f>
        <v>20470.441423000011</v>
      </c>
      <c r="L33" s="466">
        <f t="shared" si="9"/>
        <v>1</v>
      </c>
      <c r="M33" s="466">
        <f t="shared" si="9"/>
        <v>1</v>
      </c>
      <c r="N33" s="617">
        <f t="shared" si="10"/>
        <v>20470.441423000011</v>
      </c>
      <c r="S33" s="514"/>
    </row>
    <row r="34" spans="1:19">
      <c r="A34" s="855">
        <f t="shared" si="1"/>
        <v>20</v>
      </c>
      <c r="B34" s="514">
        <v>35104</v>
      </c>
      <c r="C34" s="88" t="s">
        <v>586</v>
      </c>
      <c r="D34" s="346">
        <f>[4]Reserve!$AF122</f>
        <v>100906.7150275</v>
      </c>
      <c r="E34" s="617">
        <v>0</v>
      </c>
      <c r="F34" s="617">
        <f t="shared" si="2"/>
        <v>100906.7150275</v>
      </c>
      <c r="G34" s="466">
        <f t="shared" si="7"/>
        <v>1</v>
      </c>
      <c r="H34" s="466">
        <f t="shared" si="7"/>
        <v>1</v>
      </c>
      <c r="I34" s="617">
        <f t="shared" si="8"/>
        <v>100906.7150275</v>
      </c>
      <c r="K34" s="346">
        <f>[4]Reserve!$D122</f>
        <v>100082.0598475</v>
      </c>
      <c r="L34" s="466">
        <f t="shared" si="9"/>
        <v>1</v>
      </c>
      <c r="M34" s="466">
        <f t="shared" si="9"/>
        <v>1</v>
      </c>
      <c r="N34" s="617">
        <f t="shared" si="10"/>
        <v>100082.0598475</v>
      </c>
      <c r="S34" s="514"/>
    </row>
    <row r="35" spans="1:19">
      <c r="A35" s="855">
        <f t="shared" si="1"/>
        <v>21</v>
      </c>
      <c r="B35" s="514">
        <v>35200</v>
      </c>
      <c r="C35" s="88" t="s">
        <v>441</v>
      </c>
      <c r="D35" s="346">
        <f>[4]Reserve!$AF123</f>
        <v>1268882.1931674373</v>
      </c>
      <c r="E35" s="617">
        <v>0</v>
      </c>
      <c r="F35" s="617">
        <f t="shared" si="2"/>
        <v>1268882.1931674373</v>
      </c>
      <c r="G35" s="466">
        <f t="shared" si="7"/>
        <v>1</v>
      </c>
      <c r="H35" s="466">
        <f t="shared" si="7"/>
        <v>1</v>
      </c>
      <c r="I35" s="617">
        <f t="shared" si="8"/>
        <v>1268882.1931674373</v>
      </c>
      <c r="K35" s="346">
        <f>[4]Reserve!$D123</f>
        <v>1189577.9441521773</v>
      </c>
      <c r="L35" s="466">
        <f t="shared" si="9"/>
        <v>1</v>
      </c>
      <c r="M35" s="466">
        <f t="shared" si="9"/>
        <v>1</v>
      </c>
      <c r="N35" s="617">
        <f t="shared" si="10"/>
        <v>1189577.9441521773</v>
      </c>
      <c r="S35" s="514"/>
    </row>
    <row r="36" spans="1:19">
      <c r="A36" s="855">
        <f t="shared" si="1"/>
        <v>22</v>
      </c>
      <c r="B36" s="514">
        <v>35201</v>
      </c>
      <c r="C36" s="88" t="s">
        <v>587</v>
      </c>
      <c r="D36" s="346">
        <f>[4]Reserve!$AF124</f>
        <v>1430730.5427335002</v>
      </c>
      <c r="E36" s="617">
        <v>0</v>
      </c>
      <c r="F36" s="617">
        <f t="shared" si="2"/>
        <v>1430730.5427335002</v>
      </c>
      <c r="G36" s="466">
        <f t="shared" si="7"/>
        <v>1</v>
      </c>
      <c r="H36" s="466">
        <f t="shared" si="7"/>
        <v>1</v>
      </c>
      <c r="I36" s="617">
        <f t="shared" si="8"/>
        <v>1430730.5427335002</v>
      </c>
      <c r="K36" s="346">
        <f>[4]Reserve!$D124</f>
        <v>1418660.5530995002</v>
      </c>
      <c r="L36" s="466">
        <f t="shared" si="9"/>
        <v>1</v>
      </c>
      <c r="M36" s="466">
        <f t="shared" si="9"/>
        <v>1</v>
      </c>
      <c r="N36" s="617">
        <f t="shared" si="10"/>
        <v>1418660.5530995002</v>
      </c>
      <c r="S36" s="514"/>
    </row>
    <row r="37" spans="1:19">
      <c r="A37" s="855">
        <f t="shared" si="1"/>
        <v>23</v>
      </c>
      <c r="B37" s="514">
        <v>35202</v>
      </c>
      <c r="C37" s="88" t="s">
        <v>588</v>
      </c>
      <c r="D37" s="346">
        <f>[4]Reserve!$AF125</f>
        <v>450595.1100000001</v>
      </c>
      <c r="E37" s="617">
        <v>0</v>
      </c>
      <c r="F37" s="617">
        <f t="shared" si="2"/>
        <v>450595.1100000001</v>
      </c>
      <c r="G37" s="466">
        <f t="shared" si="7"/>
        <v>1</v>
      </c>
      <c r="H37" s="466">
        <f t="shared" si="7"/>
        <v>1</v>
      </c>
      <c r="I37" s="617">
        <f t="shared" si="8"/>
        <v>450595.1100000001</v>
      </c>
      <c r="K37" s="346">
        <f>[4]Reserve!$D125</f>
        <v>450595.11000000028</v>
      </c>
      <c r="L37" s="466">
        <f t="shared" si="9"/>
        <v>1</v>
      </c>
      <c r="M37" s="466">
        <f t="shared" si="9"/>
        <v>1</v>
      </c>
      <c r="N37" s="617">
        <f t="shared" si="10"/>
        <v>450595.11000000028</v>
      </c>
      <c r="S37" s="514"/>
    </row>
    <row r="38" spans="1:19">
      <c r="A38" s="855">
        <f t="shared" si="1"/>
        <v>24</v>
      </c>
      <c r="B38" s="514">
        <v>35203</v>
      </c>
      <c r="C38" s="88" t="s">
        <v>343</v>
      </c>
      <c r="D38" s="346">
        <f>[4]Reserve!$AF126</f>
        <v>769949.25321600109</v>
      </c>
      <c r="E38" s="617">
        <v>0</v>
      </c>
      <c r="F38" s="617">
        <f t="shared" si="2"/>
        <v>769949.25321600109</v>
      </c>
      <c r="G38" s="466">
        <f t="shared" si="7"/>
        <v>1</v>
      </c>
      <c r="H38" s="466">
        <f t="shared" si="7"/>
        <v>1</v>
      </c>
      <c r="I38" s="617">
        <f t="shared" si="8"/>
        <v>769949.25321600109</v>
      </c>
      <c r="K38" s="346">
        <f>[4]Reserve!$D126</f>
        <v>758424.38908800064</v>
      </c>
      <c r="L38" s="466">
        <f t="shared" si="9"/>
        <v>1</v>
      </c>
      <c r="M38" s="466">
        <f t="shared" si="9"/>
        <v>1</v>
      </c>
      <c r="N38" s="617">
        <f t="shared" si="10"/>
        <v>758424.38908800064</v>
      </c>
      <c r="S38" s="514"/>
    </row>
    <row r="39" spans="1:19">
      <c r="A39" s="855">
        <f t="shared" si="1"/>
        <v>25</v>
      </c>
      <c r="B39" s="514">
        <v>35210</v>
      </c>
      <c r="C39" s="88" t="s">
        <v>589</v>
      </c>
      <c r="D39" s="346">
        <f>[4]Reserve!$AF127</f>
        <v>168052.77662125012</v>
      </c>
      <c r="E39" s="617">
        <v>0</v>
      </c>
      <c r="F39" s="617">
        <f t="shared" si="2"/>
        <v>168052.77662125012</v>
      </c>
      <c r="G39" s="466">
        <f t="shared" si="7"/>
        <v>1</v>
      </c>
      <c r="H39" s="466">
        <f t="shared" si="7"/>
        <v>1</v>
      </c>
      <c r="I39" s="617">
        <f t="shared" si="8"/>
        <v>168052.77662125012</v>
      </c>
      <c r="K39" s="346">
        <f>[4]Reserve!$D127</f>
        <v>167918.8790537501</v>
      </c>
      <c r="L39" s="466">
        <f t="shared" si="9"/>
        <v>1</v>
      </c>
      <c r="M39" s="466">
        <f t="shared" si="9"/>
        <v>1</v>
      </c>
      <c r="N39" s="617">
        <f t="shared" si="10"/>
        <v>167918.8790537501</v>
      </c>
      <c r="S39" s="514"/>
    </row>
    <row r="40" spans="1:19">
      <c r="A40" s="855">
        <f t="shared" si="1"/>
        <v>26</v>
      </c>
      <c r="B40" s="514">
        <v>35211</v>
      </c>
      <c r="C40" s="88" t="s">
        <v>590</v>
      </c>
      <c r="D40" s="346">
        <f>[4]Reserve!$AF128</f>
        <v>44141.305487999998</v>
      </c>
      <c r="E40" s="617">
        <v>0</v>
      </c>
      <c r="F40" s="617">
        <f t="shared" si="2"/>
        <v>44141.305487999998</v>
      </c>
      <c r="G40" s="466">
        <f t="shared" si="7"/>
        <v>1</v>
      </c>
      <c r="H40" s="466">
        <f t="shared" si="7"/>
        <v>1</v>
      </c>
      <c r="I40" s="617">
        <f t="shared" si="8"/>
        <v>44141.305487999998</v>
      </c>
      <c r="K40" s="346">
        <f>[4]Reserve!$D128</f>
        <v>43928.309835000015</v>
      </c>
      <c r="L40" s="466">
        <f t="shared" si="9"/>
        <v>1</v>
      </c>
      <c r="M40" s="466">
        <f t="shared" si="9"/>
        <v>1</v>
      </c>
      <c r="N40" s="617">
        <f t="shared" si="10"/>
        <v>43928.309835000015</v>
      </c>
      <c r="S40" s="514"/>
    </row>
    <row r="41" spans="1:19">
      <c r="A41" s="855">
        <f t="shared" si="1"/>
        <v>27</v>
      </c>
      <c r="B41" s="514">
        <v>35301</v>
      </c>
      <c r="C41" s="81" t="s">
        <v>162</v>
      </c>
      <c r="D41" s="346">
        <f>[4]Reserve!$AF129</f>
        <v>-87230.162358249974</v>
      </c>
      <c r="E41" s="617">
        <v>0</v>
      </c>
      <c r="F41" s="617">
        <f t="shared" si="2"/>
        <v>-87230.162358249974</v>
      </c>
      <c r="G41" s="466">
        <f t="shared" si="7"/>
        <v>1</v>
      </c>
      <c r="H41" s="466">
        <f t="shared" si="7"/>
        <v>1</v>
      </c>
      <c r="I41" s="617">
        <f t="shared" si="8"/>
        <v>-87230.162358249974</v>
      </c>
      <c r="K41" s="346">
        <f>[4]Reserve!$D129</f>
        <v>-88212.124430249998</v>
      </c>
      <c r="L41" s="466">
        <f t="shared" si="9"/>
        <v>1</v>
      </c>
      <c r="M41" s="466">
        <f t="shared" si="9"/>
        <v>1</v>
      </c>
      <c r="N41" s="617">
        <f t="shared" si="10"/>
        <v>-88212.124430249998</v>
      </c>
      <c r="S41" s="514"/>
    </row>
    <row r="42" spans="1:19">
      <c r="A42" s="855">
        <f t="shared" si="1"/>
        <v>28</v>
      </c>
      <c r="B42" s="514">
        <v>35302</v>
      </c>
      <c r="C42" s="88" t="s">
        <v>596</v>
      </c>
      <c r="D42" s="346">
        <f>[4]Reserve!$AF130</f>
        <v>190568.67399749983</v>
      </c>
      <c r="E42" s="617">
        <v>0</v>
      </c>
      <c r="F42" s="617">
        <f t="shared" si="2"/>
        <v>190568.67399749983</v>
      </c>
      <c r="G42" s="466">
        <f t="shared" si="7"/>
        <v>1</v>
      </c>
      <c r="H42" s="466">
        <f t="shared" si="7"/>
        <v>1</v>
      </c>
      <c r="I42" s="617">
        <f t="shared" si="8"/>
        <v>190568.67399749983</v>
      </c>
      <c r="K42" s="346">
        <f>[4]Reserve!$D130</f>
        <v>189396.48815749987</v>
      </c>
      <c r="L42" s="466">
        <f t="shared" si="9"/>
        <v>1</v>
      </c>
      <c r="M42" s="466">
        <f t="shared" si="9"/>
        <v>1</v>
      </c>
      <c r="N42" s="617">
        <f t="shared" si="10"/>
        <v>189396.48815749987</v>
      </c>
      <c r="S42" s="514"/>
    </row>
    <row r="43" spans="1:19">
      <c r="A43" s="855">
        <f t="shared" si="1"/>
        <v>29</v>
      </c>
      <c r="B43" s="514">
        <v>35400</v>
      </c>
      <c r="C43" s="88" t="s">
        <v>591</v>
      </c>
      <c r="D43" s="346">
        <f>[4]Reserve!$AF131</f>
        <v>505147.91689499945</v>
      </c>
      <c r="E43" s="617">
        <v>0</v>
      </c>
      <c r="F43" s="617">
        <f t="shared" si="2"/>
        <v>505147.91689499945</v>
      </c>
      <c r="G43" s="466">
        <f t="shared" si="7"/>
        <v>1</v>
      </c>
      <c r="H43" s="466">
        <f t="shared" si="7"/>
        <v>1</v>
      </c>
      <c r="I43" s="617">
        <f t="shared" si="8"/>
        <v>505147.91689499945</v>
      </c>
      <c r="K43" s="346">
        <f>[4]Reserve!$D131</f>
        <v>497575.65928499965</v>
      </c>
      <c r="L43" s="466">
        <f t="shared" si="9"/>
        <v>1</v>
      </c>
      <c r="M43" s="466">
        <f t="shared" si="9"/>
        <v>1</v>
      </c>
      <c r="N43" s="617">
        <f t="shared" si="10"/>
        <v>497575.65928499965</v>
      </c>
      <c r="S43" s="514"/>
    </row>
    <row r="44" spans="1:19">
      <c r="A44" s="855">
        <f t="shared" si="1"/>
        <v>30</v>
      </c>
      <c r="B44" s="514">
        <v>35500</v>
      </c>
      <c r="C44" s="88" t="s">
        <v>992</v>
      </c>
      <c r="D44" s="346">
        <f>[4]Reserve!$AF132</f>
        <v>204933.04065150002</v>
      </c>
      <c r="E44" s="617">
        <v>0</v>
      </c>
      <c r="F44" s="617">
        <f t="shared" si="2"/>
        <v>204933.04065150002</v>
      </c>
      <c r="G44" s="466">
        <f t="shared" si="7"/>
        <v>1</v>
      </c>
      <c r="H44" s="466">
        <f t="shared" si="7"/>
        <v>1</v>
      </c>
      <c r="I44" s="617">
        <f t="shared" si="8"/>
        <v>204933.04065150002</v>
      </c>
      <c r="K44" s="346">
        <f>[4]Reserve!$D132</f>
        <v>202598.16920250005</v>
      </c>
      <c r="L44" s="466">
        <f t="shared" si="9"/>
        <v>1</v>
      </c>
      <c r="M44" s="466">
        <f t="shared" si="9"/>
        <v>1</v>
      </c>
      <c r="N44" s="617">
        <f t="shared" si="10"/>
        <v>202598.16920250005</v>
      </c>
      <c r="S44" s="514"/>
    </row>
    <row r="45" spans="1:19">
      <c r="A45" s="855">
        <f t="shared" si="1"/>
        <v>31</v>
      </c>
      <c r="B45" s="514">
        <v>35600</v>
      </c>
      <c r="C45" s="88" t="s">
        <v>1040</v>
      </c>
      <c r="D45" s="346">
        <f>[4]Reserve!$AF133</f>
        <v>195778.25781875008</v>
      </c>
      <c r="E45" s="1046">
        <v>0</v>
      </c>
      <c r="F45" s="1046">
        <f t="shared" si="2"/>
        <v>195778.25781875008</v>
      </c>
      <c r="G45" s="466">
        <f t="shared" si="7"/>
        <v>1</v>
      </c>
      <c r="H45" s="466">
        <f t="shared" si="7"/>
        <v>1</v>
      </c>
      <c r="I45" s="1046">
        <f t="shared" si="8"/>
        <v>195778.25781875008</v>
      </c>
      <c r="K45" s="346">
        <f>[4]Reserve!$D133</f>
        <v>191735.28918125009</v>
      </c>
      <c r="L45" s="466">
        <f t="shared" si="9"/>
        <v>1</v>
      </c>
      <c r="M45" s="466">
        <f t="shared" si="9"/>
        <v>1</v>
      </c>
      <c r="N45" s="1046">
        <f t="shared" si="10"/>
        <v>191735.28918125009</v>
      </c>
      <c r="S45" s="514"/>
    </row>
    <row r="46" spans="1:19">
      <c r="A46" s="855">
        <f t="shared" si="1"/>
        <v>32</v>
      </c>
      <c r="B46" s="514"/>
      <c r="C46" s="88"/>
      <c r="D46" s="1061"/>
      <c r="E46" s="617"/>
      <c r="F46" s="617"/>
      <c r="G46" s="466"/>
      <c r="H46" s="466"/>
      <c r="I46" s="617"/>
      <c r="K46" s="1061"/>
      <c r="N46" s="617"/>
    </row>
    <row r="47" spans="1:19">
      <c r="A47" s="855">
        <f t="shared" si="1"/>
        <v>33</v>
      </c>
      <c r="B47" s="514"/>
      <c r="C47" s="88" t="s">
        <v>1384</v>
      </c>
      <c r="D47" s="360">
        <f>SUM(D29:D46)</f>
        <v>5388498.2648774395</v>
      </c>
      <c r="E47" s="360">
        <f>SUM(E29:E46)</f>
        <v>0</v>
      </c>
      <c r="F47" s="360">
        <f>SUM(F29:F46)</f>
        <v>5388498.2648774395</v>
      </c>
      <c r="G47" s="466"/>
      <c r="H47" s="466"/>
      <c r="I47" s="360">
        <f>SUM(I29:I46)</f>
        <v>5388498.2648774395</v>
      </c>
      <c r="K47" s="360">
        <f>SUM(K29:K46)</f>
        <v>5267175.9734561788</v>
      </c>
      <c r="N47" s="360">
        <f>SUM(N29:N46)</f>
        <v>5267175.9734561788</v>
      </c>
    </row>
    <row r="48" spans="1:19">
      <c r="A48" s="855">
        <f t="shared" si="1"/>
        <v>34</v>
      </c>
      <c r="B48" s="514"/>
      <c r="C48" s="88"/>
      <c r="D48" s="617"/>
      <c r="E48" s="617"/>
      <c r="F48" s="617"/>
      <c r="G48" s="466"/>
      <c r="H48" s="466"/>
      <c r="I48" s="617"/>
      <c r="K48" s="617"/>
      <c r="N48" s="617"/>
    </row>
    <row r="49" spans="1:19">
      <c r="A49" s="855">
        <f t="shared" si="1"/>
        <v>35</v>
      </c>
      <c r="B49" s="514"/>
      <c r="C49" s="620" t="s">
        <v>993</v>
      </c>
      <c r="D49" s="617"/>
      <c r="E49" s="617"/>
      <c r="F49" s="617"/>
      <c r="G49" s="466"/>
      <c r="H49" s="466"/>
      <c r="I49" s="617"/>
      <c r="K49" s="617"/>
      <c r="N49" s="617"/>
    </row>
    <row r="50" spans="1:19">
      <c r="A50" s="855">
        <f t="shared" si="1"/>
        <v>36</v>
      </c>
      <c r="B50" s="514">
        <v>36510</v>
      </c>
      <c r="C50" s="88" t="s">
        <v>292</v>
      </c>
      <c r="D50" s="346">
        <f>[4]Reserve!$AF134</f>
        <v>0</v>
      </c>
      <c r="E50" s="360">
        <v>0</v>
      </c>
      <c r="F50" s="360">
        <f t="shared" si="2"/>
        <v>0</v>
      </c>
      <c r="G50" s="466">
        <f t="shared" ref="G50:H58" si="11">$G$16</f>
        <v>1</v>
      </c>
      <c r="H50" s="466">
        <f t="shared" si="11"/>
        <v>1</v>
      </c>
      <c r="I50" s="360">
        <f t="shared" ref="I50:I58" si="12">F50*G50*H50</f>
        <v>0</v>
      </c>
      <c r="K50" s="346">
        <f>[4]Reserve!$D134</f>
        <v>0</v>
      </c>
      <c r="L50" s="466">
        <f t="shared" ref="L50:M58" si="13">$G$16</f>
        <v>1</v>
      </c>
      <c r="M50" s="466">
        <f t="shared" si="13"/>
        <v>1</v>
      </c>
      <c r="N50" s="360">
        <f t="shared" ref="N50:N58" si="14">K50*L50*M50</f>
        <v>0</v>
      </c>
      <c r="S50" s="514"/>
    </row>
    <row r="51" spans="1:19">
      <c r="A51" s="855">
        <f t="shared" si="1"/>
        <v>37</v>
      </c>
      <c r="B51" s="514">
        <v>36520</v>
      </c>
      <c r="C51" s="88" t="s">
        <v>792</v>
      </c>
      <c r="D51" s="346">
        <f>[4]Reserve!$AF135</f>
        <v>429961.27850000013</v>
      </c>
      <c r="E51" s="617">
        <v>0</v>
      </c>
      <c r="F51" s="617">
        <f t="shared" si="2"/>
        <v>429961.27850000013</v>
      </c>
      <c r="G51" s="466">
        <f t="shared" si="11"/>
        <v>1</v>
      </c>
      <c r="H51" s="466">
        <f t="shared" si="11"/>
        <v>1</v>
      </c>
      <c r="I51" s="617">
        <f t="shared" si="12"/>
        <v>429961.27850000013</v>
      </c>
      <c r="K51" s="346">
        <f>[4]Reserve!$D135</f>
        <v>426750.5221</v>
      </c>
      <c r="L51" s="466">
        <f t="shared" si="13"/>
        <v>1</v>
      </c>
      <c r="M51" s="466">
        <f t="shared" si="13"/>
        <v>1</v>
      </c>
      <c r="N51" s="617">
        <f t="shared" si="14"/>
        <v>426750.5221</v>
      </c>
      <c r="S51" s="514"/>
    </row>
    <row r="52" spans="1:19">
      <c r="A52" s="855">
        <f t="shared" si="1"/>
        <v>38</v>
      </c>
      <c r="B52" s="514">
        <v>36602</v>
      </c>
      <c r="C52" s="88" t="s">
        <v>856</v>
      </c>
      <c r="D52" s="346">
        <f>[4]Reserve!$AF136</f>
        <v>16881.515174000015</v>
      </c>
      <c r="E52" s="617">
        <v>0</v>
      </c>
      <c r="F52" s="617">
        <f t="shared" si="2"/>
        <v>16881.515174000015</v>
      </c>
      <c r="G52" s="466">
        <f t="shared" si="11"/>
        <v>1</v>
      </c>
      <c r="H52" s="466">
        <f t="shared" si="11"/>
        <v>1</v>
      </c>
      <c r="I52" s="617">
        <f t="shared" si="12"/>
        <v>16881.515174000015</v>
      </c>
      <c r="K52" s="346">
        <f>[4]Reserve!$D136</f>
        <v>16707.55906800001</v>
      </c>
      <c r="L52" s="466">
        <f t="shared" si="13"/>
        <v>1</v>
      </c>
      <c r="M52" s="466">
        <f t="shared" si="13"/>
        <v>1</v>
      </c>
      <c r="N52" s="617">
        <f t="shared" si="14"/>
        <v>16707.55906800001</v>
      </c>
      <c r="S52" s="514"/>
    </row>
    <row r="53" spans="1:19">
      <c r="A53" s="855">
        <f t="shared" si="1"/>
        <v>39</v>
      </c>
      <c r="B53" s="514">
        <v>36603</v>
      </c>
      <c r="C53" s="88" t="s">
        <v>994</v>
      </c>
      <c r="D53" s="346">
        <f>[4]Reserve!$AF137</f>
        <v>53120.647630500054</v>
      </c>
      <c r="E53" s="617">
        <v>0</v>
      </c>
      <c r="F53" s="617">
        <f t="shared" si="2"/>
        <v>53120.647630500054</v>
      </c>
      <c r="G53" s="466">
        <f t="shared" si="11"/>
        <v>1</v>
      </c>
      <c r="H53" s="466">
        <f t="shared" si="11"/>
        <v>1</v>
      </c>
      <c r="I53" s="617">
        <f t="shared" si="12"/>
        <v>53120.647630500054</v>
      </c>
      <c r="K53" s="346">
        <f>[4]Reserve!$D137</f>
        <v>52904.714301000044</v>
      </c>
      <c r="L53" s="466">
        <f t="shared" si="13"/>
        <v>1</v>
      </c>
      <c r="M53" s="466">
        <f t="shared" si="13"/>
        <v>1</v>
      </c>
      <c r="N53" s="617">
        <f t="shared" si="14"/>
        <v>52904.714301000044</v>
      </c>
      <c r="S53" s="514"/>
    </row>
    <row r="54" spans="1:19">
      <c r="A54" s="855">
        <f t="shared" si="1"/>
        <v>40</v>
      </c>
      <c r="B54" s="514">
        <v>36700</v>
      </c>
      <c r="C54" s="88" t="s">
        <v>844</v>
      </c>
      <c r="D54" s="346">
        <f>[4]Reserve!$AF138</f>
        <v>100215.56890400001</v>
      </c>
      <c r="E54" s="617">
        <v>0</v>
      </c>
      <c r="F54" s="617">
        <f t="shared" si="2"/>
        <v>100215.56890400001</v>
      </c>
      <c r="G54" s="466">
        <f t="shared" si="11"/>
        <v>1</v>
      </c>
      <c r="H54" s="466">
        <f t="shared" si="11"/>
        <v>1</v>
      </c>
      <c r="I54" s="617">
        <f t="shared" si="12"/>
        <v>100215.56890400001</v>
      </c>
      <c r="K54" s="346">
        <f>[4]Reserve!$D138</f>
        <v>97925.510952000026</v>
      </c>
      <c r="L54" s="466">
        <f t="shared" si="13"/>
        <v>1</v>
      </c>
      <c r="M54" s="466">
        <f t="shared" si="13"/>
        <v>1</v>
      </c>
      <c r="N54" s="617">
        <f t="shared" si="14"/>
        <v>97925.510952000026</v>
      </c>
      <c r="S54" s="514"/>
    </row>
    <row r="55" spans="1:19">
      <c r="A55" s="855">
        <f t="shared" si="1"/>
        <v>41</v>
      </c>
      <c r="B55" s="514">
        <v>36701</v>
      </c>
      <c r="C55" s="88" t="s">
        <v>16</v>
      </c>
      <c r="D55" s="346">
        <f>[4]Reserve!$AF139</f>
        <v>15723429.77358561</v>
      </c>
      <c r="E55" s="617">
        <v>0</v>
      </c>
      <c r="F55" s="617">
        <f t="shared" si="2"/>
        <v>15723429.77358561</v>
      </c>
      <c r="G55" s="466">
        <f t="shared" si="11"/>
        <v>1</v>
      </c>
      <c r="H55" s="466">
        <f t="shared" si="11"/>
        <v>1</v>
      </c>
      <c r="I55" s="617">
        <f t="shared" si="12"/>
        <v>15723429.77358561</v>
      </c>
      <c r="K55" s="346">
        <f>[4]Reserve!$D139</f>
        <v>16354095.686099121</v>
      </c>
      <c r="L55" s="466">
        <f t="shared" si="13"/>
        <v>1</v>
      </c>
      <c r="M55" s="466">
        <f t="shared" si="13"/>
        <v>1</v>
      </c>
      <c r="N55" s="617">
        <f t="shared" si="14"/>
        <v>16354095.686099121</v>
      </c>
      <c r="S55" s="514"/>
    </row>
    <row r="56" spans="1:19">
      <c r="A56" s="1153">
        <f t="shared" si="1"/>
        <v>42</v>
      </c>
      <c r="B56" s="514">
        <v>36703</v>
      </c>
      <c r="C56" s="88" t="s">
        <v>1666</v>
      </c>
      <c r="D56" s="346">
        <f>[4]Reserve!$AF140</f>
        <v>0</v>
      </c>
      <c r="E56" s="617">
        <v>0</v>
      </c>
      <c r="F56" s="617">
        <f t="shared" ref="F56" si="15">D56-E56</f>
        <v>0</v>
      </c>
      <c r="G56" s="466">
        <f t="shared" si="11"/>
        <v>1</v>
      </c>
      <c r="H56" s="466">
        <f t="shared" si="11"/>
        <v>1</v>
      </c>
      <c r="I56" s="617">
        <f t="shared" ref="I56" si="16">F56*G56*H56</f>
        <v>0</v>
      </c>
      <c r="K56" s="346">
        <f>[4]Reserve!$D140</f>
        <v>0</v>
      </c>
      <c r="L56" s="466">
        <f t="shared" si="13"/>
        <v>1</v>
      </c>
      <c r="M56" s="466">
        <f t="shared" si="13"/>
        <v>1</v>
      </c>
      <c r="N56" s="617">
        <f t="shared" ref="N56" si="17">K56*L56*M56</f>
        <v>0</v>
      </c>
      <c r="S56" s="514"/>
    </row>
    <row r="57" spans="1:19">
      <c r="A57" s="1153">
        <f t="shared" si="1"/>
        <v>43</v>
      </c>
      <c r="B57" s="514">
        <v>36900</v>
      </c>
      <c r="C57" s="88" t="s">
        <v>995</v>
      </c>
      <c r="D57" s="346">
        <f>[4]Reserve!$AF141</f>
        <v>356980.2125720004</v>
      </c>
      <c r="E57" s="617">
        <v>0</v>
      </c>
      <c r="F57" s="617">
        <f t="shared" si="2"/>
        <v>356980.2125720004</v>
      </c>
      <c r="G57" s="466">
        <f t="shared" si="11"/>
        <v>1</v>
      </c>
      <c r="H57" s="466">
        <f t="shared" si="11"/>
        <v>1</v>
      </c>
      <c r="I57" s="617">
        <f t="shared" si="12"/>
        <v>356980.2125720004</v>
      </c>
      <c r="K57" s="346">
        <f>[4]Reserve!$D141</f>
        <v>352408.54607200023</v>
      </c>
      <c r="L57" s="466">
        <f t="shared" si="13"/>
        <v>1</v>
      </c>
      <c r="M57" s="466">
        <f t="shared" si="13"/>
        <v>1</v>
      </c>
      <c r="N57" s="617">
        <f t="shared" si="14"/>
        <v>352408.54607200023</v>
      </c>
      <c r="S57" s="514"/>
    </row>
    <row r="58" spans="1:19">
      <c r="A58" s="1153">
        <f t="shared" si="1"/>
        <v>44</v>
      </c>
      <c r="B58" s="514">
        <v>36901</v>
      </c>
      <c r="C58" s="88" t="s">
        <v>995</v>
      </c>
      <c r="D58" s="346">
        <f>[4]Reserve!$AF142</f>
        <v>1785144.8012304991</v>
      </c>
      <c r="E58" s="1046">
        <v>0</v>
      </c>
      <c r="F58" s="1046">
        <f t="shared" si="2"/>
        <v>1785144.8012304991</v>
      </c>
      <c r="G58" s="466">
        <f t="shared" si="11"/>
        <v>1</v>
      </c>
      <c r="H58" s="466">
        <f t="shared" si="11"/>
        <v>1</v>
      </c>
      <c r="I58" s="1046">
        <f t="shared" si="12"/>
        <v>1785144.8012304991</v>
      </c>
      <c r="K58" s="346">
        <f>[4]Reserve!$D142</f>
        <v>1770960.0767929985</v>
      </c>
      <c r="L58" s="466">
        <f t="shared" si="13"/>
        <v>1</v>
      </c>
      <c r="M58" s="466">
        <f t="shared" si="13"/>
        <v>1</v>
      </c>
      <c r="N58" s="1046">
        <f t="shared" si="14"/>
        <v>1770960.0767929985</v>
      </c>
      <c r="S58" s="514"/>
    </row>
    <row r="59" spans="1:19">
      <c r="A59" s="1153">
        <f t="shared" si="1"/>
        <v>45</v>
      </c>
      <c r="B59" s="514"/>
      <c r="C59" s="88"/>
      <c r="D59" s="1061"/>
      <c r="E59" s="617"/>
      <c r="F59" s="617"/>
      <c r="G59" s="466"/>
      <c r="H59" s="466"/>
      <c r="I59" s="617"/>
      <c r="K59" s="1061"/>
      <c r="N59" s="617"/>
    </row>
    <row r="60" spans="1:19">
      <c r="A60" s="1153">
        <f t="shared" si="1"/>
        <v>46</v>
      </c>
      <c r="B60" s="707"/>
      <c r="C60" s="88" t="s">
        <v>1383</v>
      </c>
      <c r="D60" s="360">
        <f>SUM(D50:D59)</f>
        <v>18465733.797596611</v>
      </c>
      <c r="E60" s="360">
        <f>SUM(E50:E59)</f>
        <v>0</v>
      </c>
      <c r="F60" s="360">
        <f>SUM(F50:F59)</f>
        <v>18465733.797596611</v>
      </c>
      <c r="G60" s="466"/>
      <c r="H60" s="466"/>
      <c r="I60" s="360">
        <f>SUM(I50:I59)</f>
        <v>18465733.797596611</v>
      </c>
      <c r="K60" s="360">
        <f>SUM(K50:K59)</f>
        <v>19071752.615385119</v>
      </c>
      <c r="N60" s="360">
        <f>SUM(N50:N59)</f>
        <v>19071752.615385119</v>
      </c>
    </row>
    <row r="61" spans="1:19">
      <c r="A61" s="1153">
        <f t="shared" si="1"/>
        <v>47</v>
      </c>
      <c r="B61" s="707"/>
      <c r="C61" s="81"/>
      <c r="D61" s="617"/>
      <c r="E61" s="617"/>
      <c r="F61" s="617"/>
      <c r="G61" s="466"/>
      <c r="H61" s="466"/>
      <c r="I61" s="617"/>
      <c r="K61" s="617"/>
      <c r="N61" s="617"/>
    </row>
    <row r="62" spans="1:19">
      <c r="A62" s="1153">
        <f t="shared" si="1"/>
        <v>48</v>
      </c>
      <c r="B62" s="707"/>
      <c r="C62" s="620" t="s">
        <v>299</v>
      </c>
      <c r="D62" s="617"/>
      <c r="E62" s="617"/>
      <c r="F62" s="617"/>
      <c r="G62" s="466"/>
      <c r="H62" s="466"/>
      <c r="I62" s="617"/>
      <c r="K62" s="617"/>
      <c r="N62" s="617"/>
    </row>
    <row r="63" spans="1:19">
      <c r="A63" s="1153">
        <f t="shared" si="1"/>
        <v>49</v>
      </c>
      <c r="B63" s="514">
        <v>37400</v>
      </c>
      <c r="C63" s="88" t="s">
        <v>1147</v>
      </c>
      <c r="D63" s="346">
        <f>[4]Reserve!$AF143</f>
        <v>0</v>
      </c>
      <c r="E63" s="360">
        <v>0</v>
      </c>
      <c r="F63" s="360">
        <f t="shared" si="2"/>
        <v>0</v>
      </c>
      <c r="G63" s="466">
        <f t="shared" ref="G63:H84" si="18">$G$16</f>
        <v>1</v>
      </c>
      <c r="H63" s="466">
        <f t="shared" si="18"/>
        <v>1</v>
      </c>
      <c r="I63" s="360">
        <f t="shared" ref="I63:I84" si="19">F63*G63*H63</f>
        <v>0</v>
      </c>
      <c r="K63" s="346">
        <f>[4]Reserve!$D143</f>
        <v>0</v>
      </c>
      <c r="L63" s="466">
        <f t="shared" ref="L63:M84" si="20">$G$16</f>
        <v>1</v>
      </c>
      <c r="M63" s="466">
        <f t="shared" si="20"/>
        <v>1</v>
      </c>
      <c r="N63" s="360">
        <f t="shared" ref="N63:N84" si="21">K63*L63*M63</f>
        <v>0</v>
      </c>
      <c r="S63" s="514"/>
    </row>
    <row r="64" spans="1:19">
      <c r="A64" s="1153">
        <f t="shared" si="1"/>
        <v>50</v>
      </c>
      <c r="B64" s="514">
        <v>37401</v>
      </c>
      <c r="C64" s="88" t="s">
        <v>292</v>
      </c>
      <c r="D64" s="346">
        <f>[4]Reserve!$AF144</f>
        <v>0</v>
      </c>
      <c r="E64" s="617">
        <v>0</v>
      </c>
      <c r="F64" s="617">
        <f t="shared" si="2"/>
        <v>0</v>
      </c>
      <c r="G64" s="466">
        <f t="shared" si="18"/>
        <v>1</v>
      </c>
      <c r="H64" s="466">
        <f t="shared" si="18"/>
        <v>1</v>
      </c>
      <c r="I64" s="617">
        <f t="shared" si="19"/>
        <v>0</v>
      </c>
      <c r="K64" s="346">
        <f>[4]Reserve!$D144</f>
        <v>0</v>
      </c>
      <c r="L64" s="466">
        <f t="shared" si="20"/>
        <v>1</v>
      </c>
      <c r="M64" s="466">
        <f t="shared" si="20"/>
        <v>1</v>
      </c>
      <c r="N64" s="617">
        <f t="shared" si="21"/>
        <v>0</v>
      </c>
      <c r="S64" s="514"/>
    </row>
    <row r="65" spans="1:19">
      <c r="A65" s="1153">
        <f t="shared" si="1"/>
        <v>51</v>
      </c>
      <c r="B65" s="514">
        <v>37402</v>
      </c>
      <c r="C65" s="88" t="s">
        <v>999</v>
      </c>
      <c r="D65" s="346">
        <f>[4]Reserve!$AF145</f>
        <v>258399.90984801124</v>
      </c>
      <c r="E65" s="617">
        <v>0</v>
      </c>
      <c r="F65" s="617">
        <f t="shared" si="2"/>
        <v>258399.90984801124</v>
      </c>
      <c r="G65" s="466">
        <f t="shared" si="18"/>
        <v>1</v>
      </c>
      <c r="H65" s="466">
        <f t="shared" si="18"/>
        <v>1</v>
      </c>
      <c r="I65" s="617">
        <f t="shared" si="19"/>
        <v>258399.90984801124</v>
      </c>
      <c r="K65" s="346">
        <f>[4]Reserve!$D145</f>
        <v>234112.52316100505</v>
      </c>
      <c r="L65" s="466">
        <f t="shared" si="20"/>
        <v>1</v>
      </c>
      <c r="M65" s="466">
        <f t="shared" si="20"/>
        <v>1</v>
      </c>
      <c r="N65" s="617">
        <f t="shared" si="21"/>
        <v>234112.52316100505</v>
      </c>
      <c r="S65" s="514"/>
    </row>
    <row r="66" spans="1:19">
      <c r="A66" s="1153">
        <f t="shared" si="1"/>
        <v>52</v>
      </c>
      <c r="B66" s="514">
        <v>37403</v>
      </c>
      <c r="C66" s="88" t="s">
        <v>996</v>
      </c>
      <c r="D66" s="346">
        <f>[4]Reserve!$AF146</f>
        <v>0</v>
      </c>
      <c r="E66" s="617">
        <v>0</v>
      </c>
      <c r="F66" s="617">
        <f t="shared" si="2"/>
        <v>0</v>
      </c>
      <c r="G66" s="466">
        <f t="shared" si="18"/>
        <v>1</v>
      </c>
      <c r="H66" s="466">
        <f t="shared" si="18"/>
        <v>1</v>
      </c>
      <c r="I66" s="617">
        <f t="shared" si="19"/>
        <v>0</v>
      </c>
      <c r="K66" s="346">
        <f>[4]Reserve!$D146</f>
        <v>0</v>
      </c>
      <c r="L66" s="466">
        <f t="shared" si="20"/>
        <v>1</v>
      </c>
      <c r="M66" s="466">
        <f t="shared" si="20"/>
        <v>1</v>
      </c>
      <c r="N66" s="617">
        <f t="shared" si="21"/>
        <v>0</v>
      </c>
      <c r="S66" s="514"/>
    </row>
    <row r="67" spans="1:19">
      <c r="A67" s="1153">
        <f t="shared" si="1"/>
        <v>53</v>
      </c>
      <c r="B67" s="514">
        <v>37500</v>
      </c>
      <c r="C67" s="88" t="s">
        <v>856</v>
      </c>
      <c r="D67" s="346">
        <f>[4]Reserve!$AF147</f>
        <v>114888.5427429999</v>
      </c>
      <c r="E67" s="617">
        <v>0</v>
      </c>
      <c r="F67" s="617">
        <f t="shared" si="2"/>
        <v>114888.5427429999</v>
      </c>
      <c r="G67" s="466">
        <f t="shared" si="18"/>
        <v>1</v>
      </c>
      <c r="H67" s="466">
        <f t="shared" si="18"/>
        <v>1</v>
      </c>
      <c r="I67" s="617">
        <f t="shared" si="19"/>
        <v>114888.5427429999</v>
      </c>
      <c r="K67" s="346">
        <f>[4]Reserve!$D147</f>
        <v>112787.49561799991</v>
      </c>
      <c r="L67" s="466">
        <f t="shared" si="20"/>
        <v>1</v>
      </c>
      <c r="M67" s="466">
        <f t="shared" si="20"/>
        <v>1</v>
      </c>
      <c r="N67" s="617">
        <f t="shared" si="21"/>
        <v>112787.49561799991</v>
      </c>
      <c r="S67" s="514"/>
    </row>
    <row r="68" spans="1:19">
      <c r="A68" s="1153">
        <f t="shared" si="1"/>
        <v>54</v>
      </c>
      <c r="B68" s="514">
        <v>37501</v>
      </c>
      <c r="C68" s="88" t="s">
        <v>997</v>
      </c>
      <c r="D68" s="346">
        <f>[4]Reserve!$AF148</f>
        <v>71803.256733500151</v>
      </c>
      <c r="E68" s="617">
        <v>0</v>
      </c>
      <c r="F68" s="617">
        <f t="shared" si="2"/>
        <v>71803.256733500151</v>
      </c>
      <c r="G68" s="466">
        <f t="shared" si="18"/>
        <v>1</v>
      </c>
      <c r="H68" s="466">
        <f t="shared" si="18"/>
        <v>1</v>
      </c>
      <c r="I68" s="617">
        <f t="shared" si="19"/>
        <v>71803.256733500151</v>
      </c>
      <c r="K68" s="346">
        <f>[4]Reserve!$D148</f>
        <v>71179.393421000117</v>
      </c>
      <c r="L68" s="466">
        <f t="shared" si="20"/>
        <v>1</v>
      </c>
      <c r="M68" s="466">
        <f t="shared" si="20"/>
        <v>1</v>
      </c>
      <c r="N68" s="617">
        <f t="shared" si="21"/>
        <v>71179.393421000117</v>
      </c>
      <c r="S68" s="514"/>
    </row>
    <row r="69" spans="1:19">
      <c r="A69" s="1153">
        <f t="shared" si="1"/>
        <v>55</v>
      </c>
      <c r="B69" s="514">
        <v>37502</v>
      </c>
      <c r="C69" s="88" t="s">
        <v>999</v>
      </c>
      <c r="D69" s="346">
        <f>[4]Reserve!$AF149</f>
        <v>35563.594110500031</v>
      </c>
      <c r="E69" s="617">
        <v>0</v>
      </c>
      <c r="F69" s="617">
        <f t="shared" si="2"/>
        <v>35563.594110500031</v>
      </c>
      <c r="G69" s="466">
        <f t="shared" si="18"/>
        <v>1</v>
      </c>
      <c r="H69" s="466">
        <f t="shared" si="18"/>
        <v>1</v>
      </c>
      <c r="I69" s="617">
        <f t="shared" si="19"/>
        <v>35563.594110500031</v>
      </c>
      <c r="K69" s="346">
        <f>[4]Reserve!$D149</f>
        <v>35274.442923000017</v>
      </c>
      <c r="L69" s="466">
        <f t="shared" si="20"/>
        <v>1</v>
      </c>
      <c r="M69" s="466">
        <f t="shared" si="20"/>
        <v>1</v>
      </c>
      <c r="N69" s="617">
        <f t="shared" si="21"/>
        <v>35274.442923000017</v>
      </c>
      <c r="S69" s="514"/>
    </row>
    <row r="70" spans="1:19">
      <c r="A70" s="1153">
        <f t="shared" si="1"/>
        <v>56</v>
      </c>
      <c r="B70" s="514">
        <v>37503</v>
      </c>
      <c r="C70" s="88" t="s">
        <v>998</v>
      </c>
      <c r="D70" s="346">
        <f>[4]Reserve!$AF150</f>
        <v>1934.371985999999</v>
      </c>
      <c r="E70" s="617">
        <v>0</v>
      </c>
      <c r="F70" s="617">
        <f t="shared" si="2"/>
        <v>1934.371985999999</v>
      </c>
      <c r="G70" s="466">
        <f t="shared" si="18"/>
        <v>1</v>
      </c>
      <c r="H70" s="466">
        <f t="shared" si="18"/>
        <v>1</v>
      </c>
      <c r="I70" s="617">
        <f t="shared" si="19"/>
        <v>1934.371985999999</v>
      </c>
      <c r="K70" s="346">
        <f>[4]Reserve!$D150</f>
        <v>1909.3402359999989</v>
      </c>
      <c r="L70" s="466">
        <f t="shared" si="20"/>
        <v>1</v>
      </c>
      <c r="M70" s="466">
        <f t="shared" si="20"/>
        <v>1</v>
      </c>
      <c r="N70" s="617">
        <f t="shared" si="21"/>
        <v>1909.3402359999989</v>
      </c>
      <c r="S70" s="514"/>
    </row>
    <row r="71" spans="1:19">
      <c r="A71" s="1153">
        <f t="shared" si="1"/>
        <v>57</v>
      </c>
      <c r="B71" s="514">
        <v>37600</v>
      </c>
      <c r="C71" s="88" t="s">
        <v>844</v>
      </c>
      <c r="D71" s="346">
        <f>[4]Reserve!$AF151</f>
        <v>13174060.0639633</v>
      </c>
      <c r="E71" s="617">
        <v>0</v>
      </c>
      <c r="F71" s="617">
        <f t="shared" si="2"/>
        <v>13174060.0639633</v>
      </c>
      <c r="G71" s="466">
        <f t="shared" si="18"/>
        <v>1</v>
      </c>
      <c r="H71" s="466">
        <f t="shared" si="18"/>
        <v>1</v>
      </c>
      <c r="I71" s="617">
        <f t="shared" si="19"/>
        <v>13174060.0639633</v>
      </c>
      <c r="K71" s="346">
        <f>[4]Reserve!$D151</f>
        <v>13126038.453240689</v>
      </c>
      <c r="L71" s="466">
        <f t="shared" si="20"/>
        <v>1</v>
      </c>
      <c r="M71" s="466">
        <f t="shared" si="20"/>
        <v>1</v>
      </c>
      <c r="N71" s="617">
        <f t="shared" si="21"/>
        <v>13126038.453240689</v>
      </c>
      <c r="S71" s="514"/>
    </row>
    <row r="72" spans="1:19">
      <c r="A72" s="1153">
        <f t="shared" si="1"/>
        <v>58</v>
      </c>
      <c r="B72" s="514">
        <v>37601</v>
      </c>
      <c r="C72" s="88" t="s">
        <v>16</v>
      </c>
      <c r="D72" s="346">
        <f>[4]Reserve!$AF152</f>
        <v>33517838.320791945</v>
      </c>
      <c r="E72" s="617">
        <v>0</v>
      </c>
      <c r="F72" s="617">
        <f t="shared" si="2"/>
        <v>33517838.320791945</v>
      </c>
      <c r="G72" s="466">
        <f t="shared" si="18"/>
        <v>1</v>
      </c>
      <c r="H72" s="466">
        <f t="shared" si="18"/>
        <v>1</v>
      </c>
      <c r="I72" s="617">
        <f t="shared" si="19"/>
        <v>33517838.320791945</v>
      </c>
      <c r="K72" s="346">
        <f>[4]Reserve!$D152</f>
        <v>32724102.703910943</v>
      </c>
      <c r="L72" s="466">
        <f t="shared" si="20"/>
        <v>1</v>
      </c>
      <c r="M72" s="466">
        <f t="shared" si="20"/>
        <v>1</v>
      </c>
      <c r="N72" s="617">
        <f t="shared" si="21"/>
        <v>32724102.703910943</v>
      </c>
      <c r="S72" s="514"/>
    </row>
    <row r="73" spans="1:19">
      <c r="A73" s="1153">
        <f t="shared" si="1"/>
        <v>59</v>
      </c>
      <c r="B73" s="514">
        <v>37602</v>
      </c>
      <c r="C73" s="88" t="s">
        <v>845</v>
      </c>
      <c r="D73" s="346">
        <f>[4]Reserve!$AF153</f>
        <v>19162096.084426071</v>
      </c>
      <c r="E73" s="617">
        <v>0</v>
      </c>
      <c r="F73" s="617">
        <f t="shared" si="2"/>
        <v>19162096.084426071</v>
      </c>
      <c r="G73" s="466">
        <f t="shared" si="18"/>
        <v>1</v>
      </c>
      <c r="H73" s="466">
        <f t="shared" si="18"/>
        <v>1</v>
      </c>
      <c r="I73" s="617">
        <f t="shared" si="19"/>
        <v>19162096.084426071</v>
      </c>
      <c r="K73" s="346">
        <f>[4]Reserve!$D153</f>
        <v>18314075.243993793</v>
      </c>
      <c r="L73" s="466">
        <f t="shared" si="20"/>
        <v>1</v>
      </c>
      <c r="M73" s="466">
        <f t="shared" si="20"/>
        <v>1</v>
      </c>
      <c r="N73" s="617">
        <f t="shared" si="21"/>
        <v>18314075.243993793</v>
      </c>
      <c r="S73" s="514"/>
    </row>
    <row r="74" spans="1:19">
      <c r="A74" s="1153">
        <f t="shared" si="1"/>
        <v>60</v>
      </c>
      <c r="B74" s="514">
        <v>37603</v>
      </c>
      <c r="C74" s="88" t="s">
        <v>1666</v>
      </c>
      <c r="D74" s="346">
        <f>[4]Reserve!$AF154</f>
        <v>0</v>
      </c>
      <c r="E74" s="617">
        <v>0</v>
      </c>
      <c r="F74" s="617">
        <f t="shared" ref="F74:F75" si="22">D74-E74</f>
        <v>0</v>
      </c>
      <c r="G74" s="466">
        <f t="shared" si="18"/>
        <v>1</v>
      </c>
      <c r="H74" s="466">
        <f t="shared" si="18"/>
        <v>1</v>
      </c>
      <c r="I74" s="617">
        <f t="shared" ref="I74:I75" si="23">F74*G74*H74</f>
        <v>0</v>
      </c>
      <c r="K74" s="346">
        <f>[4]Reserve!$D154</f>
        <v>0</v>
      </c>
      <c r="L74" s="466">
        <f t="shared" si="20"/>
        <v>1</v>
      </c>
      <c r="M74" s="466">
        <f t="shared" si="20"/>
        <v>1</v>
      </c>
      <c r="N74" s="617">
        <f t="shared" ref="N74:N75" si="24">K74*L74*M74</f>
        <v>0</v>
      </c>
      <c r="S74" s="514"/>
    </row>
    <row r="75" spans="1:19">
      <c r="A75" s="1153">
        <f t="shared" si="1"/>
        <v>61</v>
      </c>
      <c r="B75" s="514">
        <v>37604</v>
      </c>
      <c r="C75" s="88" t="s">
        <v>1667</v>
      </c>
      <c r="D75" s="346">
        <f>[4]Reserve!$AF155</f>
        <v>0</v>
      </c>
      <c r="E75" s="617">
        <v>0</v>
      </c>
      <c r="F75" s="617">
        <f t="shared" si="22"/>
        <v>0</v>
      </c>
      <c r="G75" s="466">
        <f t="shared" si="18"/>
        <v>1</v>
      </c>
      <c r="H75" s="466">
        <f t="shared" si="18"/>
        <v>1</v>
      </c>
      <c r="I75" s="617">
        <f t="shared" si="23"/>
        <v>0</v>
      </c>
      <c r="K75" s="346">
        <f>[4]Reserve!$D155</f>
        <v>0</v>
      </c>
      <c r="L75" s="466">
        <f t="shared" si="20"/>
        <v>1</v>
      </c>
      <c r="M75" s="466">
        <f t="shared" si="20"/>
        <v>1</v>
      </c>
      <c r="N75" s="617">
        <f t="shared" si="24"/>
        <v>0</v>
      </c>
      <c r="S75" s="514"/>
    </row>
    <row r="76" spans="1:19">
      <c r="A76" s="1153">
        <f t="shared" si="1"/>
        <v>62</v>
      </c>
      <c r="B76" s="514">
        <v>37800</v>
      </c>
      <c r="C76" s="88" t="s">
        <v>229</v>
      </c>
      <c r="D76" s="346">
        <f>[4]Reserve!$AF156</f>
        <v>3088579.2853121315</v>
      </c>
      <c r="E76" s="617">
        <v>0</v>
      </c>
      <c r="F76" s="617">
        <f t="shared" si="2"/>
        <v>3088579.2853121315</v>
      </c>
      <c r="G76" s="466">
        <f t="shared" si="18"/>
        <v>1</v>
      </c>
      <c r="H76" s="466">
        <f t="shared" si="18"/>
        <v>1</v>
      </c>
      <c r="I76" s="617">
        <f t="shared" si="19"/>
        <v>3088579.2853121315</v>
      </c>
      <c r="K76" s="346">
        <f>[4]Reserve!$D156</f>
        <v>2758945.1523632524</v>
      </c>
      <c r="L76" s="466">
        <f t="shared" si="20"/>
        <v>1</v>
      </c>
      <c r="M76" s="466">
        <f t="shared" si="20"/>
        <v>1</v>
      </c>
      <c r="N76" s="617">
        <f t="shared" si="21"/>
        <v>2758945.1523632524</v>
      </c>
      <c r="S76" s="514"/>
    </row>
    <row r="77" spans="1:19">
      <c r="A77" s="1153">
        <f t="shared" si="1"/>
        <v>63</v>
      </c>
      <c r="B77" s="514">
        <v>37900</v>
      </c>
      <c r="C77" s="88" t="s">
        <v>1190</v>
      </c>
      <c r="D77" s="346">
        <f>[4]Reserve!$AF157</f>
        <v>993316.39396392647</v>
      </c>
      <c r="E77" s="617">
        <v>0</v>
      </c>
      <c r="F77" s="617">
        <f t="shared" si="2"/>
        <v>993316.39396392647</v>
      </c>
      <c r="G77" s="466">
        <f t="shared" si="18"/>
        <v>1</v>
      </c>
      <c r="H77" s="466">
        <f t="shared" si="18"/>
        <v>1</v>
      </c>
      <c r="I77" s="617">
        <f t="shared" si="19"/>
        <v>993316.39396392647</v>
      </c>
      <c r="K77" s="346">
        <f>[4]Reserve!$D157</f>
        <v>963252.19698323333</v>
      </c>
      <c r="L77" s="466">
        <f t="shared" si="20"/>
        <v>1</v>
      </c>
      <c r="M77" s="466">
        <f t="shared" si="20"/>
        <v>1</v>
      </c>
      <c r="N77" s="617">
        <f t="shared" si="21"/>
        <v>963252.19698323333</v>
      </c>
      <c r="S77" s="514"/>
    </row>
    <row r="78" spans="1:19">
      <c r="A78" s="1153">
        <f t="shared" si="1"/>
        <v>64</v>
      </c>
      <c r="B78" s="514">
        <v>37905</v>
      </c>
      <c r="C78" s="88" t="s">
        <v>725</v>
      </c>
      <c r="D78" s="346">
        <f>[4]Reserve!$AF158</f>
        <v>1047611.4706290005</v>
      </c>
      <c r="E78" s="617">
        <v>0</v>
      </c>
      <c r="F78" s="617">
        <f t="shared" si="2"/>
        <v>1047611.4706290005</v>
      </c>
      <c r="G78" s="466">
        <f t="shared" si="18"/>
        <v>1</v>
      </c>
      <c r="H78" s="466">
        <f t="shared" si="18"/>
        <v>1</v>
      </c>
      <c r="I78" s="617">
        <f t="shared" si="19"/>
        <v>1047611.4706290005</v>
      </c>
      <c r="K78" s="346">
        <f>[4]Reserve!$D158</f>
        <v>1031171.4981560002</v>
      </c>
      <c r="L78" s="466">
        <f t="shared" si="20"/>
        <v>1</v>
      </c>
      <c r="M78" s="466">
        <f t="shared" si="20"/>
        <v>1</v>
      </c>
      <c r="N78" s="617">
        <f t="shared" si="21"/>
        <v>1031171.4981560002</v>
      </c>
      <c r="S78" s="514"/>
    </row>
    <row r="79" spans="1:19">
      <c r="A79" s="1153">
        <f t="shared" si="1"/>
        <v>65</v>
      </c>
      <c r="B79" s="514">
        <v>38000</v>
      </c>
      <c r="C79" s="88" t="s">
        <v>1052</v>
      </c>
      <c r="D79" s="346">
        <f>[4]Reserve!$AF159</f>
        <v>27306807.289647669</v>
      </c>
      <c r="E79" s="617">
        <v>0</v>
      </c>
      <c r="F79" s="617">
        <f t="shared" ref="F79:F113" si="25">D79-E79</f>
        <v>27306807.289647669</v>
      </c>
      <c r="G79" s="466">
        <f t="shared" si="18"/>
        <v>1</v>
      </c>
      <c r="H79" s="466">
        <f t="shared" si="18"/>
        <v>1</v>
      </c>
      <c r="I79" s="617">
        <f t="shared" si="19"/>
        <v>27306807.289647669</v>
      </c>
      <c r="K79" s="346">
        <f>[4]Reserve!$D159</f>
        <v>29866385.465130273</v>
      </c>
      <c r="L79" s="466">
        <f t="shared" si="20"/>
        <v>1</v>
      </c>
      <c r="M79" s="466">
        <f t="shared" si="20"/>
        <v>1</v>
      </c>
      <c r="N79" s="617">
        <f t="shared" si="21"/>
        <v>29866385.465130273</v>
      </c>
      <c r="S79" s="514"/>
    </row>
    <row r="80" spans="1:19">
      <c r="A80" s="1153">
        <f t="shared" si="1"/>
        <v>66</v>
      </c>
      <c r="B80" s="514">
        <v>38100</v>
      </c>
      <c r="C80" s="88" t="s">
        <v>846</v>
      </c>
      <c r="D80" s="346">
        <f>[4]Reserve!$AF160</f>
        <v>21630281.701056276</v>
      </c>
      <c r="E80" s="617">
        <v>0</v>
      </c>
      <c r="F80" s="617">
        <f t="shared" si="25"/>
        <v>21630281.701056276</v>
      </c>
      <c r="G80" s="466">
        <f t="shared" si="18"/>
        <v>1</v>
      </c>
      <c r="H80" s="466">
        <f t="shared" si="18"/>
        <v>1</v>
      </c>
      <c r="I80" s="617">
        <f t="shared" si="19"/>
        <v>21630281.701056276</v>
      </c>
      <c r="K80" s="346">
        <f>[4]Reserve!$D160</f>
        <v>20906720.715651795</v>
      </c>
      <c r="L80" s="466">
        <f t="shared" si="20"/>
        <v>1</v>
      </c>
      <c r="M80" s="466">
        <f t="shared" si="20"/>
        <v>1</v>
      </c>
      <c r="N80" s="617">
        <f t="shared" si="21"/>
        <v>20906720.715651795</v>
      </c>
      <c r="S80" s="514"/>
    </row>
    <row r="81" spans="1:19">
      <c r="A81" s="1153">
        <f t="shared" si="1"/>
        <v>67</v>
      </c>
      <c r="B81" s="514">
        <v>38200</v>
      </c>
      <c r="C81" s="88" t="s">
        <v>442</v>
      </c>
      <c r="D81" s="346">
        <f>[4]Reserve!$AF161</f>
        <v>27012678.96894376</v>
      </c>
      <c r="E81" s="617">
        <v>0</v>
      </c>
      <c r="F81" s="617">
        <f t="shared" si="25"/>
        <v>27012678.96894376</v>
      </c>
      <c r="G81" s="466">
        <f t="shared" si="18"/>
        <v>1</v>
      </c>
      <c r="H81" s="466">
        <f t="shared" si="18"/>
        <v>1</v>
      </c>
      <c r="I81" s="617">
        <f t="shared" si="19"/>
        <v>27012678.96894376</v>
      </c>
      <c r="K81" s="346">
        <f>[4]Reserve!$D161</f>
        <v>26640543.765173607</v>
      </c>
      <c r="L81" s="466">
        <f t="shared" si="20"/>
        <v>1</v>
      </c>
      <c r="M81" s="466">
        <f t="shared" si="20"/>
        <v>1</v>
      </c>
      <c r="N81" s="617">
        <f t="shared" si="21"/>
        <v>26640543.765173607</v>
      </c>
      <c r="S81" s="514"/>
    </row>
    <row r="82" spans="1:19">
      <c r="A82" s="1153">
        <f t="shared" si="1"/>
        <v>68</v>
      </c>
      <c r="B82" s="514">
        <v>38300</v>
      </c>
      <c r="C82" s="88" t="s">
        <v>1053</v>
      </c>
      <c r="D82" s="346">
        <f>[4]Reserve!$AF162</f>
        <v>4421866.4541579904</v>
      </c>
      <c r="E82" s="617">
        <v>0</v>
      </c>
      <c r="F82" s="617">
        <f t="shared" si="25"/>
        <v>4421866.4541579904</v>
      </c>
      <c r="G82" s="466">
        <f t="shared" si="18"/>
        <v>1</v>
      </c>
      <c r="H82" s="466">
        <f t="shared" si="18"/>
        <v>1</v>
      </c>
      <c r="I82" s="617">
        <f t="shared" si="19"/>
        <v>4421866.4541579904</v>
      </c>
      <c r="K82" s="346">
        <f>[4]Reserve!$D162</f>
        <v>4242269.0709771775</v>
      </c>
      <c r="L82" s="466">
        <f t="shared" si="20"/>
        <v>1</v>
      </c>
      <c r="M82" s="466">
        <f t="shared" si="20"/>
        <v>1</v>
      </c>
      <c r="N82" s="617">
        <f t="shared" si="21"/>
        <v>4242269.0709771775</v>
      </c>
      <c r="S82" s="514"/>
    </row>
    <row r="83" spans="1:19">
      <c r="A83" s="1153">
        <f t="shared" si="1"/>
        <v>69</v>
      </c>
      <c r="B83" s="514">
        <v>38400</v>
      </c>
      <c r="C83" s="88" t="s">
        <v>443</v>
      </c>
      <c r="D83" s="346">
        <f>[4]Reserve!$AF163</f>
        <v>96276.472232541069</v>
      </c>
      <c r="E83" s="617">
        <v>0</v>
      </c>
      <c r="F83" s="617">
        <f t="shared" si="25"/>
        <v>96276.472232541069</v>
      </c>
      <c r="G83" s="466">
        <f t="shared" si="18"/>
        <v>1</v>
      </c>
      <c r="H83" s="466">
        <f t="shared" si="18"/>
        <v>1</v>
      </c>
      <c r="I83" s="617">
        <f t="shared" si="19"/>
        <v>96276.472232541069</v>
      </c>
      <c r="K83" s="346">
        <f>[4]Reserve!$D163</f>
        <v>93121.176258897904</v>
      </c>
      <c r="L83" s="466">
        <f t="shared" si="20"/>
        <v>1</v>
      </c>
      <c r="M83" s="466">
        <f t="shared" si="20"/>
        <v>1</v>
      </c>
      <c r="N83" s="617">
        <f t="shared" si="21"/>
        <v>93121.176258897904</v>
      </c>
      <c r="S83" s="514"/>
    </row>
    <row r="84" spans="1:19">
      <c r="A84" s="1153">
        <f t="shared" ref="A84:A114" si="26">A83+1</f>
        <v>70</v>
      </c>
      <c r="B84" s="514">
        <v>38500</v>
      </c>
      <c r="C84" s="88" t="s">
        <v>444</v>
      </c>
      <c r="D84" s="346">
        <f>[4]Reserve!$AF164</f>
        <v>2975065.3084009369</v>
      </c>
      <c r="E84" s="617">
        <v>0</v>
      </c>
      <c r="F84" s="617">
        <f t="shared" si="25"/>
        <v>2975065.3084009369</v>
      </c>
      <c r="G84" s="466">
        <f t="shared" si="18"/>
        <v>1</v>
      </c>
      <c r="H84" s="466">
        <f t="shared" si="18"/>
        <v>1</v>
      </c>
      <c r="I84" s="617">
        <f t="shared" si="19"/>
        <v>2975065.3084009369</v>
      </c>
      <c r="K84" s="346">
        <f>[4]Reserve!$D164</f>
        <v>2938843.9669892369</v>
      </c>
      <c r="L84" s="466">
        <f t="shared" si="20"/>
        <v>1</v>
      </c>
      <c r="M84" s="466">
        <f t="shared" si="20"/>
        <v>1</v>
      </c>
      <c r="N84" s="617">
        <f t="shared" si="21"/>
        <v>2938843.9669892369</v>
      </c>
      <c r="S84" s="514"/>
    </row>
    <row r="85" spans="1:19">
      <c r="A85" s="1153">
        <f t="shared" si="26"/>
        <v>71</v>
      </c>
      <c r="B85" s="514"/>
      <c r="C85" s="88"/>
      <c r="D85" s="1061"/>
      <c r="E85" s="1061"/>
      <c r="F85" s="1061"/>
      <c r="G85" s="466"/>
      <c r="H85" s="466"/>
      <c r="I85" s="1061"/>
      <c r="K85" s="1061"/>
      <c r="N85" s="1061"/>
    </row>
    <row r="86" spans="1:19">
      <c r="A86" s="1153">
        <f t="shared" si="26"/>
        <v>72</v>
      </c>
      <c r="B86" s="514"/>
      <c r="C86" s="88" t="s">
        <v>1382</v>
      </c>
      <c r="D86" s="360">
        <f>SUM(D63:D85)</f>
        <v>154909067.48894656</v>
      </c>
      <c r="E86" s="360">
        <f>SUM(E63:E85)</f>
        <v>0</v>
      </c>
      <c r="F86" s="360">
        <f>SUM(F63:F85)</f>
        <v>154909067.48894656</v>
      </c>
      <c r="G86" s="466"/>
      <c r="H86" s="466"/>
      <c r="I86" s="360">
        <f>SUM(I63:I85)</f>
        <v>154909067.48894656</v>
      </c>
      <c r="K86" s="360">
        <f>SUM(K63:K85)</f>
        <v>154060732.60418791</v>
      </c>
      <c r="N86" s="360">
        <f>SUM(N63:N85)</f>
        <v>154060732.60418791</v>
      </c>
    </row>
    <row r="87" spans="1:19">
      <c r="A87" s="1153">
        <f t="shared" si="26"/>
        <v>73</v>
      </c>
      <c r="B87" s="514"/>
      <c r="C87" s="88"/>
      <c r="D87" s="617"/>
      <c r="E87" s="617"/>
      <c r="F87" s="617"/>
      <c r="G87" s="466"/>
      <c r="H87" s="466"/>
      <c r="I87" s="617"/>
      <c r="K87" s="617"/>
      <c r="N87" s="617"/>
    </row>
    <row r="88" spans="1:19">
      <c r="A88" s="1153">
        <f t="shared" si="26"/>
        <v>74</v>
      </c>
      <c r="B88" s="707"/>
      <c r="C88" s="620" t="s">
        <v>301</v>
      </c>
      <c r="D88" s="617"/>
      <c r="E88" s="617"/>
      <c r="F88" s="617"/>
      <c r="G88" s="466"/>
      <c r="H88" s="466"/>
      <c r="I88" s="617"/>
      <c r="K88" s="617"/>
      <c r="N88" s="617"/>
    </row>
    <row r="89" spans="1:19">
      <c r="A89" s="1153">
        <f t="shared" si="26"/>
        <v>75</v>
      </c>
      <c r="B89" s="514">
        <v>38900</v>
      </c>
      <c r="C89" s="88" t="s">
        <v>1526</v>
      </c>
      <c r="D89" s="346">
        <f>[4]Reserve!$AF165</f>
        <v>0</v>
      </c>
      <c r="E89" s="360">
        <v>0</v>
      </c>
      <c r="F89" s="360">
        <f t="shared" si="25"/>
        <v>0</v>
      </c>
      <c r="G89" s="466">
        <f t="shared" ref="G89:H107" si="27">$G$16</f>
        <v>1</v>
      </c>
      <c r="H89" s="466">
        <f t="shared" si="27"/>
        <v>1</v>
      </c>
      <c r="I89" s="360">
        <f t="shared" ref="I89:I113" si="28">F89*G89*H89</f>
        <v>0</v>
      </c>
      <c r="K89" s="346">
        <f>[4]Reserve!$D165</f>
        <v>0</v>
      </c>
      <c r="L89" s="466">
        <f t="shared" ref="L89:M107" si="29">$G$16</f>
        <v>1</v>
      </c>
      <c r="M89" s="466">
        <f t="shared" si="29"/>
        <v>1</v>
      </c>
      <c r="N89" s="360">
        <f t="shared" ref="N89:N113" si="30">K89*L89*M89</f>
        <v>0</v>
      </c>
      <c r="S89" s="514"/>
    </row>
    <row r="90" spans="1:19">
      <c r="A90" s="1153">
        <f t="shared" si="26"/>
        <v>76</v>
      </c>
      <c r="B90" s="514">
        <v>39000</v>
      </c>
      <c r="C90" s="88" t="s">
        <v>1527</v>
      </c>
      <c r="D90" s="346">
        <f>[4]Reserve!$AF166</f>
        <v>1321028.1559444726</v>
      </c>
      <c r="E90" s="617">
        <v>0</v>
      </c>
      <c r="F90" s="617">
        <f t="shared" si="25"/>
        <v>1321028.1559444726</v>
      </c>
      <c r="G90" s="466">
        <f t="shared" si="27"/>
        <v>1</v>
      </c>
      <c r="H90" s="466">
        <f t="shared" si="27"/>
        <v>1</v>
      </c>
      <c r="I90" s="617">
        <f t="shared" si="28"/>
        <v>1321028.1559444726</v>
      </c>
      <c r="K90" s="346">
        <f>[4]Reserve!$D166</f>
        <v>1225863.5532269184</v>
      </c>
      <c r="L90" s="466">
        <f t="shared" si="29"/>
        <v>1</v>
      </c>
      <c r="M90" s="466">
        <f t="shared" si="29"/>
        <v>1</v>
      </c>
      <c r="N90" s="617">
        <f t="shared" si="30"/>
        <v>1225863.5532269184</v>
      </c>
      <c r="S90" s="514"/>
    </row>
    <row r="91" spans="1:19">
      <c r="A91" s="1153">
        <f t="shared" si="26"/>
        <v>77</v>
      </c>
      <c r="B91" s="514">
        <v>39002</v>
      </c>
      <c r="C91" s="88" t="s">
        <v>1528</v>
      </c>
      <c r="D91" s="346">
        <f>[4]Reserve!$AF167</f>
        <v>109106.148535</v>
      </c>
      <c r="E91" s="617">
        <v>0</v>
      </c>
      <c r="F91" s="617">
        <f t="shared" si="25"/>
        <v>109106.148535</v>
      </c>
      <c r="G91" s="466">
        <f t="shared" si="27"/>
        <v>1</v>
      </c>
      <c r="H91" s="466">
        <f t="shared" si="27"/>
        <v>1</v>
      </c>
      <c r="I91" s="617">
        <f t="shared" si="28"/>
        <v>109106.148535</v>
      </c>
      <c r="K91" s="346">
        <f>[4]Reserve!$D167</f>
        <v>106950.86865249996</v>
      </c>
      <c r="L91" s="466">
        <f t="shared" si="29"/>
        <v>1</v>
      </c>
      <c r="M91" s="466">
        <f t="shared" si="29"/>
        <v>1</v>
      </c>
      <c r="N91" s="617">
        <f t="shared" si="30"/>
        <v>106950.86865249996</v>
      </c>
      <c r="S91" s="514"/>
    </row>
    <row r="92" spans="1:19">
      <c r="A92" s="1153">
        <f t="shared" si="26"/>
        <v>78</v>
      </c>
      <c r="B92" s="514">
        <v>39003</v>
      </c>
      <c r="C92" s="88" t="s">
        <v>1529</v>
      </c>
      <c r="D92" s="346">
        <f>[4]Reserve!$AF168</f>
        <v>298970.87645799998</v>
      </c>
      <c r="E92" s="617">
        <v>0</v>
      </c>
      <c r="F92" s="617">
        <f t="shared" si="25"/>
        <v>298970.87645799998</v>
      </c>
      <c r="G92" s="466">
        <f t="shared" si="27"/>
        <v>1</v>
      </c>
      <c r="H92" s="466">
        <f t="shared" si="27"/>
        <v>1</v>
      </c>
      <c r="I92" s="617">
        <f t="shared" si="28"/>
        <v>298970.87645799998</v>
      </c>
      <c r="K92" s="346">
        <f>[4]Reserve!$D168</f>
        <v>290141.34666700003</v>
      </c>
      <c r="L92" s="466">
        <f t="shared" si="29"/>
        <v>1</v>
      </c>
      <c r="M92" s="466">
        <f t="shared" si="29"/>
        <v>1</v>
      </c>
      <c r="N92" s="617">
        <f t="shared" si="30"/>
        <v>290141.34666700003</v>
      </c>
      <c r="S92" s="514"/>
    </row>
    <row r="93" spans="1:19">
      <c r="A93" s="1153">
        <f t="shared" si="26"/>
        <v>79</v>
      </c>
      <c r="B93" s="514">
        <v>39004</v>
      </c>
      <c r="C93" s="88" t="s">
        <v>1530</v>
      </c>
      <c r="D93" s="346">
        <f>[4]Reserve!$AF169</f>
        <v>5333.1061420000042</v>
      </c>
      <c r="E93" s="617">
        <v>0</v>
      </c>
      <c r="F93" s="617">
        <f t="shared" si="25"/>
        <v>5333.1061420000042</v>
      </c>
      <c r="G93" s="466">
        <f t="shared" si="27"/>
        <v>1</v>
      </c>
      <c r="H93" s="466">
        <f t="shared" si="27"/>
        <v>1</v>
      </c>
      <c r="I93" s="617">
        <f t="shared" si="28"/>
        <v>5333.1061420000042</v>
      </c>
      <c r="K93" s="346">
        <f>[4]Reserve!$D169</f>
        <v>5008.5899050000044</v>
      </c>
      <c r="L93" s="466">
        <f t="shared" si="29"/>
        <v>1</v>
      </c>
      <c r="M93" s="466">
        <f t="shared" si="29"/>
        <v>1</v>
      </c>
      <c r="N93" s="617">
        <f t="shared" si="30"/>
        <v>5008.5899050000044</v>
      </c>
      <c r="S93" s="514"/>
    </row>
    <row r="94" spans="1:19">
      <c r="A94" s="1153">
        <f t="shared" si="26"/>
        <v>80</v>
      </c>
      <c r="B94" s="514">
        <v>39009</v>
      </c>
      <c r="C94" s="88" t="s">
        <v>1531</v>
      </c>
      <c r="D94" s="346">
        <f>[4]Reserve!$AF170</f>
        <v>1248109.8085129997</v>
      </c>
      <c r="E94" s="617">
        <v>0</v>
      </c>
      <c r="F94" s="617">
        <f t="shared" si="25"/>
        <v>1248109.8085129997</v>
      </c>
      <c r="G94" s="466">
        <f t="shared" si="27"/>
        <v>1</v>
      </c>
      <c r="H94" s="466">
        <f t="shared" si="27"/>
        <v>1</v>
      </c>
      <c r="I94" s="617">
        <f t="shared" si="28"/>
        <v>1248109.8085129997</v>
      </c>
      <c r="K94" s="346">
        <f>[4]Reserve!$D170</f>
        <v>1248109.8085130001</v>
      </c>
      <c r="L94" s="466">
        <f t="shared" si="29"/>
        <v>1</v>
      </c>
      <c r="M94" s="466">
        <f t="shared" si="29"/>
        <v>1</v>
      </c>
      <c r="N94" s="617">
        <f t="shared" si="30"/>
        <v>1248109.8085130001</v>
      </c>
      <c r="S94" s="514"/>
    </row>
    <row r="95" spans="1:19">
      <c r="A95" s="1153">
        <f t="shared" si="26"/>
        <v>81</v>
      </c>
      <c r="B95" s="514">
        <v>39100</v>
      </c>
      <c r="C95" s="88" t="s">
        <v>1532</v>
      </c>
      <c r="D95" s="346">
        <f>[4]Reserve!$AF171</f>
        <v>1191625.2154903326</v>
      </c>
      <c r="E95" s="617">
        <v>0</v>
      </c>
      <c r="F95" s="617">
        <f t="shared" si="25"/>
        <v>1191625.2154903326</v>
      </c>
      <c r="G95" s="466">
        <f t="shared" si="27"/>
        <v>1</v>
      </c>
      <c r="H95" s="466">
        <f t="shared" si="27"/>
        <v>1</v>
      </c>
      <c r="I95" s="617">
        <f t="shared" si="28"/>
        <v>1191625.2154903326</v>
      </c>
      <c r="K95" s="346">
        <f>[4]Reserve!$D171</f>
        <v>1144609.4214875565</v>
      </c>
      <c r="L95" s="466">
        <f t="shared" si="29"/>
        <v>1</v>
      </c>
      <c r="M95" s="466">
        <f t="shared" si="29"/>
        <v>1</v>
      </c>
      <c r="N95" s="617">
        <f t="shared" si="30"/>
        <v>1144609.4214875565</v>
      </c>
      <c r="S95" s="514"/>
    </row>
    <row r="96" spans="1:19">
      <c r="A96" s="1153">
        <f t="shared" si="26"/>
        <v>82</v>
      </c>
      <c r="B96" s="514">
        <v>39103</v>
      </c>
      <c r="C96" s="88" t="s">
        <v>780</v>
      </c>
      <c r="D96" s="346">
        <f>[4]Reserve!$AF172</f>
        <v>0</v>
      </c>
      <c r="E96" s="617">
        <v>0</v>
      </c>
      <c r="F96" s="617">
        <f t="shared" si="25"/>
        <v>0</v>
      </c>
      <c r="G96" s="466">
        <f t="shared" si="27"/>
        <v>1</v>
      </c>
      <c r="H96" s="466">
        <f t="shared" si="27"/>
        <v>1</v>
      </c>
      <c r="I96" s="617">
        <f t="shared" ref="I96:I100" si="31">F96*G96*H96</f>
        <v>0</v>
      </c>
      <c r="K96" s="346">
        <f>[4]Reserve!$D172</f>
        <v>0</v>
      </c>
      <c r="L96" s="466">
        <f t="shared" si="29"/>
        <v>1</v>
      </c>
      <c r="M96" s="466">
        <f t="shared" si="29"/>
        <v>1</v>
      </c>
      <c r="N96" s="617">
        <f t="shared" ref="N96:N102" si="32">K96*L96*M96</f>
        <v>0</v>
      </c>
      <c r="S96" s="514"/>
    </row>
    <row r="97" spans="1:19">
      <c r="A97" s="1153">
        <f t="shared" si="26"/>
        <v>83</v>
      </c>
      <c r="B97" s="514">
        <v>39200</v>
      </c>
      <c r="C97" s="88" t="s">
        <v>1533</v>
      </c>
      <c r="D97" s="346">
        <f>[4]Reserve!$AF173</f>
        <v>118483.65679499989</v>
      </c>
      <c r="E97" s="617">
        <v>0</v>
      </c>
      <c r="F97" s="617">
        <f t="shared" si="25"/>
        <v>118483.65679499989</v>
      </c>
      <c r="G97" s="466">
        <f t="shared" si="27"/>
        <v>1</v>
      </c>
      <c r="H97" s="466">
        <f t="shared" si="27"/>
        <v>1</v>
      </c>
      <c r="I97" s="617">
        <f t="shared" si="31"/>
        <v>118483.65679499989</v>
      </c>
      <c r="K97" s="346">
        <f>[4]Reserve!$D173</f>
        <v>113290.46464499993</v>
      </c>
      <c r="L97" s="466">
        <f t="shared" si="29"/>
        <v>1</v>
      </c>
      <c r="M97" s="466">
        <f t="shared" si="29"/>
        <v>1</v>
      </c>
      <c r="N97" s="617">
        <f t="shared" si="32"/>
        <v>113290.46464499993</v>
      </c>
      <c r="S97" s="514"/>
    </row>
    <row r="98" spans="1:19">
      <c r="A98" s="1153">
        <f t="shared" si="26"/>
        <v>84</v>
      </c>
      <c r="B98" s="514">
        <v>39202</v>
      </c>
      <c r="C98" s="88" t="s">
        <v>1534</v>
      </c>
      <c r="D98" s="346">
        <f>[4]Reserve!$AF174</f>
        <v>-2529.39</v>
      </c>
      <c r="E98" s="617">
        <v>0</v>
      </c>
      <c r="F98" s="617">
        <f t="shared" si="25"/>
        <v>-2529.39</v>
      </c>
      <c r="G98" s="466">
        <f t="shared" si="27"/>
        <v>1</v>
      </c>
      <c r="H98" s="466">
        <f t="shared" si="27"/>
        <v>1</v>
      </c>
      <c r="I98" s="617">
        <f t="shared" si="31"/>
        <v>-2529.39</v>
      </c>
      <c r="K98" s="346">
        <f>[4]Reserve!$D174</f>
        <v>-2529.39</v>
      </c>
      <c r="L98" s="466">
        <f t="shared" si="29"/>
        <v>1</v>
      </c>
      <c r="M98" s="466">
        <f t="shared" si="29"/>
        <v>1</v>
      </c>
      <c r="N98" s="617">
        <f t="shared" si="32"/>
        <v>-2529.39</v>
      </c>
      <c r="S98" s="514"/>
    </row>
    <row r="99" spans="1:19">
      <c r="A99" s="1153">
        <f t="shared" si="26"/>
        <v>85</v>
      </c>
      <c r="B99" s="514">
        <v>39400</v>
      </c>
      <c r="C99" s="88" t="s">
        <v>1535</v>
      </c>
      <c r="D99" s="346">
        <f>[4]Reserve!$AF175</f>
        <v>1424932.474489077</v>
      </c>
      <c r="E99" s="617">
        <v>0</v>
      </c>
      <c r="F99" s="617">
        <f t="shared" si="25"/>
        <v>1424932.474489077</v>
      </c>
      <c r="G99" s="466">
        <f t="shared" si="27"/>
        <v>1</v>
      </c>
      <c r="H99" s="466">
        <f t="shared" si="27"/>
        <v>1</v>
      </c>
      <c r="I99" s="617">
        <f t="shared" si="31"/>
        <v>1424932.474489077</v>
      </c>
      <c r="K99" s="346">
        <f>[4]Reserve!$D175</f>
        <v>1300851.4776690158</v>
      </c>
      <c r="L99" s="466">
        <f t="shared" si="29"/>
        <v>1</v>
      </c>
      <c r="M99" s="466">
        <f t="shared" si="29"/>
        <v>1</v>
      </c>
      <c r="N99" s="617">
        <f t="shared" si="32"/>
        <v>1300851.4776690158</v>
      </c>
      <c r="S99" s="514"/>
    </row>
    <row r="100" spans="1:19">
      <c r="A100" s="1153">
        <f t="shared" si="26"/>
        <v>86</v>
      </c>
      <c r="B100" s="514">
        <v>39603</v>
      </c>
      <c r="C100" s="88" t="s">
        <v>1536</v>
      </c>
      <c r="D100" s="346">
        <f>[4]Reserve!$AF176</f>
        <v>39654.637739999991</v>
      </c>
      <c r="E100" s="617">
        <v>0</v>
      </c>
      <c r="F100" s="617">
        <f t="shared" si="25"/>
        <v>39654.637739999991</v>
      </c>
      <c r="G100" s="466">
        <f t="shared" si="27"/>
        <v>1</v>
      </c>
      <c r="H100" s="466">
        <f t="shared" si="27"/>
        <v>1</v>
      </c>
      <c r="I100" s="617">
        <f t="shared" si="31"/>
        <v>39654.637739999991</v>
      </c>
      <c r="K100" s="346">
        <f>[4]Reserve!$D176</f>
        <v>39654.637739999984</v>
      </c>
      <c r="L100" s="466">
        <f t="shared" si="29"/>
        <v>1</v>
      </c>
      <c r="M100" s="466">
        <f t="shared" si="29"/>
        <v>1</v>
      </c>
      <c r="N100" s="617">
        <f t="shared" si="32"/>
        <v>39654.637739999984</v>
      </c>
      <c r="S100" s="514"/>
    </row>
    <row r="101" spans="1:19">
      <c r="A101" s="1153">
        <f t="shared" si="26"/>
        <v>87</v>
      </c>
      <c r="B101" s="514">
        <v>39604</v>
      </c>
      <c r="C101" s="88" t="s">
        <v>1537</v>
      </c>
      <c r="D101" s="346">
        <f>[4]Reserve!$AF177</f>
        <v>62817.883901249988</v>
      </c>
      <c r="E101" s="617">
        <v>0</v>
      </c>
      <c r="F101" s="617">
        <f t="shared" si="25"/>
        <v>62817.883901249988</v>
      </c>
      <c r="G101" s="466">
        <f t="shared" si="27"/>
        <v>1</v>
      </c>
      <c r="H101" s="466">
        <f t="shared" si="27"/>
        <v>1</v>
      </c>
      <c r="I101" s="617">
        <f t="shared" si="28"/>
        <v>62817.883901249988</v>
      </c>
      <c r="K101" s="346">
        <f>[4]Reserve!$D177</f>
        <v>62817.883901249974</v>
      </c>
      <c r="L101" s="466">
        <f t="shared" si="29"/>
        <v>1</v>
      </c>
      <c r="M101" s="466">
        <f t="shared" si="29"/>
        <v>1</v>
      </c>
      <c r="N101" s="617">
        <f t="shared" si="32"/>
        <v>62817.883901249974</v>
      </c>
      <c r="S101" s="514"/>
    </row>
    <row r="102" spans="1:19">
      <c r="A102" s="1153">
        <f t="shared" si="26"/>
        <v>88</v>
      </c>
      <c r="B102" s="514">
        <v>39605</v>
      </c>
      <c r="C102" s="88" t="s">
        <v>1538</v>
      </c>
      <c r="D102" s="346">
        <f>[4]Reserve!$AF178</f>
        <v>19456.427647249999</v>
      </c>
      <c r="E102" s="617">
        <v>0</v>
      </c>
      <c r="F102" s="617">
        <f t="shared" si="25"/>
        <v>19456.427647249999</v>
      </c>
      <c r="G102" s="466">
        <f t="shared" si="27"/>
        <v>1</v>
      </c>
      <c r="H102" s="466">
        <f t="shared" si="27"/>
        <v>1</v>
      </c>
      <c r="I102" s="617">
        <f t="shared" si="28"/>
        <v>19456.427647249999</v>
      </c>
      <c r="K102" s="346">
        <f>[4]Reserve!$D178</f>
        <v>19456.427647250002</v>
      </c>
      <c r="L102" s="466">
        <f t="shared" si="29"/>
        <v>1</v>
      </c>
      <c r="M102" s="466">
        <f t="shared" si="29"/>
        <v>1</v>
      </c>
      <c r="N102" s="617">
        <f t="shared" si="32"/>
        <v>19456.427647250002</v>
      </c>
      <c r="S102" s="514"/>
    </row>
    <row r="103" spans="1:19">
      <c r="A103" s="1153">
        <f t="shared" si="26"/>
        <v>89</v>
      </c>
      <c r="B103" s="514">
        <v>39700</v>
      </c>
      <c r="C103" s="88" t="s">
        <v>1539</v>
      </c>
      <c r="D103" s="346">
        <f>[4]Reserve!$AF179</f>
        <v>286494.36583374999</v>
      </c>
      <c r="E103" s="617">
        <v>0</v>
      </c>
      <c r="F103" s="617">
        <f t="shared" si="25"/>
        <v>286494.36583374999</v>
      </c>
      <c r="G103" s="466">
        <f t="shared" si="27"/>
        <v>1</v>
      </c>
      <c r="H103" s="466">
        <f t="shared" si="27"/>
        <v>1</v>
      </c>
      <c r="I103" s="617">
        <f t="shared" si="28"/>
        <v>286494.36583374999</v>
      </c>
      <c r="K103" s="346">
        <f>[4]Reserve!$D179</f>
        <v>269010.38988124992</v>
      </c>
      <c r="L103" s="466">
        <f t="shared" si="29"/>
        <v>1</v>
      </c>
      <c r="M103" s="466">
        <f t="shared" si="29"/>
        <v>1</v>
      </c>
      <c r="N103" s="617">
        <f t="shared" si="30"/>
        <v>269010.38988124992</v>
      </c>
      <c r="S103" s="514"/>
    </row>
    <row r="104" spans="1:19">
      <c r="A104" s="1153">
        <f t="shared" si="26"/>
        <v>90</v>
      </c>
      <c r="B104" s="707">
        <v>39701</v>
      </c>
      <c r="C104" s="88" t="s">
        <v>1499</v>
      </c>
      <c r="D104" s="346">
        <f>[4]Reserve!$AF180</f>
        <v>0</v>
      </c>
      <c r="E104" s="617">
        <v>0</v>
      </c>
      <c r="F104" s="617">
        <f t="shared" si="25"/>
        <v>0</v>
      </c>
      <c r="G104" s="466">
        <f t="shared" si="27"/>
        <v>1</v>
      </c>
      <c r="H104" s="466">
        <f t="shared" si="27"/>
        <v>1</v>
      </c>
      <c r="I104" s="617">
        <f t="shared" si="28"/>
        <v>0</v>
      </c>
      <c r="K104" s="346">
        <f>[4]Reserve!$D180</f>
        <v>0</v>
      </c>
      <c r="L104" s="466">
        <f t="shared" si="29"/>
        <v>1</v>
      </c>
      <c r="M104" s="466">
        <f t="shared" si="29"/>
        <v>1</v>
      </c>
      <c r="N104" s="617">
        <f t="shared" si="30"/>
        <v>0</v>
      </c>
      <c r="S104" s="514"/>
    </row>
    <row r="105" spans="1:19">
      <c r="A105" s="1153">
        <f t="shared" si="26"/>
        <v>91</v>
      </c>
      <c r="B105" s="707">
        <v>39702</v>
      </c>
      <c r="C105" s="81" t="s">
        <v>1499</v>
      </c>
      <c r="D105" s="346">
        <f>[4]Reserve!$AF181</f>
        <v>0</v>
      </c>
      <c r="E105" s="617">
        <v>0</v>
      </c>
      <c r="F105" s="617">
        <f t="shared" si="25"/>
        <v>0</v>
      </c>
      <c r="G105" s="466">
        <f t="shared" si="27"/>
        <v>1</v>
      </c>
      <c r="H105" s="466">
        <f t="shared" si="27"/>
        <v>1</v>
      </c>
      <c r="I105" s="617">
        <f t="shared" si="28"/>
        <v>0</v>
      </c>
      <c r="K105" s="346">
        <f>[4]Reserve!$D181</f>
        <v>0</v>
      </c>
      <c r="L105" s="466">
        <f t="shared" si="29"/>
        <v>1</v>
      </c>
      <c r="M105" s="466">
        <f t="shared" si="29"/>
        <v>1</v>
      </c>
      <c r="N105" s="617">
        <f t="shared" si="30"/>
        <v>0</v>
      </c>
      <c r="S105" s="514"/>
    </row>
    <row r="106" spans="1:19">
      <c r="A106" s="1153">
        <f t="shared" si="26"/>
        <v>92</v>
      </c>
      <c r="B106" s="707">
        <v>39705</v>
      </c>
      <c r="C106" s="88" t="s">
        <v>1540</v>
      </c>
      <c r="D106" s="346">
        <f>[4]Reserve!$AF182</f>
        <v>0</v>
      </c>
      <c r="E106" s="617">
        <v>0</v>
      </c>
      <c r="F106" s="617">
        <f t="shared" si="25"/>
        <v>0</v>
      </c>
      <c r="G106" s="466">
        <f t="shared" si="27"/>
        <v>1</v>
      </c>
      <c r="H106" s="466">
        <f t="shared" si="27"/>
        <v>1</v>
      </c>
      <c r="I106" s="617">
        <f t="shared" si="28"/>
        <v>0</v>
      </c>
      <c r="K106" s="346">
        <f>[4]Reserve!$D182</f>
        <v>0</v>
      </c>
      <c r="L106" s="466">
        <f t="shared" si="29"/>
        <v>1</v>
      </c>
      <c r="M106" s="466">
        <f t="shared" si="29"/>
        <v>1</v>
      </c>
      <c r="N106" s="617">
        <f t="shared" si="30"/>
        <v>0</v>
      </c>
      <c r="S106" s="514"/>
    </row>
    <row r="107" spans="1:19">
      <c r="A107" s="1153">
        <f t="shared" si="26"/>
        <v>93</v>
      </c>
      <c r="B107" s="707">
        <v>39800</v>
      </c>
      <c r="C107" s="88" t="s">
        <v>1541</v>
      </c>
      <c r="D107" s="346">
        <f>[4]Reserve!$AF183</f>
        <v>2170177.3503750009</v>
      </c>
      <c r="E107" s="617">
        <v>0</v>
      </c>
      <c r="F107" s="617">
        <f t="shared" si="25"/>
        <v>2170177.3503750009</v>
      </c>
      <c r="G107" s="466">
        <f t="shared" si="27"/>
        <v>1</v>
      </c>
      <c r="H107" s="466">
        <f t="shared" si="27"/>
        <v>1</v>
      </c>
      <c r="I107" s="617">
        <f t="shared" si="28"/>
        <v>2170177.3503750009</v>
      </c>
      <c r="K107" s="346">
        <f>[4]Reserve!$D183</f>
        <v>2072883.0731250006</v>
      </c>
      <c r="L107" s="466">
        <f t="shared" si="29"/>
        <v>1</v>
      </c>
      <c r="M107" s="466">
        <f t="shared" si="29"/>
        <v>1</v>
      </c>
      <c r="N107" s="617">
        <f t="shared" si="30"/>
        <v>2072883.0731250006</v>
      </c>
      <c r="S107" s="514"/>
    </row>
    <row r="108" spans="1:19">
      <c r="A108" s="1153">
        <f t="shared" si="26"/>
        <v>94</v>
      </c>
      <c r="B108" s="707">
        <v>39901</v>
      </c>
      <c r="C108" s="88" t="s">
        <v>1500</v>
      </c>
      <c r="D108" s="346">
        <f>[4]Reserve!$AF184</f>
        <v>7698.338703999998</v>
      </c>
      <c r="E108" s="617">
        <v>0</v>
      </c>
      <c r="F108" s="617">
        <f t="shared" si="25"/>
        <v>7698.338703999998</v>
      </c>
      <c r="G108" s="466">
        <f t="shared" ref="G108:H116" si="33">$G$16</f>
        <v>1</v>
      </c>
      <c r="H108" s="466">
        <f t="shared" si="33"/>
        <v>1</v>
      </c>
      <c r="I108" s="617">
        <f t="shared" si="28"/>
        <v>7698.338703999998</v>
      </c>
      <c r="K108" s="346">
        <f>[4]Reserve!$D184</f>
        <v>6670.1903519999969</v>
      </c>
      <c r="L108" s="466">
        <f t="shared" ref="L108:M116" si="34">$G$16</f>
        <v>1</v>
      </c>
      <c r="M108" s="466">
        <f t="shared" si="34"/>
        <v>1</v>
      </c>
      <c r="N108" s="617">
        <f t="shared" si="30"/>
        <v>6670.1903519999969</v>
      </c>
      <c r="S108" s="514"/>
    </row>
    <row r="109" spans="1:19">
      <c r="A109" s="1153">
        <f t="shared" si="26"/>
        <v>95</v>
      </c>
      <c r="B109" s="707">
        <v>39902</v>
      </c>
      <c r="C109" s="88" t="s">
        <v>1501</v>
      </c>
      <c r="D109" s="346">
        <f>[4]Reserve!$AF185</f>
        <v>0</v>
      </c>
      <c r="E109" s="617">
        <v>0</v>
      </c>
      <c r="F109" s="617">
        <f t="shared" si="25"/>
        <v>0</v>
      </c>
      <c r="G109" s="466">
        <f t="shared" si="33"/>
        <v>1</v>
      </c>
      <c r="H109" s="466">
        <f t="shared" si="33"/>
        <v>1</v>
      </c>
      <c r="I109" s="617">
        <f t="shared" si="28"/>
        <v>0</v>
      </c>
      <c r="K109" s="346">
        <f>[4]Reserve!$D185</f>
        <v>0</v>
      </c>
      <c r="L109" s="466">
        <f t="shared" si="34"/>
        <v>1</v>
      </c>
      <c r="M109" s="466">
        <f t="shared" si="34"/>
        <v>1</v>
      </c>
      <c r="N109" s="617">
        <f t="shared" si="30"/>
        <v>0</v>
      </c>
      <c r="S109" s="514"/>
    </row>
    <row r="110" spans="1:19">
      <c r="A110" s="1153">
        <f t="shared" si="26"/>
        <v>96</v>
      </c>
      <c r="B110" s="707">
        <v>39903</v>
      </c>
      <c r="C110" s="88" t="s">
        <v>1542</v>
      </c>
      <c r="D110" s="346">
        <f>[4]Reserve!$AF186</f>
        <v>71374.440499999982</v>
      </c>
      <c r="E110" s="617">
        <v>0</v>
      </c>
      <c r="F110" s="617">
        <f t="shared" si="25"/>
        <v>71374.440499999982</v>
      </c>
      <c r="G110" s="466">
        <f t="shared" si="33"/>
        <v>1</v>
      </c>
      <c r="H110" s="466">
        <f t="shared" si="33"/>
        <v>1</v>
      </c>
      <c r="I110" s="617">
        <f t="shared" si="28"/>
        <v>71374.440499999982</v>
      </c>
      <c r="K110" s="346">
        <f>[4]Reserve!$D186</f>
        <v>64644.497499999969</v>
      </c>
      <c r="L110" s="466">
        <f t="shared" si="34"/>
        <v>1</v>
      </c>
      <c r="M110" s="466">
        <f t="shared" si="34"/>
        <v>1</v>
      </c>
      <c r="N110" s="617">
        <f t="shared" si="30"/>
        <v>64644.497499999969</v>
      </c>
      <c r="S110" s="514"/>
    </row>
    <row r="111" spans="1:19">
      <c r="A111" s="1153">
        <f t="shared" si="26"/>
        <v>97</v>
      </c>
      <c r="B111" s="707">
        <v>39906</v>
      </c>
      <c r="C111" s="88" t="s">
        <v>1543</v>
      </c>
      <c r="D111" s="346">
        <f>[4]Reserve!$AF187</f>
        <v>-85447.137223342754</v>
      </c>
      <c r="E111" s="617">
        <v>0</v>
      </c>
      <c r="F111" s="617">
        <f t="shared" si="25"/>
        <v>-85447.137223342754</v>
      </c>
      <c r="G111" s="466">
        <f t="shared" si="33"/>
        <v>1</v>
      </c>
      <c r="H111" s="466">
        <f t="shared" si="33"/>
        <v>1</v>
      </c>
      <c r="I111" s="617">
        <f t="shared" si="28"/>
        <v>-85447.137223342754</v>
      </c>
      <c r="K111" s="346">
        <f>[4]Reserve!$D187</f>
        <v>112225.95489402021</v>
      </c>
      <c r="L111" s="466">
        <f t="shared" si="34"/>
        <v>1</v>
      </c>
      <c r="M111" s="466">
        <f t="shared" si="34"/>
        <v>1</v>
      </c>
      <c r="N111" s="617">
        <f t="shared" si="30"/>
        <v>112225.95489402021</v>
      </c>
      <c r="S111" s="514"/>
    </row>
    <row r="112" spans="1:19" ht="15" customHeight="1">
      <c r="A112" s="1153">
        <f t="shared" si="26"/>
        <v>98</v>
      </c>
      <c r="B112" s="707">
        <v>39907</v>
      </c>
      <c r="C112" s="88" t="s">
        <v>1544</v>
      </c>
      <c r="D112" s="346">
        <f>[4]Reserve!$AF188</f>
        <v>0</v>
      </c>
      <c r="E112" s="617">
        <v>0</v>
      </c>
      <c r="F112" s="617">
        <f t="shared" si="25"/>
        <v>0</v>
      </c>
      <c r="G112" s="466">
        <f t="shared" si="33"/>
        <v>1</v>
      </c>
      <c r="H112" s="466">
        <f t="shared" si="33"/>
        <v>1</v>
      </c>
      <c r="I112" s="617">
        <f t="shared" si="28"/>
        <v>0</v>
      </c>
      <c r="K112" s="346">
        <f>[4]Reserve!$D188</f>
        <v>0</v>
      </c>
      <c r="L112" s="466">
        <f t="shared" si="34"/>
        <v>1</v>
      </c>
      <c r="M112" s="466">
        <f t="shared" si="34"/>
        <v>1</v>
      </c>
      <c r="N112" s="617">
        <f t="shared" si="30"/>
        <v>0</v>
      </c>
      <c r="S112" s="514"/>
    </row>
    <row r="113" spans="1:19">
      <c r="A113" s="1153">
        <f t="shared" si="26"/>
        <v>99</v>
      </c>
      <c r="B113" s="707">
        <v>39908</v>
      </c>
      <c r="C113" s="88" t="s">
        <v>1545</v>
      </c>
      <c r="D113" s="346">
        <f>[4]Reserve!$AF189</f>
        <v>123060.65470975004</v>
      </c>
      <c r="E113" s="617">
        <v>0</v>
      </c>
      <c r="F113" s="617">
        <f t="shared" si="25"/>
        <v>123060.65470975004</v>
      </c>
      <c r="G113" s="466">
        <f t="shared" si="33"/>
        <v>1</v>
      </c>
      <c r="H113" s="466">
        <f t="shared" si="33"/>
        <v>1</v>
      </c>
      <c r="I113" s="617">
        <f t="shared" si="28"/>
        <v>123060.65470975004</v>
      </c>
      <c r="K113" s="346">
        <f>[4]Reserve!$D189</f>
        <v>117916.26204025003</v>
      </c>
      <c r="L113" s="466">
        <f t="shared" si="34"/>
        <v>1</v>
      </c>
      <c r="M113" s="466">
        <f t="shared" si="34"/>
        <v>1</v>
      </c>
      <c r="N113" s="617">
        <f t="shared" si="30"/>
        <v>117916.26204025003</v>
      </c>
      <c r="S113" s="514"/>
    </row>
    <row r="114" spans="1:19" ht="15" customHeight="1">
      <c r="A114" s="1153">
        <f t="shared" si="26"/>
        <v>100</v>
      </c>
      <c r="B114" s="707"/>
      <c r="C114" s="88" t="s">
        <v>1143</v>
      </c>
      <c r="D114" s="346">
        <f>[4]Reserve!$AF190</f>
        <v>-6374709.4599999981</v>
      </c>
      <c r="E114" s="617">
        <v>0</v>
      </c>
      <c r="F114" s="617">
        <f>D114-E114</f>
        <v>-6374709.4599999981</v>
      </c>
      <c r="G114" s="466">
        <f t="shared" si="33"/>
        <v>1</v>
      </c>
      <c r="H114" s="466">
        <f t="shared" si="33"/>
        <v>1</v>
      </c>
      <c r="I114" s="617">
        <f>F114*G114*H114</f>
        <v>-6374709.4599999981</v>
      </c>
      <c r="K114" s="346">
        <f>[4]Reserve!$D190</f>
        <v>-6374709.4599999981</v>
      </c>
      <c r="L114" s="466">
        <f t="shared" si="34"/>
        <v>1</v>
      </c>
      <c r="M114" s="466">
        <f t="shared" si="34"/>
        <v>1</v>
      </c>
      <c r="N114" s="617">
        <f>K114*L114*M114</f>
        <v>-6374709.4599999981</v>
      </c>
    </row>
    <row r="115" spans="1:19" ht="15" customHeight="1">
      <c r="A115" s="855"/>
      <c r="B115" s="707"/>
      <c r="C115" s="88" t="s">
        <v>1403</v>
      </c>
      <c r="D115" s="346">
        <f>[4]Reserve!$AF191</f>
        <v>0</v>
      </c>
      <c r="E115" s="617">
        <v>0</v>
      </c>
      <c r="F115" s="617">
        <f>D115-E115</f>
        <v>0</v>
      </c>
      <c r="G115" s="466">
        <f t="shared" si="33"/>
        <v>1</v>
      </c>
      <c r="H115" s="466">
        <f t="shared" si="33"/>
        <v>1</v>
      </c>
      <c r="I115" s="617">
        <f>F115*G115*H115</f>
        <v>0</v>
      </c>
      <c r="K115" s="346">
        <f>[4]Reserve!$D191</f>
        <v>0</v>
      </c>
      <c r="L115" s="466">
        <f t="shared" si="34"/>
        <v>1</v>
      </c>
      <c r="M115" s="466">
        <f t="shared" si="34"/>
        <v>1</v>
      </c>
      <c r="N115" s="617">
        <f t="shared" ref="N115:N116" si="35">K115*L115*M115</f>
        <v>0</v>
      </c>
    </row>
    <row r="116" spans="1:19">
      <c r="A116" s="855">
        <f>A114+1</f>
        <v>101</v>
      </c>
      <c r="B116" s="707"/>
      <c r="C116" s="88" t="s">
        <v>1258</v>
      </c>
      <c r="D116" s="346">
        <f>[4]Reserve!$AF192</f>
        <v>0</v>
      </c>
      <c r="E116" s="617">
        <v>0</v>
      </c>
      <c r="F116" s="617">
        <f t="shared" ref="F116" si="36">D116-E116</f>
        <v>0</v>
      </c>
      <c r="G116" s="466">
        <f t="shared" si="33"/>
        <v>1</v>
      </c>
      <c r="H116" s="466">
        <f t="shared" si="33"/>
        <v>1</v>
      </c>
      <c r="I116" s="617">
        <f t="shared" ref="I116" si="37">F116*G116*H116</f>
        <v>0</v>
      </c>
      <c r="K116" s="346">
        <f>[4]Reserve!$D192</f>
        <v>0</v>
      </c>
      <c r="L116" s="466">
        <f t="shared" si="34"/>
        <v>1</v>
      </c>
      <c r="M116" s="466">
        <f t="shared" si="34"/>
        <v>1</v>
      </c>
      <c r="N116" s="617">
        <f t="shared" si="35"/>
        <v>0</v>
      </c>
      <c r="S116" s="514"/>
    </row>
    <row r="117" spans="1:19" ht="15" customHeight="1">
      <c r="A117" s="855">
        <f t="shared" ref="A117:A153" si="38">A116+1</f>
        <v>102</v>
      </c>
      <c r="B117" s="707"/>
      <c r="C117" s="88"/>
      <c r="D117" s="1061"/>
      <c r="E117" s="1061"/>
      <c r="F117" s="1061"/>
      <c r="I117" s="1061"/>
      <c r="K117" s="1061"/>
      <c r="N117" s="1061"/>
    </row>
    <row r="118" spans="1:19">
      <c r="A118" s="855">
        <f t="shared" si="38"/>
        <v>103</v>
      </c>
      <c r="B118" s="707"/>
      <c r="C118" s="88" t="s">
        <v>1381</v>
      </c>
      <c r="D118" s="360">
        <f>SUM(D89:D117)</f>
        <v>2035637.5545545416</v>
      </c>
      <c r="E118" s="360">
        <f>SUM(E89:E117)</f>
        <v>0</v>
      </c>
      <c r="F118" s="360">
        <f>SUM(F89:F117)</f>
        <v>2035637.5545545416</v>
      </c>
      <c r="I118" s="360">
        <f>SUM(I89:I117)</f>
        <v>2035637.5545545416</v>
      </c>
      <c r="K118" s="360">
        <f>SUM(K89:K117)</f>
        <v>1822865.9978470122</v>
      </c>
      <c r="N118" s="360">
        <f>SUM(N89:N117)</f>
        <v>1822865.9978470122</v>
      </c>
    </row>
    <row r="119" spans="1:19">
      <c r="A119" s="855">
        <f t="shared" si="38"/>
        <v>104</v>
      </c>
      <c r="B119" s="707"/>
      <c r="C119" s="88"/>
      <c r="D119" s="617"/>
      <c r="E119" s="617"/>
      <c r="F119" s="617"/>
      <c r="I119" s="617"/>
      <c r="K119" s="617"/>
      <c r="N119" s="617"/>
    </row>
    <row r="120" spans="1:19">
      <c r="A120" s="855">
        <f t="shared" si="38"/>
        <v>105</v>
      </c>
      <c r="B120" s="390"/>
      <c r="C120" s="233" t="s">
        <v>1324</v>
      </c>
      <c r="D120" s="360">
        <f>D118+D86+D60+D47+D26+D19</f>
        <v>180927119.51597515</v>
      </c>
      <c r="E120" s="360">
        <f>E118+E86+E60+E47+E26+E19</f>
        <v>0</v>
      </c>
      <c r="F120" s="360">
        <f>F118+F86+F60+F47+F26+F19</f>
        <v>180927119.51597515</v>
      </c>
      <c r="I120" s="360">
        <f>I118+I86+I60+I47+I26+I19</f>
        <v>180927119.51597515</v>
      </c>
      <c r="K120" s="360">
        <f>K118+K86+K60+K47+K26+K19</f>
        <v>180350709.60087621</v>
      </c>
      <c r="N120" s="360">
        <f>N118+N86+N60+N47+N26+N19</f>
        <v>180350709.60087621</v>
      </c>
      <c r="R120" s="671"/>
      <c r="S120" s="671"/>
    </row>
    <row r="121" spans="1:19">
      <c r="A121" s="855">
        <f t="shared" si="38"/>
        <v>106</v>
      </c>
      <c r="B121" s="390"/>
      <c r="C121" s="88"/>
      <c r="D121" s="617"/>
    </row>
    <row r="122" spans="1:19">
      <c r="A122" s="855">
        <f t="shared" si="38"/>
        <v>107</v>
      </c>
      <c r="B122" s="390"/>
      <c r="C122" s="81"/>
      <c r="D122" s="617"/>
    </row>
    <row r="123" spans="1:19">
      <c r="A123" s="855">
        <f t="shared" si="38"/>
        <v>108</v>
      </c>
      <c r="B123" s="1039"/>
      <c r="D123" s="617"/>
      <c r="G123" s="80"/>
      <c r="H123" s="80"/>
    </row>
    <row r="124" spans="1:19" ht="15.75">
      <c r="A124" s="855">
        <f t="shared" si="38"/>
        <v>109</v>
      </c>
      <c r="B124" s="1044" t="s">
        <v>7</v>
      </c>
      <c r="D124" s="617"/>
      <c r="G124" s="80"/>
      <c r="H124" s="80"/>
    </row>
    <row r="125" spans="1:19">
      <c r="A125" s="855">
        <f t="shared" si="38"/>
        <v>110</v>
      </c>
      <c r="B125" s="1039"/>
      <c r="D125" s="617"/>
      <c r="G125" s="80"/>
      <c r="H125" s="80"/>
    </row>
    <row r="126" spans="1:19">
      <c r="A126" s="855">
        <f t="shared" si="38"/>
        <v>111</v>
      </c>
      <c r="B126" s="390"/>
      <c r="C126" s="620" t="s">
        <v>297</v>
      </c>
      <c r="D126" s="617"/>
    </row>
    <row r="127" spans="1:19">
      <c r="A127" s="855">
        <f t="shared" si="38"/>
        <v>112</v>
      </c>
      <c r="B127" s="514">
        <v>30100</v>
      </c>
      <c r="C127" s="88" t="s">
        <v>291</v>
      </c>
      <c r="D127" s="346">
        <f>[4]Reserve!$AF84</f>
        <v>0</v>
      </c>
      <c r="E127" s="346">
        <v>0</v>
      </c>
      <c r="F127" s="346">
        <f>D127+E127</f>
        <v>0</v>
      </c>
      <c r="G127" s="466">
        <f>$G$16</f>
        <v>1</v>
      </c>
      <c r="H127" s="467">
        <f>Allocation!$D$17</f>
        <v>0.49780000000000002</v>
      </c>
      <c r="I127" s="346">
        <f>F127*G127*H127</f>
        <v>0</v>
      </c>
      <c r="K127" s="346">
        <f>[4]Reserve!$D84</f>
        <v>0</v>
      </c>
      <c r="L127" s="466">
        <f t="shared" ref="L127:M128" si="39">G127</f>
        <v>1</v>
      </c>
      <c r="M127" s="467">
        <f t="shared" si="39"/>
        <v>0.49780000000000002</v>
      </c>
      <c r="N127" s="346">
        <f>K127*L127*M127</f>
        <v>0</v>
      </c>
    </row>
    <row r="128" spans="1:19">
      <c r="A128" s="855">
        <f t="shared" si="38"/>
        <v>113</v>
      </c>
      <c r="B128" s="514">
        <v>30300</v>
      </c>
      <c r="C128" s="88" t="s">
        <v>542</v>
      </c>
      <c r="D128" s="346">
        <f>[4]Reserve!$AF85</f>
        <v>0</v>
      </c>
      <c r="E128" s="1043">
        <v>0</v>
      </c>
      <c r="F128" s="1043">
        <f>D128+E128</f>
        <v>0</v>
      </c>
      <c r="G128" s="466">
        <f>$G$16</f>
        <v>1</v>
      </c>
      <c r="H128" s="467">
        <f>$H$127</f>
        <v>0.49780000000000002</v>
      </c>
      <c r="I128" s="1043">
        <f>F128*G128*H128</f>
        <v>0</v>
      </c>
      <c r="K128" s="346">
        <f>[4]Reserve!$D85</f>
        <v>0</v>
      </c>
      <c r="L128" s="466">
        <f t="shared" si="39"/>
        <v>1</v>
      </c>
      <c r="M128" s="467">
        <f t="shared" si="39"/>
        <v>0.49780000000000002</v>
      </c>
      <c r="N128" s="1043">
        <f>K128*L128*M128</f>
        <v>0</v>
      </c>
    </row>
    <row r="129" spans="1:14">
      <c r="A129" s="855">
        <f t="shared" si="38"/>
        <v>114</v>
      </c>
      <c r="B129" s="514"/>
      <c r="C129" s="88"/>
      <c r="D129" s="619"/>
      <c r="E129" s="619"/>
      <c r="F129" s="619"/>
    </row>
    <row r="130" spans="1:14">
      <c r="A130" s="855">
        <f t="shared" si="38"/>
        <v>115</v>
      </c>
      <c r="B130" s="707"/>
      <c r="C130" s="88" t="s">
        <v>298</v>
      </c>
      <c r="D130" s="346">
        <f>SUM(D127:D129)</f>
        <v>0</v>
      </c>
      <c r="E130" s="346">
        <f>SUM(E127:E129)</f>
        <v>0</v>
      </c>
      <c r="F130" s="346">
        <f>SUM(F127:F129)</f>
        <v>0</v>
      </c>
      <c r="G130" s="466"/>
      <c r="H130" s="466"/>
      <c r="I130" s="346">
        <f>SUM(I127:I129)</f>
        <v>0</v>
      </c>
      <c r="K130" s="346">
        <f>SUM(K127:K129)</f>
        <v>0</v>
      </c>
      <c r="N130" s="346">
        <f>SUM(N127:N129)</f>
        <v>0</v>
      </c>
    </row>
    <row r="131" spans="1:14">
      <c r="A131" s="855">
        <f t="shared" si="38"/>
        <v>116</v>
      </c>
      <c r="B131" s="1059"/>
    </row>
    <row r="132" spans="1:14">
      <c r="A132" s="855">
        <f t="shared" si="38"/>
        <v>117</v>
      </c>
      <c r="B132" s="707"/>
      <c r="C132" s="620" t="s">
        <v>299</v>
      </c>
    </row>
    <row r="133" spans="1:14">
      <c r="A133" s="855">
        <f t="shared" si="38"/>
        <v>118</v>
      </c>
      <c r="B133" s="514">
        <v>37400</v>
      </c>
      <c r="C133" s="88" t="s">
        <v>1147</v>
      </c>
      <c r="D133" s="346">
        <v>0</v>
      </c>
      <c r="E133" s="346">
        <v>0</v>
      </c>
      <c r="F133" s="346">
        <f t="shared" ref="F133:F153" si="40">D133+E133</f>
        <v>0</v>
      </c>
      <c r="G133" s="466">
        <f t="shared" ref="G133:G153" si="41">$G$16</f>
        <v>1</v>
      </c>
      <c r="H133" s="467">
        <f t="shared" ref="H133:H153" si="42">$H$127</f>
        <v>0.49780000000000002</v>
      </c>
      <c r="I133" s="346">
        <f t="shared" ref="I133:I153" si="43">F133*G133*H133</f>
        <v>0</v>
      </c>
      <c r="K133" s="346">
        <v>0</v>
      </c>
      <c r="L133" s="466">
        <f t="shared" ref="L133:M153" si="44">G133</f>
        <v>1</v>
      </c>
      <c r="M133" s="467">
        <f t="shared" si="44"/>
        <v>0.49780000000000002</v>
      </c>
      <c r="N133" s="346">
        <f t="shared" ref="N133:N153" si="45">K133*L133*M133</f>
        <v>0</v>
      </c>
    </row>
    <row r="134" spans="1:14">
      <c r="A134" s="855">
        <f t="shared" si="38"/>
        <v>119</v>
      </c>
      <c r="B134" s="514">
        <v>35010</v>
      </c>
      <c r="C134" s="88" t="s">
        <v>292</v>
      </c>
      <c r="D134" s="430">
        <v>0</v>
      </c>
      <c r="E134" s="430">
        <v>0</v>
      </c>
      <c r="F134" s="430">
        <f t="shared" si="40"/>
        <v>0</v>
      </c>
      <c r="G134" s="466">
        <f t="shared" si="41"/>
        <v>1</v>
      </c>
      <c r="H134" s="467">
        <f t="shared" si="42"/>
        <v>0.49780000000000002</v>
      </c>
      <c r="I134" s="430">
        <f t="shared" si="43"/>
        <v>0</v>
      </c>
      <c r="K134" s="430">
        <v>0</v>
      </c>
      <c r="L134" s="466">
        <f t="shared" si="44"/>
        <v>1</v>
      </c>
      <c r="M134" s="467">
        <f t="shared" si="44"/>
        <v>0.49780000000000002</v>
      </c>
      <c r="N134" s="430">
        <f t="shared" si="45"/>
        <v>0</v>
      </c>
    </row>
    <row r="135" spans="1:14">
      <c r="A135" s="855">
        <f t="shared" si="38"/>
        <v>120</v>
      </c>
      <c r="B135" s="514">
        <v>37402</v>
      </c>
      <c r="C135" s="88" t="s">
        <v>999</v>
      </c>
      <c r="D135" s="430">
        <v>0</v>
      </c>
      <c r="E135" s="430">
        <v>0</v>
      </c>
      <c r="F135" s="430">
        <f t="shared" si="40"/>
        <v>0</v>
      </c>
      <c r="G135" s="466">
        <f t="shared" si="41"/>
        <v>1</v>
      </c>
      <c r="H135" s="467">
        <f t="shared" si="42"/>
        <v>0.49780000000000002</v>
      </c>
      <c r="I135" s="430">
        <f t="shared" si="43"/>
        <v>0</v>
      </c>
      <c r="K135" s="430">
        <v>0</v>
      </c>
      <c r="L135" s="466">
        <f t="shared" si="44"/>
        <v>1</v>
      </c>
      <c r="M135" s="467">
        <f t="shared" si="44"/>
        <v>0.49780000000000002</v>
      </c>
      <c r="N135" s="430">
        <f t="shared" si="45"/>
        <v>0</v>
      </c>
    </row>
    <row r="136" spans="1:14">
      <c r="A136" s="855">
        <f t="shared" si="38"/>
        <v>121</v>
      </c>
      <c r="B136" s="514">
        <v>37403</v>
      </c>
      <c r="C136" s="88" t="s">
        <v>996</v>
      </c>
      <c r="D136" s="430">
        <v>0</v>
      </c>
      <c r="E136" s="430">
        <v>0</v>
      </c>
      <c r="F136" s="430">
        <f t="shared" si="40"/>
        <v>0</v>
      </c>
      <c r="G136" s="466">
        <f t="shared" si="41"/>
        <v>1</v>
      </c>
      <c r="H136" s="467">
        <f t="shared" si="42"/>
        <v>0.49780000000000002</v>
      </c>
      <c r="I136" s="430">
        <f t="shared" si="43"/>
        <v>0</v>
      </c>
      <c r="K136" s="430">
        <v>0</v>
      </c>
      <c r="L136" s="466">
        <f t="shared" si="44"/>
        <v>1</v>
      </c>
      <c r="M136" s="467">
        <f t="shared" si="44"/>
        <v>0.49780000000000002</v>
      </c>
      <c r="N136" s="430">
        <f t="shared" si="45"/>
        <v>0</v>
      </c>
    </row>
    <row r="137" spans="1:14">
      <c r="A137" s="855">
        <f t="shared" si="38"/>
        <v>122</v>
      </c>
      <c r="B137" s="514">
        <v>36602</v>
      </c>
      <c r="C137" s="88" t="s">
        <v>856</v>
      </c>
      <c r="D137" s="430">
        <v>0</v>
      </c>
      <c r="E137" s="430">
        <v>0</v>
      </c>
      <c r="F137" s="430">
        <f t="shared" si="40"/>
        <v>0</v>
      </c>
      <c r="G137" s="466">
        <f t="shared" si="41"/>
        <v>1</v>
      </c>
      <c r="H137" s="467">
        <f t="shared" si="42"/>
        <v>0.49780000000000002</v>
      </c>
      <c r="I137" s="430">
        <f t="shared" si="43"/>
        <v>0</v>
      </c>
      <c r="K137" s="430">
        <v>0</v>
      </c>
      <c r="L137" s="466">
        <f t="shared" si="44"/>
        <v>1</v>
      </c>
      <c r="M137" s="467">
        <f t="shared" si="44"/>
        <v>0.49780000000000002</v>
      </c>
      <c r="N137" s="430">
        <f t="shared" si="45"/>
        <v>0</v>
      </c>
    </row>
    <row r="138" spans="1:14">
      <c r="A138" s="855">
        <f t="shared" si="38"/>
        <v>123</v>
      </c>
      <c r="B138" s="514">
        <v>37501</v>
      </c>
      <c r="C138" s="88" t="s">
        <v>997</v>
      </c>
      <c r="D138" s="430">
        <v>0</v>
      </c>
      <c r="E138" s="430">
        <v>0</v>
      </c>
      <c r="F138" s="430">
        <f t="shared" si="40"/>
        <v>0</v>
      </c>
      <c r="G138" s="466">
        <f t="shared" si="41"/>
        <v>1</v>
      </c>
      <c r="H138" s="467">
        <f t="shared" si="42"/>
        <v>0.49780000000000002</v>
      </c>
      <c r="I138" s="430">
        <f t="shared" si="43"/>
        <v>0</v>
      </c>
      <c r="K138" s="430">
        <v>0</v>
      </c>
      <c r="L138" s="466">
        <f t="shared" si="44"/>
        <v>1</v>
      </c>
      <c r="M138" s="467">
        <f t="shared" si="44"/>
        <v>0.49780000000000002</v>
      </c>
      <c r="N138" s="430">
        <f t="shared" si="45"/>
        <v>0</v>
      </c>
    </row>
    <row r="139" spans="1:14">
      <c r="A139" s="855">
        <f t="shared" si="38"/>
        <v>124</v>
      </c>
      <c r="B139" s="514">
        <v>37402</v>
      </c>
      <c r="C139" s="88" t="s">
        <v>999</v>
      </c>
      <c r="D139" s="430">
        <v>0</v>
      </c>
      <c r="E139" s="430">
        <v>0</v>
      </c>
      <c r="F139" s="430">
        <f t="shared" si="40"/>
        <v>0</v>
      </c>
      <c r="G139" s="466">
        <f t="shared" si="41"/>
        <v>1</v>
      </c>
      <c r="H139" s="467">
        <f t="shared" si="42"/>
        <v>0.49780000000000002</v>
      </c>
      <c r="I139" s="430">
        <f t="shared" si="43"/>
        <v>0</v>
      </c>
      <c r="K139" s="430">
        <v>0</v>
      </c>
      <c r="L139" s="466">
        <f t="shared" si="44"/>
        <v>1</v>
      </c>
      <c r="M139" s="467">
        <f t="shared" si="44"/>
        <v>0.49780000000000002</v>
      </c>
      <c r="N139" s="430">
        <f t="shared" si="45"/>
        <v>0</v>
      </c>
    </row>
    <row r="140" spans="1:14">
      <c r="A140" s="855">
        <f t="shared" si="38"/>
        <v>125</v>
      </c>
      <c r="B140" s="514">
        <v>37503</v>
      </c>
      <c r="C140" s="88" t="s">
        <v>998</v>
      </c>
      <c r="D140" s="430">
        <v>0</v>
      </c>
      <c r="E140" s="430">
        <v>0</v>
      </c>
      <c r="F140" s="430">
        <f t="shared" si="40"/>
        <v>0</v>
      </c>
      <c r="G140" s="466">
        <f t="shared" si="41"/>
        <v>1</v>
      </c>
      <c r="H140" s="467">
        <f t="shared" si="42"/>
        <v>0.49780000000000002</v>
      </c>
      <c r="I140" s="430">
        <f t="shared" si="43"/>
        <v>0</v>
      </c>
      <c r="K140" s="430">
        <v>0</v>
      </c>
      <c r="L140" s="466">
        <f t="shared" si="44"/>
        <v>1</v>
      </c>
      <c r="M140" s="467">
        <f t="shared" si="44"/>
        <v>0.49780000000000002</v>
      </c>
      <c r="N140" s="430">
        <f t="shared" si="45"/>
        <v>0</v>
      </c>
    </row>
    <row r="141" spans="1:14">
      <c r="A141" s="855">
        <f t="shared" si="38"/>
        <v>126</v>
      </c>
      <c r="B141" s="514">
        <v>36700</v>
      </c>
      <c r="C141" s="88" t="s">
        <v>844</v>
      </c>
      <c r="D141" s="430">
        <v>0</v>
      </c>
      <c r="E141" s="430">
        <v>0</v>
      </c>
      <c r="F141" s="430">
        <f t="shared" si="40"/>
        <v>0</v>
      </c>
      <c r="G141" s="466">
        <f t="shared" si="41"/>
        <v>1</v>
      </c>
      <c r="H141" s="467">
        <f t="shared" si="42"/>
        <v>0.49780000000000002</v>
      </c>
      <c r="I141" s="430">
        <f t="shared" si="43"/>
        <v>0</v>
      </c>
      <c r="K141" s="430">
        <v>0</v>
      </c>
      <c r="L141" s="466">
        <f t="shared" si="44"/>
        <v>1</v>
      </c>
      <c r="M141" s="467">
        <f t="shared" si="44"/>
        <v>0.49780000000000002</v>
      </c>
      <c r="N141" s="430">
        <f t="shared" si="45"/>
        <v>0</v>
      </c>
    </row>
    <row r="142" spans="1:14">
      <c r="A142" s="855">
        <f t="shared" si="38"/>
        <v>127</v>
      </c>
      <c r="B142" s="514">
        <v>36701</v>
      </c>
      <c r="C142" s="88" t="s">
        <v>16</v>
      </c>
      <c r="D142" s="430">
        <v>0</v>
      </c>
      <c r="E142" s="430">
        <v>0</v>
      </c>
      <c r="F142" s="430">
        <f t="shared" si="40"/>
        <v>0</v>
      </c>
      <c r="G142" s="466">
        <f t="shared" si="41"/>
        <v>1</v>
      </c>
      <c r="H142" s="467">
        <f t="shared" si="42"/>
        <v>0.49780000000000002</v>
      </c>
      <c r="I142" s="430">
        <f t="shared" si="43"/>
        <v>0</v>
      </c>
      <c r="K142" s="430">
        <v>0</v>
      </c>
      <c r="L142" s="466">
        <f t="shared" si="44"/>
        <v>1</v>
      </c>
      <c r="M142" s="467">
        <f t="shared" si="44"/>
        <v>0.49780000000000002</v>
      </c>
      <c r="N142" s="430">
        <f t="shared" si="45"/>
        <v>0</v>
      </c>
    </row>
    <row r="143" spans="1:14">
      <c r="A143" s="855">
        <f t="shared" si="38"/>
        <v>128</v>
      </c>
      <c r="B143" s="514">
        <v>37602</v>
      </c>
      <c r="C143" s="88" t="s">
        <v>845</v>
      </c>
      <c r="D143" s="430">
        <v>0</v>
      </c>
      <c r="E143" s="430">
        <v>0</v>
      </c>
      <c r="F143" s="430">
        <f t="shared" si="40"/>
        <v>0</v>
      </c>
      <c r="G143" s="466">
        <f t="shared" si="41"/>
        <v>1</v>
      </c>
      <c r="H143" s="467">
        <f t="shared" si="42"/>
        <v>0.49780000000000002</v>
      </c>
      <c r="I143" s="430">
        <f t="shared" si="43"/>
        <v>0</v>
      </c>
      <c r="K143" s="430">
        <v>0</v>
      </c>
      <c r="L143" s="466">
        <f t="shared" si="44"/>
        <v>1</v>
      </c>
      <c r="M143" s="467">
        <f t="shared" si="44"/>
        <v>0.49780000000000002</v>
      </c>
      <c r="N143" s="430">
        <f t="shared" si="45"/>
        <v>0</v>
      </c>
    </row>
    <row r="144" spans="1:14">
      <c r="A144" s="855">
        <f t="shared" si="38"/>
        <v>129</v>
      </c>
      <c r="B144" s="514">
        <v>37800</v>
      </c>
      <c r="C144" s="88" t="s">
        <v>229</v>
      </c>
      <c r="D144" s="430">
        <v>0</v>
      </c>
      <c r="E144" s="430">
        <v>0</v>
      </c>
      <c r="F144" s="430">
        <f t="shared" si="40"/>
        <v>0</v>
      </c>
      <c r="G144" s="466">
        <f t="shared" si="41"/>
        <v>1</v>
      </c>
      <c r="H144" s="467">
        <f t="shared" si="42"/>
        <v>0.49780000000000002</v>
      </c>
      <c r="I144" s="430">
        <f t="shared" si="43"/>
        <v>0</v>
      </c>
      <c r="K144" s="430">
        <v>0</v>
      </c>
      <c r="L144" s="466">
        <f t="shared" si="44"/>
        <v>1</v>
      </c>
      <c r="M144" s="467">
        <f t="shared" si="44"/>
        <v>0.49780000000000002</v>
      </c>
      <c r="N144" s="430">
        <f t="shared" si="45"/>
        <v>0</v>
      </c>
    </row>
    <row r="145" spans="1:20">
      <c r="A145" s="855">
        <f t="shared" si="38"/>
        <v>130</v>
      </c>
      <c r="B145" s="514">
        <v>37900</v>
      </c>
      <c r="C145" s="88" t="s">
        <v>1190</v>
      </c>
      <c r="D145" s="430">
        <v>0</v>
      </c>
      <c r="E145" s="430">
        <v>0</v>
      </c>
      <c r="F145" s="430">
        <f t="shared" si="40"/>
        <v>0</v>
      </c>
      <c r="G145" s="466">
        <f t="shared" si="41"/>
        <v>1</v>
      </c>
      <c r="H145" s="467">
        <f t="shared" si="42"/>
        <v>0.49780000000000002</v>
      </c>
      <c r="I145" s="430">
        <f t="shared" si="43"/>
        <v>0</v>
      </c>
      <c r="K145" s="430">
        <v>0</v>
      </c>
      <c r="L145" s="466">
        <f t="shared" si="44"/>
        <v>1</v>
      </c>
      <c r="M145" s="467">
        <f t="shared" si="44"/>
        <v>0.49780000000000002</v>
      </c>
      <c r="N145" s="430">
        <f t="shared" si="45"/>
        <v>0</v>
      </c>
    </row>
    <row r="146" spans="1:20">
      <c r="A146" s="855">
        <f t="shared" si="38"/>
        <v>131</v>
      </c>
      <c r="B146" s="514">
        <v>37905</v>
      </c>
      <c r="C146" s="88" t="s">
        <v>725</v>
      </c>
      <c r="D146" s="430">
        <v>0</v>
      </c>
      <c r="E146" s="430">
        <v>0</v>
      </c>
      <c r="F146" s="430">
        <f t="shared" si="40"/>
        <v>0</v>
      </c>
      <c r="G146" s="466">
        <f t="shared" si="41"/>
        <v>1</v>
      </c>
      <c r="H146" s="467">
        <f t="shared" si="42"/>
        <v>0.49780000000000002</v>
      </c>
      <c r="I146" s="430">
        <f t="shared" si="43"/>
        <v>0</v>
      </c>
      <c r="K146" s="430">
        <v>0</v>
      </c>
      <c r="L146" s="466">
        <f t="shared" si="44"/>
        <v>1</v>
      </c>
      <c r="M146" s="467">
        <f t="shared" si="44"/>
        <v>0.49780000000000002</v>
      </c>
      <c r="N146" s="430">
        <f t="shared" si="45"/>
        <v>0</v>
      </c>
    </row>
    <row r="147" spans="1:20">
      <c r="A147" s="855">
        <f t="shared" si="38"/>
        <v>132</v>
      </c>
      <c r="B147" s="514">
        <v>38000</v>
      </c>
      <c r="C147" s="88" t="s">
        <v>1052</v>
      </c>
      <c r="D147" s="430">
        <v>0</v>
      </c>
      <c r="E147" s="430">
        <v>0</v>
      </c>
      <c r="F147" s="430">
        <f t="shared" si="40"/>
        <v>0</v>
      </c>
      <c r="G147" s="466">
        <f t="shared" si="41"/>
        <v>1</v>
      </c>
      <c r="H147" s="467">
        <f t="shared" si="42"/>
        <v>0.49780000000000002</v>
      </c>
      <c r="I147" s="430">
        <f t="shared" si="43"/>
        <v>0</v>
      </c>
      <c r="K147" s="430">
        <v>0</v>
      </c>
      <c r="L147" s="466">
        <f t="shared" si="44"/>
        <v>1</v>
      </c>
      <c r="M147" s="467">
        <f t="shared" si="44"/>
        <v>0.49780000000000002</v>
      </c>
      <c r="N147" s="430">
        <f t="shared" si="45"/>
        <v>0</v>
      </c>
    </row>
    <row r="148" spans="1:20">
      <c r="A148" s="855">
        <f t="shared" si="38"/>
        <v>133</v>
      </c>
      <c r="B148" s="514">
        <v>38100</v>
      </c>
      <c r="C148" s="88" t="s">
        <v>846</v>
      </c>
      <c r="D148" s="430">
        <v>0</v>
      </c>
      <c r="E148" s="430">
        <v>0</v>
      </c>
      <c r="F148" s="430">
        <f t="shared" si="40"/>
        <v>0</v>
      </c>
      <c r="G148" s="466">
        <f t="shared" si="41"/>
        <v>1</v>
      </c>
      <c r="H148" s="467">
        <f t="shared" si="42"/>
        <v>0.49780000000000002</v>
      </c>
      <c r="I148" s="430">
        <f t="shared" si="43"/>
        <v>0</v>
      </c>
      <c r="K148" s="430">
        <v>0</v>
      </c>
      <c r="L148" s="466">
        <f t="shared" si="44"/>
        <v>1</v>
      </c>
      <c r="M148" s="467">
        <f t="shared" si="44"/>
        <v>0.49780000000000002</v>
      </c>
      <c r="N148" s="430">
        <f t="shared" si="45"/>
        <v>0</v>
      </c>
    </row>
    <row r="149" spans="1:20">
      <c r="A149" s="855">
        <f t="shared" si="38"/>
        <v>134</v>
      </c>
      <c r="B149" s="514">
        <v>38200</v>
      </c>
      <c r="C149" s="88" t="s">
        <v>442</v>
      </c>
      <c r="D149" s="430">
        <v>0</v>
      </c>
      <c r="E149" s="430">
        <v>0</v>
      </c>
      <c r="F149" s="430">
        <f t="shared" si="40"/>
        <v>0</v>
      </c>
      <c r="G149" s="466">
        <f t="shared" si="41"/>
        <v>1</v>
      </c>
      <c r="H149" s="467">
        <f t="shared" si="42"/>
        <v>0.49780000000000002</v>
      </c>
      <c r="I149" s="430">
        <f t="shared" si="43"/>
        <v>0</v>
      </c>
      <c r="K149" s="430">
        <v>0</v>
      </c>
      <c r="L149" s="466">
        <f t="shared" si="44"/>
        <v>1</v>
      </c>
      <c r="M149" s="467">
        <f t="shared" si="44"/>
        <v>0.49780000000000002</v>
      </c>
      <c r="N149" s="430">
        <f t="shared" si="45"/>
        <v>0</v>
      </c>
    </row>
    <row r="150" spans="1:20">
      <c r="A150" s="855">
        <f t="shared" si="38"/>
        <v>135</v>
      </c>
      <c r="B150" s="514">
        <v>38300</v>
      </c>
      <c r="C150" s="88" t="s">
        <v>1053</v>
      </c>
      <c r="D150" s="430">
        <v>0</v>
      </c>
      <c r="E150" s="430">
        <v>0</v>
      </c>
      <c r="F150" s="430">
        <f t="shared" si="40"/>
        <v>0</v>
      </c>
      <c r="G150" s="466">
        <f t="shared" si="41"/>
        <v>1</v>
      </c>
      <c r="H150" s="467">
        <f t="shared" si="42"/>
        <v>0.49780000000000002</v>
      </c>
      <c r="I150" s="430">
        <f t="shared" si="43"/>
        <v>0</v>
      </c>
      <c r="K150" s="430">
        <v>0</v>
      </c>
      <c r="L150" s="466">
        <f t="shared" si="44"/>
        <v>1</v>
      </c>
      <c r="M150" s="467">
        <f t="shared" si="44"/>
        <v>0.49780000000000002</v>
      </c>
      <c r="N150" s="430">
        <f t="shared" si="45"/>
        <v>0</v>
      </c>
    </row>
    <row r="151" spans="1:20">
      <c r="A151" s="855">
        <f t="shared" si="38"/>
        <v>136</v>
      </c>
      <c r="B151" s="514">
        <v>38400</v>
      </c>
      <c r="C151" s="88" t="s">
        <v>443</v>
      </c>
      <c r="D151" s="430">
        <v>0</v>
      </c>
      <c r="E151" s="430">
        <v>0</v>
      </c>
      <c r="F151" s="430">
        <f t="shared" si="40"/>
        <v>0</v>
      </c>
      <c r="G151" s="466">
        <f t="shared" si="41"/>
        <v>1</v>
      </c>
      <c r="H151" s="467">
        <f t="shared" si="42"/>
        <v>0.49780000000000002</v>
      </c>
      <c r="I151" s="430">
        <f t="shared" si="43"/>
        <v>0</v>
      </c>
      <c r="K151" s="430">
        <v>0</v>
      </c>
      <c r="L151" s="466">
        <f t="shared" si="44"/>
        <v>1</v>
      </c>
      <c r="M151" s="467">
        <f t="shared" si="44"/>
        <v>0.49780000000000002</v>
      </c>
      <c r="N151" s="430">
        <f t="shared" si="45"/>
        <v>0</v>
      </c>
    </row>
    <row r="152" spans="1:20">
      <c r="A152" s="855">
        <f t="shared" si="38"/>
        <v>137</v>
      </c>
      <c r="B152" s="514">
        <v>38500</v>
      </c>
      <c r="C152" s="88" t="s">
        <v>444</v>
      </c>
      <c r="D152" s="430">
        <v>0</v>
      </c>
      <c r="E152" s="430">
        <v>0</v>
      </c>
      <c r="F152" s="430">
        <f t="shared" si="40"/>
        <v>0</v>
      </c>
      <c r="G152" s="466">
        <f t="shared" si="41"/>
        <v>1</v>
      </c>
      <c r="H152" s="467">
        <f t="shared" si="42"/>
        <v>0.49780000000000002</v>
      </c>
      <c r="I152" s="430">
        <f t="shared" si="43"/>
        <v>0</v>
      </c>
      <c r="K152" s="430">
        <v>0</v>
      </c>
      <c r="L152" s="466">
        <f t="shared" si="44"/>
        <v>1</v>
      </c>
      <c r="M152" s="467">
        <f t="shared" si="44"/>
        <v>0.49780000000000002</v>
      </c>
      <c r="N152" s="430">
        <f t="shared" si="45"/>
        <v>0</v>
      </c>
    </row>
    <row r="153" spans="1:20">
      <c r="A153" s="855">
        <f t="shared" si="38"/>
        <v>138</v>
      </c>
      <c r="B153" s="514">
        <v>38600</v>
      </c>
      <c r="C153" s="88" t="s">
        <v>106</v>
      </c>
      <c r="D153" s="1043">
        <v>0</v>
      </c>
      <c r="E153" s="1043">
        <v>0</v>
      </c>
      <c r="F153" s="1043">
        <f t="shared" si="40"/>
        <v>0</v>
      </c>
      <c r="G153" s="466">
        <f t="shared" si="41"/>
        <v>1</v>
      </c>
      <c r="H153" s="467">
        <f t="shared" si="42"/>
        <v>0.49780000000000002</v>
      </c>
      <c r="I153" s="1043">
        <f t="shared" si="43"/>
        <v>0</v>
      </c>
      <c r="K153" s="1043">
        <v>0</v>
      </c>
      <c r="L153" s="466">
        <f t="shared" si="44"/>
        <v>1</v>
      </c>
      <c r="M153" s="467">
        <f t="shared" si="44"/>
        <v>0.49780000000000002</v>
      </c>
      <c r="N153" s="1043">
        <f t="shared" si="45"/>
        <v>0</v>
      </c>
    </row>
    <row r="154" spans="1:20" ht="15" customHeight="1">
      <c r="A154" s="855">
        <f t="shared" ref="A154:A236" si="46">A153+1</f>
        <v>139</v>
      </c>
      <c r="B154" s="514"/>
      <c r="C154" s="88"/>
      <c r="D154" s="619"/>
      <c r="E154" s="619"/>
      <c r="F154" s="619"/>
      <c r="M154" s="467"/>
    </row>
    <row r="155" spans="1:20" ht="15" customHeight="1">
      <c r="A155" s="855">
        <f t="shared" si="46"/>
        <v>140</v>
      </c>
      <c r="B155" s="514"/>
      <c r="C155" s="88" t="s">
        <v>300</v>
      </c>
      <c r="D155" s="346">
        <f>SUM(D133:D154)</f>
        <v>0</v>
      </c>
      <c r="E155" s="346">
        <f>SUM(E133:E154)</f>
        <v>0</v>
      </c>
      <c r="F155" s="346">
        <f>SUM(F133:F154)</f>
        <v>0</v>
      </c>
      <c r="I155" s="346">
        <f>SUM(I133:I154)</f>
        <v>0</v>
      </c>
      <c r="K155" s="346">
        <f>SUM(K133:K154)</f>
        <v>0</v>
      </c>
      <c r="M155" s="467"/>
      <c r="N155" s="346">
        <f>SUM(N133:N154)</f>
        <v>0</v>
      </c>
    </row>
    <row r="156" spans="1:20">
      <c r="A156" s="855">
        <f t="shared" si="46"/>
        <v>141</v>
      </c>
      <c r="B156" s="514"/>
      <c r="C156" s="88"/>
      <c r="M156" s="467"/>
    </row>
    <row r="157" spans="1:20">
      <c r="A157" s="855">
        <f t="shared" si="46"/>
        <v>142</v>
      </c>
      <c r="B157" s="707"/>
      <c r="C157" s="620" t="s">
        <v>301</v>
      </c>
      <c r="M157" s="467"/>
    </row>
    <row r="158" spans="1:20">
      <c r="A158" s="855">
        <f t="shared" si="46"/>
        <v>143</v>
      </c>
      <c r="B158" s="514">
        <v>39001</v>
      </c>
      <c r="C158" s="88" t="s">
        <v>1546</v>
      </c>
      <c r="D158" s="346">
        <f>[4]Reserve!$AF86</f>
        <v>107800.0756960001</v>
      </c>
      <c r="E158" s="346">
        <v>0</v>
      </c>
      <c r="F158" s="346">
        <f t="shared" ref="F158:F179" si="47">D158+E158</f>
        <v>107800.0756960001</v>
      </c>
      <c r="G158" s="467">
        <f t="shared" ref="G158:G179" si="48">$G$16</f>
        <v>1</v>
      </c>
      <c r="H158" s="467">
        <f t="shared" ref="H158:H179" si="49">$H$127</f>
        <v>0.49780000000000002</v>
      </c>
      <c r="I158" s="346">
        <f t="shared" ref="I158:I179" si="50">F158*G158*H158</f>
        <v>53662.877681468854</v>
      </c>
      <c r="K158" s="346">
        <f>[4]Reserve!$D86</f>
        <v>105585.24497400007</v>
      </c>
      <c r="L158" s="467">
        <f t="shared" ref="L158:M178" si="51">G158</f>
        <v>1</v>
      </c>
      <c r="M158" s="467">
        <f t="shared" si="51"/>
        <v>0.49780000000000002</v>
      </c>
      <c r="N158" s="346">
        <f t="shared" ref="N158:N179" si="52">K158*L158*M158</f>
        <v>52560.334948057236</v>
      </c>
      <c r="S158" s="467"/>
      <c r="T158" s="467"/>
    </row>
    <row r="159" spans="1:20">
      <c r="A159" s="855">
        <f t="shared" si="46"/>
        <v>144</v>
      </c>
      <c r="B159" s="514">
        <v>39004</v>
      </c>
      <c r="C159" s="88" t="s">
        <v>1530</v>
      </c>
      <c r="D159" s="346">
        <f>[4]Reserve!$AF87</f>
        <v>10649.695865250002</v>
      </c>
      <c r="E159" s="430">
        <v>0</v>
      </c>
      <c r="F159" s="430">
        <f t="shared" si="47"/>
        <v>10649.695865250002</v>
      </c>
      <c r="G159" s="466">
        <f t="shared" si="48"/>
        <v>1</v>
      </c>
      <c r="H159" s="467">
        <f t="shared" si="49"/>
        <v>0.49780000000000002</v>
      </c>
      <c r="I159" s="430">
        <f t="shared" si="50"/>
        <v>5301.4186017214506</v>
      </c>
      <c r="K159" s="346">
        <f>[4]Reserve!$D87</f>
        <v>10155.103158749998</v>
      </c>
      <c r="L159" s="466">
        <f t="shared" si="51"/>
        <v>1</v>
      </c>
      <c r="M159" s="467">
        <f t="shared" si="51"/>
        <v>0.49780000000000002</v>
      </c>
      <c r="N159" s="430">
        <f t="shared" si="52"/>
        <v>5055.2103524257491</v>
      </c>
      <c r="S159" s="467"/>
      <c r="T159" s="467"/>
    </row>
    <row r="160" spans="1:20">
      <c r="A160" s="855">
        <f t="shared" si="46"/>
        <v>145</v>
      </c>
      <c r="B160" s="514">
        <v>39009</v>
      </c>
      <c r="C160" s="88" t="s">
        <v>1531</v>
      </c>
      <c r="D160" s="346">
        <f>[4]Reserve!$AF88</f>
        <v>38834</v>
      </c>
      <c r="E160" s="430">
        <v>0</v>
      </c>
      <c r="F160" s="430">
        <f t="shared" si="47"/>
        <v>38834</v>
      </c>
      <c r="G160" s="466">
        <f t="shared" si="48"/>
        <v>1</v>
      </c>
      <c r="H160" s="467">
        <f t="shared" si="49"/>
        <v>0.49780000000000002</v>
      </c>
      <c r="I160" s="430">
        <f t="shared" si="50"/>
        <v>19331.565200000001</v>
      </c>
      <c r="K160" s="346">
        <f>[4]Reserve!$D88</f>
        <v>38834</v>
      </c>
      <c r="L160" s="466">
        <f t="shared" si="51"/>
        <v>1</v>
      </c>
      <c r="M160" s="467">
        <f t="shared" si="51"/>
        <v>0.49780000000000002</v>
      </c>
      <c r="N160" s="430">
        <f t="shared" si="52"/>
        <v>19331.565200000001</v>
      </c>
      <c r="S160" s="467"/>
      <c r="T160" s="467"/>
    </row>
    <row r="161" spans="1:20">
      <c r="A161" s="855">
        <f t="shared" si="46"/>
        <v>146</v>
      </c>
      <c r="B161" s="514">
        <v>39100</v>
      </c>
      <c r="C161" s="88" t="s">
        <v>1532</v>
      </c>
      <c r="D161" s="346">
        <f>[4]Reserve!$AF89</f>
        <v>38609.33</v>
      </c>
      <c r="E161" s="430">
        <v>0</v>
      </c>
      <c r="F161" s="430">
        <f t="shared" si="47"/>
        <v>38609.33</v>
      </c>
      <c r="G161" s="466">
        <f t="shared" si="48"/>
        <v>1</v>
      </c>
      <c r="H161" s="467">
        <f t="shared" si="49"/>
        <v>0.49780000000000002</v>
      </c>
      <c r="I161" s="430">
        <f t="shared" si="50"/>
        <v>19219.724474000002</v>
      </c>
      <c r="K161" s="346">
        <f>[4]Reserve!$D89</f>
        <v>38609.330000000009</v>
      </c>
      <c r="L161" s="466">
        <f t="shared" si="51"/>
        <v>1</v>
      </c>
      <c r="M161" s="467">
        <f t="shared" si="51"/>
        <v>0.49780000000000002</v>
      </c>
      <c r="N161" s="430">
        <f t="shared" si="52"/>
        <v>19219.724474000006</v>
      </c>
      <c r="S161" s="467"/>
      <c r="T161" s="467"/>
    </row>
    <row r="162" spans="1:20">
      <c r="A162" s="855">
        <f t="shared" si="46"/>
        <v>147</v>
      </c>
      <c r="B162" s="514">
        <v>39101</v>
      </c>
      <c r="C162" s="88" t="s">
        <v>1502</v>
      </c>
      <c r="D162" s="346">
        <f>[4]Reserve!$AF90</f>
        <v>0</v>
      </c>
      <c r="E162" s="430">
        <v>0</v>
      </c>
      <c r="F162" s="430">
        <f t="shared" si="47"/>
        <v>0</v>
      </c>
      <c r="G162" s="466">
        <f t="shared" si="48"/>
        <v>1</v>
      </c>
      <c r="H162" s="467">
        <f t="shared" si="49"/>
        <v>0.49780000000000002</v>
      </c>
      <c r="I162" s="430">
        <f t="shared" si="50"/>
        <v>0</v>
      </c>
      <c r="K162" s="346">
        <f>[4]Reserve!$D90</f>
        <v>0</v>
      </c>
      <c r="L162" s="466">
        <f t="shared" si="51"/>
        <v>1</v>
      </c>
      <c r="M162" s="467">
        <f t="shared" si="51"/>
        <v>0.49780000000000002</v>
      </c>
      <c r="N162" s="430">
        <f t="shared" si="52"/>
        <v>0</v>
      </c>
      <c r="S162" s="467"/>
      <c r="T162" s="467"/>
    </row>
    <row r="163" spans="1:20">
      <c r="A163" s="855">
        <f t="shared" si="46"/>
        <v>148</v>
      </c>
      <c r="B163" s="514">
        <v>39103</v>
      </c>
      <c r="C163" s="88" t="s">
        <v>780</v>
      </c>
      <c r="D163" s="346">
        <f>[4]Reserve!$AF91</f>
        <v>0</v>
      </c>
      <c r="E163" s="430">
        <v>0</v>
      </c>
      <c r="F163" s="430">
        <f t="shared" ref="F163:F167" si="53">D163+E163</f>
        <v>0</v>
      </c>
      <c r="G163" s="466">
        <f t="shared" si="48"/>
        <v>1</v>
      </c>
      <c r="H163" s="467">
        <f t="shared" si="49"/>
        <v>0.49780000000000002</v>
      </c>
      <c r="I163" s="430">
        <f t="shared" si="50"/>
        <v>0</v>
      </c>
      <c r="K163" s="346">
        <f>[4]Reserve!$D91</f>
        <v>0</v>
      </c>
      <c r="L163" s="466">
        <f t="shared" ref="L163:L168" si="54">G163</f>
        <v>1</v>
      </c>
      <c r="M163" s="467">
        <f t="shared" ref="M163:M168" si="55">H163</f>
        <v>0.49780000000000002</v>
      </c>
      <c r="N163" s="430">
        <f t="shared" si="52"/>
        <v>0</v>
      </c>
      <c r="S163" s="467"/>
      <c r="T163" s="467"/>
    </row>
    <row r="164" spans="1:20">
      <c r="A164" s="855">
        <f t="shared" si="46"/>
        <v>149</v>
      </c>
      <c r="B164" s="514">
        <v>39200</v>
      </c>
      <c r="C164" s="88" t="s">
        <v>1547</v>
      </c>
      <c r="D164" s="346">
        <f>[4]Reserve!$AF92</f>
        <v>18465.298346250016</v>
      </c>
      <c r="E164" s="430">
        <v>0</v>
      </c>
      <c r="F164" s="430">
        <f t="shared" si="53"/>
        <v>18465.298346250016</v>
      </c>
      <c r="G164" s="466">
        <f t="shared" si="48"/>
        <v>1</v>
      </c>
      <c r="H164" s="467">
        <f t="shared" si="49"/>
        <v>0.49780000000000002</v>
      </c>
      <c r="I164" s="430">
        <f t="shared" si="50"/>
        <v>9192.0255167632586</v>
      </c>
      <c r="K164" s="346">
        <f>[4]Reserve!$D92</f>
        <v>17727.247481750008</v>
      </c>
      <c r="L164" s="466">
        <f t="shared" si="54"/>
        <v>1</v>
      </c>
      <c r="M164" s="467">
        <f t="shared" si="55"/>
        <v>0.49780000000000002</v>
      </c>
      <c r="N164" s="430">
        <f t="shared" si="52"/>
        <v>8824.6237964151551</v>
      </c>
      <c r="S164" s="467"/>
      <c r="T164" s="467"/>
    </row>
    <row r="165" spans="1:20">
      <c r="A165" s="855">
        <f t="shared" si="46"/>
        <v>150</v>
      </c>
      <c r="B165" s="514">
        <v>39300</v>
      </c>
      <c r="C165" s="88" t="s">
        <v>649</v>
      </c>
      <c r="D165" s="346">
        <f>[4]Reserve!$AF93</f>
        <v>0</v>
      </c>
      <c r="E165" s="430">
        <v>0</v>
      </c>
      <c r="F165" s="430">
        <f t="shared" si="53"/>
        <v>0</v>
      </c>
      <c r="G165" s="466">
        <f t="shared" si="48"/>
        <v>1</v>
      </c>
      <c r="H165" s="467">
        <f t="shared" si="49"/>
        <v>0.49780000000000002</v>
      </c>
      <c r="I165" s="430">
        <f t="shared" si="50"/>
        <v>0</v>
      </c>
      <c r="K165" s="346">
        <f>[4]Reserve!$D93</f>
        <v>0</v>
      </c>
      <c r="L165" s="466">
        <f t="shared" si="54"/>
        <v>1</v>
      </c>
      <c r="M165" s="467">
        <f t="shared" si="55"/>
        <v>0.49780000000000002</v>
      </c>
      <c r="N165" s="430">
        <f t="shared" si="52"/>
        <v>0</v>
      </c>
      <c r="S165" s="467"/>
      <c r="T165" s="467"/>
    </row>
    <row r="166" spans="1:20">
      <c r="A166" s="855">
        <f t="shared" si="46"/>
        <v>151</v>
      </c>
      <c r="B166" s="514">
        <v>39400</v>
      </c>
      <c r="C166" s="88" t="s">
        <v>1535</v>
      </c>
      <c r="D166" s="346">
        <f>[4]Reserve!$AF94</f>
        <v>147872.63032800003</v>
      </c>
      <c r="E166" s="430">
        <v>0</v>
      </c>
      <c r="F166" s="430">
        <f t="shared" si="53"/>
        <v>147872.63032800003</v>
      </c>
      <c r="G166" s="466">
        <f t="shared" si="48"/>
        <v>1</v>
      </c>
      <c r="H166" s="467">
        <f t="shared" si="49"/>
        <v>0.49780000000000002</v>
      </c>
      <c r="I166" s="430">
        <f t="shared" si="50"/>
        <v>73610.995377278421</v>
      </c>
      <c r="K166" s="346">
        <f>[4]Reserve!$D94</f>
        <v>143634.22502400001</v>
      </c>
      <c r="L166" s="466">
        <f t="shared" si="54"/>
        <v>1</v>
      </c>
      <c r="M166" s="467">
        <f t="shared" si="55"/>
        <v>0.49780000000000002</v>
      </c>
      <c r="N166" s="430">
        <f t="shared" si="52"/>
        <v>71501.117216947212</v>
      </c>
      <c r="S166" s="467"/>
      <c r="T166" s="467"/>
    </row>
    <row r="167" spans="1:20">
      <c r="A167" s="855">
        <f t="shared" si="46"/>
        <v>152</v>
      </c>
      <c r="B167" s="514">
        <v>39600</v>
      </c>
      <c r="C167" s="88" t="s">
        <v>1548</v>
      </c>
      <c r="D167" s="346">
        <f>[4]Reserve!$AF95</f>
        <v>9208.4507009999907</v>
      </c>
      <c r="E167" s="430">
        <v>0</v>
      </c>
      <c r="F167" s="430">
        <f t="shared" si="53"/>
        <v>9208.4507009999907</v>
      </c>
      <c r="G167" s="466">
        <f t="shared" si="48"/>
        <v>1</v>
      </c>
      <c r="H167" s="467">
        <f t="shared" si="49"/>
        <v>0.49780000000000002</v>
      </c>
      <c r="I167" s="430">
        <f t="shared" si="50"/>
        <v>4583.9667589577957</v>
      </c>
      <c r="K167" s="346">
        <f>[4]Reserve!$D95</f>
        <v>8693.5068819999942</v>
      </c>
      <c r="L167" s="466">
        <f t="shared" si="54"/>
        <v>1</v>
      </c>
      <c r="M167" s="467">
        <f t="shared" si="55"/>
        <v>0.49780000000000002</v>
      </c>
      <c r="N167" s="430">
        <f t="shared" si="52"/>
        <v>4327.6277258595974</v>
      </c>
      <c r="S167" s="467"/>
      <c r="T167" s="467"/>
    </row>
    <row r="168" spans="1:20">
      <c r="A168" s="855">
        <f t="shared" si="46"/>
        <v>153</v>
      </c>
      <c r="B168" s="514">
        <v>39700</v>
      </c>
      <c r="C168" s="88" t="s">
        <v>1539</v>
      </c>
      <c r="D168" s="346">
        <f>[4]Reserve!$AF96</f>
        <v>-4567.8084249999993</v>
      </c>
      <c r="E168" s="430">
        <v>0</v>
      </c>
      <c r="F168" s="430">
        <f t="shared" si="47"/>
        <v>-4567.8084249999993</v>
      </c>
      <c r="G168" s="466">
        <f t="shared" si="48"/>
        <v>1</v>
      </c>
      <c r="H168" s="467">
        <f t="shared" si="49"/>
        <v>0.49780000000000002</v>
      </c>
      <c r="I168" s="430">
        <f t="shared" si="50"/>
        <v>-2273.8550339649996</v>
      </c>
      <c r="K168" s="346">
        <f>[4]Reserve!$D96</f>
        <v>-6118.2517249999983</v>
      </c>
      <c r="L168" s="466">
        <f t="shared" si="54"/>
        <v>1</v>
      </c>
      <c r="M168" s="467">
        <f t="shared" si="55"/>
        <v>0.49780000000000002</v>
      </c>
      <c r="N168" s="430">
        <f t="shared" si="52"/>
        <v>-3045.6657087049994</v>
      </c>
      <c r="S168" s="467"/>
      <c r="T168" s="467"/>
    </row>
    <row r="169" spans="1:20">
      <c r="A169" s="855">
        <f t="shared" si="46"/>
        <v>154</v>
      </c>
      <c r="B169" s="514">
        <v>39701</v>
      </c>
      <c r="C169" s="88" t="s">
        <v>1499</v>
      </c>
      <c r="D169" s="346">
        <f>[4]Reserve!$AF97</f>
        <v>0</v>
      </c>
      <c r="E169" s="430">
        <v>0</v>
      </c>
      <c r="F169" s="430">
        <f t="shared" si="47"/>
        <v>0</v>
      </c>
      <c r="G169" s="466">
        <f t="shared" si="48"/>
        <v>1</v>
      </c>
      <c r="H169" s="467">
        <f t="shared" si="49"/>
        <v>0.49780000000000002</v>
      </c>
      <c r="I169" s="430">
        <f t="shared" si="50"/>
        <v>0</v>
      </c>
      <c r="K169" s="346">
        <f>[4]Reserve!$D97</f>
        <v>0</v>
      </c>
      <c r="L169" s="466">
        <f t="shared" si="51"/>
        <v>1</v>
      </c>
      <c r="M169" s="467">
        <f t="shared" si="51"/>
        <v>0.49780000000000002</v>
      </c>
      <c r="N169" s="430">
        <f t="shared" si="52"/>
        <v>0</v>
      </c>
      <c r="S169" s="467"/>
      <c r="T169" s="467"/>
    </row>
    <row r="170" spans="1:20">
      <c r="A170" s="855">
        <f t="shared" si="46"/>
        <v>155</v>
      </c>
      <c r="B170" s="707">
        <v>39702</v>
      </c>
      <c r="C170" s="88" t="s">
        <v>1499</v>
      </c>
      <c r="D170" s="346">
        <f>[4]Reserve!$AF98</f>
        <v>0</v>
      </c>
      <c r="E170" s="430">
        <v>0</v>
      </c>
      <c r="F170" s="430">
        <f t="shared" si="47"/>
        <v>0</v>
      </c>
      <c r="G170" s="466">
        <f t="shared" si="48"/>
        <v>1</v>
      </c>
      <c r="H170" s="467">
        <f t="shared" si="49"/>
        <v>0.49780000000000002</v>
      </c>
      <c r="I170" s="430">
        <f t="shared" si="50"/>
        <v>0</v>
      </c>
      <c r="K170" s="346">
        <f>[4]Reserve!$D98</f>
        <v>0</v>
      </c>
      <c r="L170" s="466">
        <f t="shared" si="51"/>
        <v>1</v>
      </c>
      <c r="M170" s="467">
        <f t="shared" si="51"/>
        <v>0.49780000000000002</v>
      </c>
      <c r="N170" s="430">
        <f t="shared" si="52"/>
        <v>0</v>
      </c>
      <c r="S170" s="467"/>
      <c r="T170" s="467"/>
    </row>
    <row r="171" spans="1:20">
      <c r="A171" s="855">
        <f t="shared" si="46"/>
        <v>156</v>
      </c>
      <c r="B171" s="707">
        <v>39800</v>
      </c>
      <c r="C171" s="88" t="s">
        <v>1541</v>
      </c>
      <c r="D171" s="346">
        <f>[4]Reserve!$AF99</f>
        <v>731220.99206000089</v>
      </c>
      <c r="E171" s="430">
        <v>0</v>
      </c>
      <c r="F171" s="430">
        <f t="shared" si="47"/>
        <v>731220.99206000089</v>
      </c>
      <c r="G171" s="466">
        <f t="shared" si="48"/>
        <v>1</v>
      </c>
      <c r="H171" s="467">
        <f t="shared" si="49"/>
        <v>0.49780000000000002</v>
      </c>
      <c r="I171" s="430">
        <f t="shared" si="50"/>
        <v>364001.80984746845</v>
      </c>
      <c r="K171" s="346">
        <f>[4]Reserve!$D99</f>
        <v>720392.57255600044</v>
      </c>
      <c r="L171" s="466">
        <f t="shared" si="51"/>
        <v>1</v>
      </c>
      <c r="M171" s="467">
        <f t="shared" si="51"/>
        <v>0.49780000000000002</v>
      </c>
      <c r="N171" s="430">
        <f t="shared" si="52"/>
        <v>358611.42261837702</v>
      </c>
      <c r="S171" s="467"/>
      <c r="T171" s="467"/>
    </row>
    <row r="172" spans="1:20">
      <c r="A172" s="855">
        <f t="shared" si="46"/>
        <v>157</v>
      </c>
      <c r="B172" s="707">
        <v>39900</v>
      </c>
      <c r="C172" s="88" t="s">
        <v>1549</v>
      </c>
      <c r="D172" s="346">
        <f>[4]Reserve!$AF100</f>
        <v>0</v>
      </c>
      <c r="E172" s="430">
        <v>0</v>
      </c>
      <c r="F172" s="430">
        <f t="shared" si="47"/>
        <v>0</v>
      </c>
      <c r="G172" s="466">
        <f t="shared" si="48"/>
        <v>1</v>
      </c>
      <c r="H172" s="467">
        <f t="shared" si="49"/>
        <v>0.49780000000000002</v>
      </c>
      <c r="I172" s="430">
        <f t="shared" si="50"/>
        <v>0</v>
      </c>
      <c r="K172" s="346">
        <f>[4]Reserve!$D100</f>
        <v>0</v>
      </c>
      <c r="L172" s="466">
        <f t="shared" si="51"/>
        <v>1</v>
      </c>
      <c r="M172" s="467">
        <f t="shared" si="51"/>
        <v>0.49780000000000002</v>
      </c>
      <c r="N172" s="430">
        <f t="shared" si="52"/>
        <v>0</v>
      </c>
      <c r="S172" s="467"/>
      <c r="T172" s="467"/>
    </row>
    <row r="173" spans="1:20">
      <c r="A173" s="855">
        <f t="shared" si="46"/>
        <v>158</v>
      </c>
      <c r="B173" s="707">
        <v>39901</v>
      </c>
      <c r="C173" s="88" t="s">
        <v>1550</v>
      </c>
      <c r="D173" s="346">
        <f>[4]Reserve!$AF101</f>
        <v>-34765.769999999997</v>
      </c>
      <c r="E173" s="430">
        <v>0</v>
      </c>
      <c r="F173" s="430">
        <f t="shared" si="47"/>
        <v>-34765.769999999997</v>
      </c>
      <c r="G173" s="466">
        <f t="shared" si="48"/>
        <v>1</v>
      </c>
      <c r="H173" s="467">
        <f t="shared" si="49"/>
        <v>0.49780000000000002</v>
      </c>
      <c r="I173" s="430">
        <f t="shared" si="50"/>
        <v>-17306.400306</v>
      </c>
      <c r="K173" s="346">
        <f>[4]Reserve!$D101</f>
        <v>-34765.770000000004</v>
      </c>
      <c r="L173" s="466">
        <f t="shared" si="51"/>
        <v>1</v>
      </c>
      <c r="M173" s="467">
        <f t="shared" si="51"/>
        <v>0.49780000000000002</v>
      </c>
      <c r="N173" s="430">
        <f t="shared" si="52"/>
        <v>-17306.400306000003</v>
      </c>
      <c r="S173" s="467"/>
      <c r="T173" s="467"/>
    </row>
    <row r="174" spans="1:20">
      <c r="A174" s="855">
        <f t="shared" si="46"/>
        <v>159</v>
      </c>
      <c r="B174" s="707">
        <v>39902</v>
      </c>
      <c r="C174" s="88" t="s">
        <v>1551</v>
      </c>
      <c r="D174" s="346">
        <f>[4]Reserve!$AF102</f>
        <v>0</v>
      </c>
      <c r="E174" s="430">
        <v>0</v>
      </c>
      <c r="F174" s="430">
        <f t="shared" si="47"/>
        <v>0</v>
      </c>
      <c r="G174" s="466">
        <f t="shared" si="48"/>
        <v>1</v>
      </c>
      <c r="H174" s="467">
        <f t="shared" si="49"/>
        <v>0.49780000000000002</v>
      </c>
      <c r="I174" s="430">
        <f t="shared" si="50"/>
        <v>0</v>
      </c>
      <c r="K174" s="346">
        <f>[4]Reserve!$D102</f>
        <v>0</v>
      </c>
      <c r="L174" s="466">
        <f t="shared" si="51"/>
        <v>1</v>
      </c>
      <c r="M174" s="467">
        <f t="shared" si="51"/>
        <v>0.49780000000000002</v>
      </c>
      <c r="N174" s="430">
        <f t="shared" si="52"/>
        <v>0</v>
      </c>
      <c r="S174" s="467"/>
      <c r="T174" s="467"/>
    </row>
    <row r="175" spans="1:20">
      <c r="A175" s="855">
        <f t="shared" si="46"/>
        <v>160</v>
      </c>
      <c r="B175" s="707">
        <v>39903</v>
      </c>
      <c r="C175" s="88" t="s">
        <v>1542</v>
      </c>
      <c r="D175" s="346">
        <f>[4]Reserve!$AF103</f>
        <v>0</v>
      </c>
      <c r="E175" s="430">
        <v>0</v>
      </c>
      <c r="F175" s="430">
        <f t="shared" si="47"/>
        <v>0</v>
      </c>
      <c r="G175" s="466">
        <f t="shared" si="48"/>
        <v>1</v>
      </c>
      <c r="H175" s="467">
        <f t="shared" si="49"/>
        <v>0.49780000000000002</v>
      </c>
      <c r="I175" s="430">
        <f t="shared" si="50"/>
        <v>0</v>
      </c>
      <c r="K175" s="346">
        <f>[4]Reserve!$D103</f>
        <v>0</v>
      </c>
      <c r="L175" s="466">
        <f t="shared" si="51"/>
        <v>1</v>
      </c>
      <c r="M175" s="467">
        <f t="shared" si="51"/>
        <v>0.49780000000000002</v>
      </c>
      <c r="N175" s="430">
        <f t="shared" si="52"/>
        <v>0</v>
      </c>
      <c r="S175" s="467"/>
      <c r="T175" s="467"/>
    </row>
    <row r="176" spans="1:20">
      <c r="A176" s="855">
        <f t="shared" si="46"/>
        <v>161</v>
      </c>
      <c r="B176" s="707">
        <v>39906</v>
      </c>
      <c r="C176" s="88" t="s">
        <v>1543</v>
      </c>
      <c r="D176" s="346">
        <f>[4]Reserve!$AF104</f>
        <v>70196.03</v>
      </c>
      <c r="E176" s="430">
        <v>0</v>
      </c>
      <c r="F176" s="430">
        <f t="shared" si="47"/>
        <v>70196.03</v>
      </c>
      <c r="G176" s="466">
        <f t="shared" si="48"/>
        <v>1</v>
      </c>
      <c r="H176" s="467">
        <f t="shared" si="49"/>
        <v>0.49780000000000002</v>
      </c>
      <c r="I176" s="430">
        <f t="shared" si="50"/>
        <v>34943.583734</v>
      </c>
      <c r="K176" s="346">
        <f>[4]Reserve!$D104</f>
        <v>70196.030000000013</v>
      </c>
      <c r="L176" s="466">
        <f t="shared" si="51"/>
        <v>1</v>
      </c>
      <c r="M176" s="467">
        <f t="shared" si="51"/>
        <v>0.49780000000000002</v>
      </c>
      <c r="N176" s="430">
        <f t="shared" si="52"/>
        <v>34943.583734000007</v>
      </c>
      <c r="S176" s="467"/>
      <c r="T176" s="467"/>
    </row>
    <row r="177" spans="1:20">
      <c r="A177" s="855">
        <f t="shared" si="46"/>
        <v>162</v>
      </c>
      <c r="B177" s="707">
        <v>39907</v>
      </c>
      <c r="C177" s="88" t="s">
        <v>1544</v>
      </c>
      <c r="D177" s="346">
        <f>[4]Reserve!$AF105</f>
        <v>52943.045023083308</v>
      </c>
      <c r="E177" s="430">
        <v>0</v>
      </c>
      <c r="F177" s="430">
        <f t="shared" si="47"/>
        <v>52943.045023083308</v>
      </c>
      <c r="G177" s="466">
        <f t="shared" si="48"/>
        <v>1</v>
      </c>
      <c r="H177" s="467">
        <f t="shared" si="49"/>
        <v>0.49780000000000002</v>
      </c>
      <c r="I177" s="430">
        <f t="shared" si="50"/>
        <v>26355.047812490873</v>
      </c>
      <c r="K177" s="346">
        <f>[4]Reserve!$D105</f>
        <v>41658.477719525617</v>
      </c>
      <c r="L177" s="466">
        <f t="shared" si="51"/>
        <v>1</v>
      </c>
      <c r="M177" s="467">
        <f t="shared" si="51"/>
        <v>0.49780000000000002</v>
      </c>
      <c r="N177" s="430">
        <f t="shared" si="52"/>
        <v>20737.590208779853</v>
      </c>
      <c r="S177" s="467"/>
      <c r="T177" s="467"/>
    </row>
    <row r="178" spans="1:20">
      <c r="A178" s="855">
        <f t="shared" si="46"/>
        <v>163</v>
      </c>
      <c r="B178" s="707">
        <v>39908</v>
      </c>
      <c r="C178" s="88" t="s">
        <v>1545</v>
      </c>
      <c r="D178" s="346">
        <f>[4]Reserve!$AF106</f>
        <v>828509.36</v>
      </c>
      <c r="E178" s="430">
        <v>0</v>
      </c>
      <c r="F178" s="430">
        <f t="shared" si="47"/>
        <v>828509.36</v>
      </c>
      <c r="G178" s="466">
        <f t="shared" si="48"/>
        <v>1</v>
      </c>
      <c r="H178" s="467">
        <f t="shared" si="49"/>
        <v>0.49780000000000002</v>
      </c>
      <c r="I178" s="430">
        <f t="shared" si="50"/>
        <v>412431.959408</v>
      </c>
      <c r="K178" s="346">
        <f>[4]Reserve!$D106</f>
        <v>828509.36</v>
      </c>
      <c r="L178" s="466">
        <f t="shared" si="51"/>
        <v>1</v>
      </c>
      <c r="M178" s="467">
        <f t="shared" si="51"/>
        <v>0.49780000000000002</v>
      </c>
      <c r="N178" s="430">
        <f t="shared" si="52"/>
        <v>412431.959408</v>
      </c>
      <c r="S178" s="467"/>
      <c r="T178" s="467"/>
    </row>
    <row r="179" spans="1:20">
      <c r="A179" s="855">
        <f t="shared" si="46"/>
        <v>164</v>
      </c>
      <c r="B179" s="707"/>
      <c r="C179" s="88" t="s">
        <v>1143</v>
      </c>
      <c r="D179" s="346">
        <f>[4]Reserve!$AF107</f>
        <v>52517.30000000001</v>
      </c>
      <c r="E179" s="807"/>
      <c r="F179" s="430">
        <f t="shared" si="47"/>
        <v>52517.30000000001</v>
      </c>
      <c r="G179" s="466">
        <f t="shared" si="48"/>
        <v>1</v>
      </c>
      <c r="H179" s="467">
        <f t="shared" si="49"/>
        <v>0.49780000000000002</v>
      </c>
      <c r="I179" s="1043">
        <f t="shared" si="50"/>
        <v>26143.111940000006</v>
      </c>
      <c r="K179" s="346">
        <f>[4]Reserve!$D107</f>
        <v>52517.30000000001</v>
      </c>
      <c r="L179" s="466">
        <f>G179</f>
        <v>1</v>
      </c>
      <c r="M179" s="467">
        <f>H179</f>
        <v>0.49780000000000002</v>
      </c>
      <c r="N179" s="1043">
        <f t="shared" si="52"/>
        <v>26143.111940000006</v>
      </c>
      <c r="S179" s="467"/>
      <c r="T179" s="467"/>
    </row>
    <row r="180" spans="1:20">
      <c r="A180" s="855">
        <f t="shared" si="46"/>
        <v>165</v>
      </c>
      <c r="B180" s="390"/>
      <c r="C180" s="88"/>
      <c r="D180" s="619"/>
      <c r="E180" s="619"/>
      <c r="F180" s="619"/>
    </row>
    <row r="181" spans="1:20" ht="15" customHeight="1">
      <c r="A181" s="855">
        <f t="shared" si="46"/>
        <v>166</v>
      </c>
      <c r="B181" s="390"/>
      <c r="C181" s="88" t="s">
        <v>4</v>
      </c>
      <c r="D181" s="346">
        <f>SUM(D158:D179)</f>
        <v>2067492.6295945842</v>
      </c>
      <c r="E181" s="346">
        <f>SUM(E158:E179)</f>
        <v>0</v>
      </c>
      <c r="F181" s="346">
        <f>SUM(F158:F179)</f>
        <v>2067492.6295945842</v>
      </c>
      <c r="I181" s="346">
        <f>SUM(I158:I179)</f>
        <v>1029197.831012184</v>
      </c>
      <c r="K181" s="346">
        <f>SUM(K158:K179)</f>
        <v>2035628.3760710263</v>
      </c>
      <c r="N181" s="346">
        <f>SUM(N158:N179)</f>
        <v>1013335.8056081568</v>
      </c>
    </row>
    <row r="182" spans="1:20" ht="15" customHeight="1">
      <c r="A182" s="855">
        <f t="shared" si="46"/>
        <v>167</v>
      </c>
      <c r="B182" s="390"/>
      <c r="C182" s="88"/>
    </row>
    <row r="183" spans="1:20" ht="15" customHeight="1" thickBot="1">
      <c r="A183" s="855">
        <f t="shared" si="46"/>
        <v>168</v>
      </c>
      <c r="B183" s="390"/>
      <c r="C183" s="233" t="s">
        <v>1327</v>
      </c>
      <c r="D183" s="329">
        <f>D130+D155+D181</f>
        <v>2067492.6295945842</v>
      </c>
      <c r="E183" s="329">
        <f>E130+E155+E181</f>
        <v>0</v>
      </c>
      <c r="F183" s="329">
        <f>F130+F155+F181</f>
        <v>2067492.6295945842</v>
      </c>
      <c r="I183" s="329">
        <f>I130+I155+I181</f>
        <v>1029197.831012184</v>
      </c>
      <c r="K183" s="329">
        <f>K130+K155+K181</f>
        <v>2035628.3760710263</v>
      </c>
      <c r="N183" s="329">
        <f>N130+N155+N181</f>
        <v>1013335.8056081568</v>
      </c>
    </row>
    <row r="184" spans="1:20" ht="15" customHeight="1" thickTop="1">
      <c r="A184" s="855">
        <f t="shared" si="46"/>
        <v>169</v>
      </c>
      <c r="B184" s="1039"/>
      <c r="D184" s="617"/>
      <c r="E184" s="328"/>
    </row>
    <row r="185" spans="1:20" ht="15" customHeight="1">
      <c r="A185" s="855">
        <f t="shared" si="46"/>
        <v>170</v>
      </c>
      <c r="B185" s="1044" t="s">
        <v>8</v>
      </c>
      <c r="D185" s="617"/>
      <c r="E185" s="328"/>
    </row>
    <row r="186" spans="1:20" ht="15" customHeight="1">
      <c r="A186" s="855">
        <f t="shared" si="46"/>
        <v>171</v>
      </c>
      <c r="D186" s="617"/>
    </row>
    <row r="187" spans="1:20" ht="15" customHeight="1">
      <c r="A187" s="855">
        <f t="shared" si="46"/>
        <v>172</v>
      </c>
      <c r="B187" s="390"/>
      <c r="C187" s="620" t="s">
        <v>301</v>
      </c>
      <c r="D187" s="617"/>
    </row>
    <row r="188" spans="1:20" ht="15" customHeight="1">
      <c r="A188" s="855">
        <f t="shared" si="46"/>
        <v>173</v>
      </c>
      <c r="B188" s="514">
        <v>39000</v>
      </c>
      <c r="C188" s="88" t="s">
        <v>1527</v>
      </c>
      <c r="D188" s="346">
        <f>[4]Reserve!$AF7</f>
        <v>582514.55541571346</v>
      </c>
      <c r="E188" s="346">
        <v>0</v>
      </c>
      <c r="F188" s="346">
        <f t="shared" ref="F188:F226" si="56">D188+E188</f>
        <v>582514.55541571346</v>
      </c>
      <c r="G188" s="467">
        <f>Allocation!$C$14</f>
        <v>0.104</v>
      </c>
      <c r="H188" s="467">
        <f>Allocation!$D$14</f>
        <v>0.49780000000000002</v>
      </c>
      <c r="I188" s="430">
        <f t="shared" ref="I188:I195" si="57">F188*G188*H188</f>
        <v>30157.477551337983</v>
      </c>
      <c r="K188" s="346">
        <f>[4]Reserve!$D7</f>
        <v>555047.88364092272</v>
      </c>
      <c r="L188" s="467">
        <f>G188</f>
        <v>0.104</v>
      </c>
      <c r="M188" s="467">
        <f t="shared" ref="M188" si="58">H188</f>
        <v>0.49780000000000002</v>
      </c>
      <c r="N188" s="346">
        <f t="shared" ref="N188:N226" si="59">K188*L188*M188</f>
        <v>28735.494993550939</v>
      </c>
      <c r="P188" s="661"/>
      <c r="S188" s="467"/>
      <c r="T188" s="467"/>
    </row>
    <row r="189" spans="1:20" ht="15" customHeight="1">
      <c r="A189" s="855">
        <f t="shared" si="46"/>
        <v>174</v>
      </c>
      <c r="B189" s="514">
        <v>39005</v>
      </c>
      <c r="C189" s="88" t="s">
        <v>1552</v>
      </c>
      <c r="D189" s="346">
        <f>[4]Reserve!$AF8</f>
        <v>4093327.6232697456</v>
      </c>
      <c r="E189" s="622">
        <v>0</v>
      </c>
      <c r="F189" s="430">
        <f t="shared" si="56"/>
        <v>4093327.6232697456</v>
      </c>
      <c r="G189" s="467">
        <v>1</v>
      </c>
      <c r="H189" s="467">
        <f>Allocation!$E$20</f>
        <v>1.570628E-2</v>
      </c>
      <c r="I189" s="430">
        <f t="shared" si="57"/>
        <v>64290.949782809141</v>
      </c>
      <c r="K189" s="346">
        <f>[4]Reserve!$D8</f>
        <v>3955061.1366212466</v>
      </c>
      <c r="L189" s="467">
        <f t="shared" ref="L189:L216" si="60">G189</f>
        <v>1</v>
      </c>
      <c r="M189" s="467">
        <f t="shared" ref="M189:M216" si="61">H189</f>
        <v>1.570628E-2</v>
      </c>
      <c r="N189" s="430">
        <f t="shared" si="59"/>
        <v>62119.297628891552</v>
      </c>
      <c r="P189" s="1176"/>
      <c r="S189" s="467"/>
      <c r="T189" s="467"/>
    </row>
    <row r="190" spans="1:20" ht="15" customHeight="1">
      <c r="A190" s="855">
        <f t="shared" si="46"/>
        <v>175</v>
      </c>
      <c r="B190" s="514">
        <v>39009</v>
      </c>
      <c r="C190" s="88" t="s">
        <v>1531</v>
      </c>
      <c r="D190" s="346">
        <f>[4]Reserve!$AF9</f>
        <v>9316766.3500000034</v>
      </c>
      <c r="E190" s="622">
        <v>0</v>
      </c>
      <c r="F190" s="430">
        <f t="shared" si="56"/>
        <v>9316766.3500000034</v>
      </c>
      <c r="G190" s="467">
        <f>$G$188</f>
        <v>0.104</v>
      </c>
      <c r="H190" s="467">
        <f>$H$188</f>
        <v>0.49780000000000002</v>
      </c>
      <c r="I190" s="430">
        <f t="shared" si="57"/>
        <v>482340.17405912018</v>
      </c>
      <c r="K190" s="346">
        <f>[4]Reserve!$D9</f>
        <v>9316766.3500000052</v>
      </c>
      <c r="L190" s="467">
        <f t="shared" si="60"/>
        <v>0.104</v>
      </c>
      <c r="M190" s="467">
        <f t="shared" si="61"/>
        <v>0.49780000000000002</v>
      </c>
      <c r="N190" s="430">
        <f t="shared" si="59"/>
        <v>482340.1740591203</v>
      </c>
      <c r="P190" s="1177"/>
      <c r="S190" s="467"/>
      <c r="T190" s="467"/>
    </row>
    <row r="191" spans="1:20" ht="15" customHeight="1">
      <c r="A191" s="855">
        <f t="shared" si="46"/>
        <v>176</v>
      </c>
      <c r="B191" s="514">
        <v>39020</v>
      </c>
      <c r="C191" s="88" t="s">
        <v>1503</v>
      </c>
      <c r="D191" s="346">
        <f>[4]Reserve!$AF10</f>
        <v>-0.04</v>
      </c>
      <c r="E191" s="622">
        <v>0</v>
      </c>
      <c r="F191" s="430">
        <f t="shared" si="56"/>
        <v>-0.04</v>
      </c>
      <c r="G191" s="467">
        <v>1</v>
      </c>
      <c r="H191" s="467">
        <f>Allocation!$E$22</f>
        <v>6.3622429999999994E-2</v>
      </c>
      <c r="I191" s="430">
        <f t="shared" si="57"/>
        <v>-2.5448971999999996E-3</v>
      </c>
      <c r="K191" s="346">
        <f>[4]Reserve!$D10</f>
        <v>-3.9999999999999994E-2</v>
      </c>
      <c r="L191" s="467">
        <f t="shared" si="60"/>
        <v>1</v>
      </c>
      <c r="M191" s="467">
        <f t="shared" si="61"/>
        <v>6.3622429999999994E-2</v>
      </c>
      <c r="N191" s="430">
        <f t="shared" si="59"/>
        <v>-2.5448971999999992E-3</v>
      </c>
      <c r="P191" s="661"/>
      <c r="S191" s="467"/>
      <c r="T191" s="467"/>
    </row>
    <row r="192" spans="1:20" ht="15" customHeight="1">
      <c r="A192" s="855">
        <f t="shared" si="46"/>
        <v>177</v>
      </c>
      <c r="B192" s="514">
        <v>39029</v>
      </c>
      <c r="C192" s="88" t="s">
        <v>1504</v>
      </c>
      <c r="D192" s="346">
        <f>[4]Reserve!$AF11</f>
        <v>736.1581180960718</v>
      </c>
      <c r="E192" s="622">
        <f>0</f>
        <v>0</v>
      </c>
      <c r="F192" s="430">
        <f t="shared" si="56"/>
        <v>736.1581180960718</v>
      </c>
      <c r="G192" s="467">
        <v>1</v>
      </c>
      <c r="H192" s="467">
        <f>Allocation!$E$22</f>
        <v>6.3622429999999994E-2</v>
      </c>
      <c r="I192" s="430">
        <f t="shared" si="57"/>
        <v>46.836168337499053</v>
      </c>
      <c r="K192" s="346">
        <f>[4]Reserve!$D11</f>
        <v>432.87688030568194</v>
      </c>
      <c r="L192" s="467">
        <f t="shared" si="60"/>
        <v>1</v>
      </c>
      <c r="M192" s="467">
        <f t="shared" si="61"/>
        <v>6.3622429999999994E-2</v>
      </c>
      <c r="N192" s="430">
        <f t="shared" si="59"/>
        <v>27.540679015866626</v>
      </c>
      <c r="P192" s="661"/>
      <c r="S192" s="467"/>
      <c r="T192" s="467"/>
    </row>
    <row r="193" spans="1:20" ht="15" customHeight="1">
      <c r="A193" s="855">
        <f t="shared" si="46"/>
        <v>178</v>
      </c>
      <c r="B193" s="514">
        <v>39100</v>
      </c>
      <c r="C193" s="88" t="s">
        <v>1532</v>
      </c>
      <c r="D193" s="346">
        <f>[4]Reserve!$AF12</f>
        <v>2207717.0739192823</v>
      </c>
      <c r="E193" s="622">
        <f>0</f>
        <v>0</v>
      </c>
      <c r="F193" s="430">
        <f t="shared" ref="F193:F206" si="62">D193+E193</f>
        <v>2207717.0739192823</v>
      </c>
      <c r="G193" s="467">
        <f>$G$188</f>
        <v>0.104</v>
      </c>
      <c r="H193" s="467">
        <f>$H$188</f>
        <v>0.49780000000000002</v>
      </c>
      <c r="I193" s="430">
        <f t="shared" si="57"/>
        <v>114296.16217728994</v>
      </c>
      <c r="K193" s="346">
        <f>[4]Reserve!$D12</f>
        <v>2105155.3256489048</v>
      </c>
      <c r="L193" s="467">
        <f t="shared" si="60"/>
        <v>0.104</v>
      </c>
      <c r="M193" s="467">
        <f t="shared" si="61"/>
        <v>0.49780000000000002</v>
      </c>
      <c r="N193" s="430">
        <f t="shared" si="59"/>
        <v>108986.41739523457</v>
      </c>
      <c r="P193" s="661"/>
      <c r="S193" s="467"/>
      <c r="T193" s="467"/>
    </row>
    <row r="194" spans="1:20" ht="15" customHeight="1">
      <c r="A194" s="855">
        <f t="shared" si="46"/>
        <v>179</v>
      </c>
      <c r="B194" s="514">
        <v>39102</v>
      </c>
      <c r="C194" s="88" t="s">
        <v>1553</v>
      </c>
      <c r="D194" s="346">
        <f>[4]Reserve!$AF13</f>
        <v>1.26</v>
      </c>
      <c r="E194" s="622">
        <f>0</f>
        <v>0</v>
      </c>
      <c r="F194" s="430">
        <f t="shared" si="62"/>
        <v>1.26</v>
      </c>
      <c r="G194" s="467">
        <f>$G$188</f>
        <v>0.104</v>
      </c>
      <c r="H194" s="467">
        <f>$H$188</f>
        <v>0.49780000000000002</v>
      </c>
      <c r="I194" s="430">
        <f t="shared" si="57"/>
        <v>6.5231711999999997E-2</v>
      </c>
      <c r="K194" s="346">
        <f>[4]Reserve!$D13</f>
        <v>1.26</v>
      </c>
      <c r="L194" s="467">
        <f t="shared" si="60"/>
        <v>0.104</v>
      </c>
      <c r="M194" s="467">
        <f t="shared" si="61"/>
        <v>0.49780000000000002</v>
      </c>
      <c r="N194" s="430">
        <f t="shared" si="59"/>
        <v>6.5231711999999997E-2</v>
      </c>
      <c r="P194" s="661"/>
      <c r="S194" s="467"/>
      <c r="T194" s="467"/>
    </row>
    <row r="195" spans="1:20" ht="15" customHeight="1">
      <c r="A195" s="855">
        <f t="shared" si="46"/>
        <v>180</v>
      </c>
      <c r="B195" s="514">
        <v>39103</v>
      </c>
      <c r="C195" s="88" t="s">
        <v>1323</v>
      </c>
      <c r="D195" s="346">
        <f>[4]Reserve!$AF14</f>
        <v>0.45</v>
      </c>
      <c r="E195" s="622">
        <f>0</f>
        <v>0</v>
      </c>
      <c r="F195" s="430">
        <f t="shared" si="62"/>
        <v>0.45</v>
      </c>
      <c r="G195" s="467">
        <f>$G$188</f>
        <v>0.104</v>
      </c>
      <c r="H195" s="467">
        <f>$H$188</f>
        <v>0.49780000000000002</v>
      </c>
      <c r="I195" s="430">
        <f t="shared" si="57"/>
        <v>2.3297040000000001E-2</v>
      </c>
      <c r="K195" s="346">
        <f>[4]Reserve!$D14</f>
        <v>0.45000000000000012</v>
      </c>
      <c r="L195" s="467">
        <f t="shared" si="60"/>
        <v>0.104</v>
      </c>
      <c r="M195" s="467">
        <f t="shared" si="61"/>
        <v>0.49780000000000002</v>
      </c>
      <c r="N195" s="430">
        <f t="shared" si="59"/>
        <v>2.3297040000000005E-2</v>
      </c>
      <c r="P195" s="661"/>
      <c r="S195" s="467"/>
      <c r="T195" s="467"/>
    </row>
    <row r="196" spans="1:20" ht="15" customHeight="1">
      <c r="A196" s="855">
        <f t="shared" si="46"/>
        <v>181</v>
      </c>
      <c r="B196" s="514">
        <v>39104</v>
      </c>
      <c r="C196" s="88" t="s">
        <v>1554</v>
      </c>
      <c r="D196" s="346">
        <f>[4]Reserve!$AF15</f>
        <v>40482.077896641276</v>
      </c>
      <c r="E196" s="622">
        <f>0</f>
        <v>0</v>
      </c>
      <c r="F196" s="430">
        <f t="shared" si="62"/>
        <v>40482.077896641276</v>
      </c>
      <c r="G196" s="467">
        <v>1</v>
      </c>
      <c r="H196" s="467">
        <f>Allocation!$E$20</f>
        <v>1.570628E-2</v>
      </c>
      <c r="I196" s="430">
        <f>F196*G196*H196</f>
        <v>635.8228504264589</v>
      </c>
      <c r="K196" s="346">
        <f>[4]Reserve!$D15</f>
        <v>37319.893444103283</v>
      </c>
      <c r="L196" s="467">
        <f t="shared" si="60"/>
        <v>1</v>
      </c>
      <c r="M196" s="467">
        <f t="shared" si="61"/>
        <v>1.570628E-2</v>
      </c>
      <c r="N196" s="430">
        <f t="shared" si="59"/>
        <v>586.15669600325054</v>
      </c>
      <c r="P196" s="1176"/>
      <c r="S196" s="467"/>
      <c r="T196" s="467"/>
    </row>
    <row r="197" spans="1:20" ht="15" customHeight="1">
      <c r="A197" s="855">
        <f t="shared" si="46"/>
        <v>182</v>
      </c>
      <c r="B197" s="514">
        <v>39120</v>
      </c>
      <c r="C197" s="88" t="s">
        <v>1505</v>
      </c>
      <c r="D197" s="346">
        <f>[4]Reserve!$AF16</f>
        <v>120388.61577700012</v>
      </c>
      <c r="E197" s="622">
        <f>0</f>
        <v>0</v>
      </c>
      <c r="F197" s="430">
        <f t="shared" si="62"/>
        <v>120388.61577700012</v>
      </c>
      <c r="G197" s="467">
        <v>1</v>
      </c>
      <c r="H197" s="467">
        <f>Allocation!$E$22</f>
        <v>6.3622429999999994E-2</v>
      </c>
      <c r="I197" s="430">
        <f t="shared" ref="I197:I226" si="63">F197*G197*H197</f>
        <v>7659.4162800690847</v>
      </c>
      <c r="K197" s="346">
        <f>[4]Reserve!$D16</f>
        <v>115174.52555500009</v>
      </c>
      <c r="L197" s="467">
        <f t="shared" si="60"/>
        <v>1</v>
      </c>
      <c r="M197" s="467">
        <f t="shared" si="61"/>
        <v>6.3622429999999994E-2</v>
      </c>
      <c r="N197" s="430">
        <f t="shared" si="59"/>
        <v>7327.6831899062036</v>
      </c>
      <c r="P197" s="661"/>
      <c r="S197" s="467"/>
      <c r="T197" s="467"/>
    </row>
    <row r="198" spans="1:20" ht="15" customHeight="1">
      <c r="A198" s="855">
        <f t="shared" si="46"/>
        <v>183</v>
      </c>
      <c r="B198" s="514">
        <v>39200</v>
      </c>
      <c r="C198" s="88" t="s">
        <v>1533</v>
      </c>
      <c r="D198" s="346">
        <f>[4]Reserve!$AF17</f>
        <v>6534.9535894999954</v>
      </c>
      <c r="E198" s="622">
        <f>0</f>
        <v>0</v>
      </c>
      <c r="F198" s="430">
        <f t="shared" si="62"/>
        <v>6534.9535894999954</v>
      </c>
      <c r="G198" s="467">
        <f t="shared" ref="G198:G200" si="64">$G$188</f>
        <v>0.104</v>
      </c>
      <c r="H198" s="467">
        <f t="shared" ref="H198:H200" si="65">$H$188</f>
        <v>0.49780000000000002</v>
      </c>
      <c r="I198" s="430">
        <f t="shared" si="63"/>
        <v>338.32238927272215</v>
      </c>
      <c r="K198" s="346">
        <f>[4]Reserve!$D17</f>
        <v>6237.8239924999962</v>
      </c>
      <c r="L198" s="467">
        <f t="shared" si="60"/>
        <v>0.104</v>
      </c>
      <c r="M198" s="467">
        <f t="shared" si="61"/>
        <v>0.49780000000000002</v>
      </c>
      <c r="N198" s="430">
        <f t="shared" si="59"/>
        <v>322.93963348051579</v>
      </c>
      <c r="P198" s="661"/>
      <c r="S198" s="467"/>
      <c r="T198" s="467"/>
    </row>
    <row r="199" spans="1:20" ht="15" customHeight="1">
      <c r="A199" s="855">
        <f t="shared" si="46"/>
        <v>184</v>
      </c>
      <c r="B199" s="514">
        <v>39300</v>
      </c>
      <c r="C199" s="88" t="s">
        <v>1555</v>
      </c>
      <c r="D199" s="346">
        <f>[4]Reserve!$AF18</f>
        <v>0</v>
      </c>
      <c r="E199" s="622">
        <f>0</f>
        <v>0</v>
      </c>
      <c r="F199" s="430">
        <f t="shared" si="62"/>
        <v>0</v>
      </c>
      <c r="G199" s="467">
        <f t="shared" si="64"/>
        <v>0.104</v>
      </c>
      <c r="H199" s="467">
        <f t="shared" si="65"/>
        <v>0.49780000000000002</v>
      </c>
      <c r="I199" s="430">
        <f t="shared" si="63"/>
        <v>0</v>
      </c>
      <c r="K199" s="346">
        <f>[4]Reserve!$D18</f>
        <v>0</v>
      </c>
      <c r="L199" s="467">
        <f t="shared" si="60"/>
        <v>0.104</v>
      </c>
      <c r="M199" s="467">
        <f t="shared" si="61"/>
        <v>0.49780000000000002</v>
      </c>
      <c r="N199" s="430">
        <f t="shared" si="59"/>
        <v>0</v>
      </c>
      <c r="P199" s="661"/>
      <c r="S199" s="467"/>
      <c r="T199" s="467"/>
    </row>
    <row r="200" spans="1:20" ht="15" customHeight="1">
      <c r="A200" s="855">
        <f t="shared" si="46"/>
        <v>185</v>
      </c>
      <c r="B200" s="514">
        <v>39400</v>
      </c>
      <c r="C200" s="88" t="s">
        <v>1535</v>
      </c>
      <c r="D200" s="346">
        <f>[4]Reserve!$AF19</f>
        <v>43928.509526500071</v>
      </c>
      <c r="E200" s="622">
        <f>0</f>
        <v>0</v>
      </c>
      <c r="F200" s="430">
        <f t="shared" si="62"/>
        <v>43928.509526500071</v>
      </c>
      <c r="G200" s="467">
        <f t="shared" si="64"/>
        <v>0.104</v>
      </c>
      <c r="H200" s="467">
        <f t="shared" si="65"/>
        <v>0.49780000000000002</v>
      </c>
      <c r="I200" s="430">
        <f t="shared" si="63"/>
        <v>2274.2316523983404</v>
      </c>
      <c r="K200" s="346">
        <f>[4]Reserve!$D19</f>
        <v>40744.92394750005</v>
      </c>
      <c r="L200" s="467">
        <f t="shared" si="60"/>
        <v>0.104</v>
      </c>
      <c r="M200" s="467">
        <f t="shared" si="61"/>
        <v>0.49780000000000002</v>
      </c>
      <c r="N200" s="430">
        <f t="shared" si="59"/>
        <v>2109.4136066708147</v>
      </c>
      <c r="P200" s="661"/>
      <c r="S200" s="467"/>
      <c r="T200" s="467"/>
    </row>
    <row r="201" spans="1:20" ht="15" customHeight="1">
      <c r="A201" s="855">
        <f t="shared" si="46"/>
        <v>186</v>
      </c>
      <c r="B201" s="514">
        <v>39420</v>
      </c>
      <c r="C201" s="88" t="s">
        <v>1506</v>
      </c>
      <c r="D201" s="346">
        <f>[4]Reserve!$AF20</f>
        <v>388.07</v>
      </c>
      <c r="E201" s="622">
        <f>0</f>
        <v>0</v>
      </c>
      <c r="F201" s="430">
        <f t="shared" si="62"/>
        <v>388.07</v>
      </c>
      <c r="G201" s="467">
        <v>1</v>
      </c>
      <c r="H201" s="467">
        <f>Allocation!$E$22</f>
        <v>6.3622429999999994E-2</v>
      </c>
      <c r="I201" s="430">
        <f t="shared" si="63"/>
        <v>24.689956410099999</v>
      </c>
      <c r="K201" s="346">
        <f>[4]Reserve!$D20</f>
        <v>388.07</v>
      </c>
      <c r="L201" s="467">
        <f t="shared" si="60"/>
        <v>1</v>
      </c>
      <c r="M201" s="467">
        <f t="shared" si="61"/>
        <v>6.3622429999999994E-2</v>
      </c>
      <c r="N201" s="430">
        <f t="shared" si="59"/>
        <v>24.689956410099999</v>
      </c>
      <c r="P201" s="661"/>
      <c r="S201" s="467"/>
      <c r="T201" s="467"/>
    </row>
    <row r="202" spans="1:20" ht="15" customHeight="1">
      <c r="A202" s="855">
        <f t="shared" si="46"/>
        <v>187</v>
      </c>
      <c r="B202" s="514">
        <v>39500</v>
      </c>
      <c r="C202" s="88" t="s">
        <v>1556</v>
      </c>
      <c r="D202" s="346">
        <f>[4]Reserve!$AF21</f>
        <v>0</v>
      </c>
      <c r="E202" s="622">
        <f>0</f>
        <v>0</v>
      </c>
      <c r="F202" s="430">
        <f t="shared" si="62"/>
        <v>0</v>
      </c>
      <c r="G202" s="467">
        <f t="shared" ref="G202" si="66">$G$188</f>
        <v>0.104</v>
      </c>
      <c r="H202" s="467">
        <f t="shared" ref="H202" si="67">$H$188</f>
        <v>0.49780000000000002</v>
      </c>
      <c r="I202" s="430">
        <f t="shared" si="63"/>
        <v>0</v>
      </c>
      <c r="K202" s="346">
        <f>[4]Reserve!$D21</f>
        <v>0</v>
      </c>
      <c r="L202" s="467">
        <f t="shared" si="60"/>
        <v>0.104</v>
      </c>
      <c r="M202" s="467">
        <f t="shared" si="61"/>
        <v>0.49780000000000002</v>
      </c>
      <c r="N202" s="430">
        <f t="shared" si="59"/>
        <v>0</v>
      </c>
      <c r="P202" s="661"/>
      <c r="S202" s="467"/>
      <c r="T202" s="467"/>
    </row>
    <row r="203" spans="1:20" ht="15" customHeight="1">
      <c r="A203" s="855">
        <f t="shared" si="46"/>
        <v>188</v>
      </c>
      <c r="B203" s="514">
        <v>39700</v>
      </c>
      <c r="C203" s="88" t="s">
        <v>1539</v>
      </c>
      <c r="D203" s="346">
        <f>[4]Reserve!$AF22</f>
        <v>641492.19397375116</v>
      </c>
      <c r="E203" s="622">
        <f>0</f>
        <v>0</v>
      </c>
      <c r="F203" s="430">
        <f t="shared" si="62"/>
        <v>641492.19397375116</v>
      </c>
      <c r="G203" s="467">
        <f t="shared" ref="G203:G226" si="68">$G$188</f>
        <v>0.104</v>
      </c>
      <c r="H203" s="467">
        <f t="shared" ref="H203:H226" si="69">$H$188</f>
        <v>0.49780000000000002</v>
      </c>
      <c r="I203" s="430">
        <f t="shared" si="63"/>
        <v>33210.820672653863</v>
      </c>
      <c r="K203" s="346">
        <f>[4]Reserve!$D22</f>
        <v>611091.36998125084</v>
      </c>
      <c r="L203" s="467">
        <f t="shared" si="60"/>
        <v>0.104</v>
      </c>
      <c r="M203" s="467">
        <f t="shared" si="61"/>
        <v>0.49780000000000002</v>
      </c>
      <c r="N203" s="430">
        <f t="shared" si="59"/>
        <v>31636.933533573334</v>
      </c>
      <c r="P203" s="661"/>
      <c r="S203" s="467"/>
      <c r="T203" s="467"/>
    </row>
    <row r="204" spans="1:20" ht="15" customHeight="1">
      <c r="A204" s="855">
        <f t="shared" si="46"/>
        <v>189</v>
      </c>
      <c r="B204" s="514">
        <v>39720</v>
      </c>
      <c r="C204" s="88" t="s">
        <v>1507</v>
      </c>
      <c r="D204" s="346">
        <f>[4]Reserve!$AF23</f>
        <v>4672.1518074999958</v>
      </c>
      <c r="E204" s="622">
        <f>0</f>
        <v>0</v>
      </c>
      <c r="F204" s="430">
        <f t="shared" si="62"/>
        <v>4672.1518074999958</v>
      </c>
      <c r="G204" s="467">
        <v>1</v>
      </c>
      <c r="H204" s="467">
        <f>Allocation!$E$22</f>
        <v>6.3622429999999994E-2</v>
      </c>
      <c r="I204" s="430">
        <f t="shared" si="63"/>
        <v>297.25365132204195</v>
      </c>
      <c r="K204" s="346">
        <f>[4]Reserve!$D23</f>
        <v>4414.0398624999971</v>
      </c>
      <c r="L204" s="467">
        <f t="shared" si="60"/>
        <v>1</v>
      </c>
      <c r="M204" s="467">
        <f t="shared" si="61"/>
        <v>6.3622429999999994E-2</v>
      </c>
      <c r="N204" s="430">
        <f t="shared" si="59"/>
        <v>280.83194216911568</v>
      </c>
      <c r="P204" s="661"/>
      <c r="S204" s="467"/>
      <c r="T204" s="467"/>
    </row>
    <row r="205" spans="1:20" ht="15" customHeight="1">
      <c r="A205" s="855">
        <f t="shared" si="46"/>
        <v>190</v>
      </c>
      <c r="B205" s="514">
        <v>39800</v>
      </c>
      <c r="C205" s="88" t="s">
        <v>1541</v>
      </c>
      <c r="D205" s="346">
        <f>[4]Reserve!$AF24</f>
        <v>57586.438813999986</v>
      </c>
      <c r="E205" s="622">
        <f>0</f>
        <v>0</v>
      </c>
      <c r="F205" s="430">
        <f t="shared" si="62"/>
        <v>57586.438813999986</v>
      </c>
      <c r="G205" s="467">
        <f t="shared" si="68"/>
        <v>0.104</v>
      </c>
      <c r="H205" s="467">
        <f t="shared" si="69"/>
        <v>0.49780000000000002</v>
      </c>
      <c r="I205" s="430">
        <f t="shared" si="63"/>
        <v>2981.3190411273563</v>
      </c>
      <c r="K205" s="346">
        <f>[4]Reserve!$D24</f>
        <v>53975.762009999984</v>
      </c>
      <c r="L205" s="467">
        <f t="shared" si="60"/>
        <v>0.104</v>
      </c>
      <c r="M205" s="467">
        <f t="shared" si="61"/>
        <v>0.49780000000000002</v>
      </c>
      <c r="N205" s="430">
        <f t="shared" si="59"/>
        <v>2794.3899701721111</v>
      </c>
      <c r="P205" s="661"/>
      <c r="S205" s="467"/>
      <c r="T205" s="467"/>
    </row>
    <row r="206" spans="1:20" ht="15" customHeight="1">
      <c r="A206" s="855">
        <f t="shared" si="46"/>
        <v>191</v>
      </c>
      <c r="B206" s="514">
        <v>39820</v>
      </c>
      <c r="C206" s="88" t="s">
        <v>1508</v>
      </c>
      <c r="D206" s="346">
        <f>[4]Reserve!$AF25</f>
        <v>1496.5802042500011</v>
      </c>
      <c r="E206" s="622">
        <f>0</f>
        <v>0</v>
      </c>
      <c r="F206" s="430">
        <f t="shared" si="62"/>
        <v>1496.5802042500011</v>
      </c>
      <c r="G206" s="467">
        <v>1</v>
      </c>
      <c r="H206" s="467">
        <f>Allocation!$E$22</f>
        <v>6.3622429999999994E-2</v>
      </c>
      <c r="I206" s="430">
        <f t="shared" si="63"/>
        <v>95.216069284281389</v>
      </c>
      <c r="K206" s="346">
        <f>[4]Reserve!$D25</f>
        <v>1301.1572887500008</v>
      </c>
      <c r="L206" s="467">
        <f t="shared" si="60"/>
        <v>1</v>
      </c>
      <c r="M206" s="467">
        <f t="shared" si="61"/>
        <v>6.3622429999999994E-2</v>
      </c>
      <c r="N206" s="430">
        <f t="shared" si="59"/>
        <v>82.782788522486712</v>
      </c>
      <c r="P206" s="661"/>
      <c r="S206" s="467"/>
      <c r="T206" s="467"/>
    </row>
    <row r="207" spans="1:20" ht="15" customHeight="1">
      <c r="A207" s="855">
        <f t="shared" si="46"/>
        <v>192</v>
      </c>
      <c r="B207" s="514">
        <v>39900</v>
      </c>
      <c r="C207" s="88" t="s">
        <v>1557</v>
      </c>
      <c r="D207" s="346">
        <f>[4]Reserve!$AF26</f>
        <v>162984.42999999996</v>
      </c>
      <c r="E207" s="622">
        <v>0</v>
      </c>
      <c r="F207" s="430">
        <f t="shared" si="56"/>
        <v>162984.42999999996</v>
      </c>
      <c r="G207" s="467">
        <f t="shared" si="68"/>
        <v>0.104</v>
      </c>
      <c r="H207" s="467">
        <f t="shared" si="69"/>
        <v>0.49780000000000002</v>
      </c>
      <c r="I207" s="430">
        <f t="shared" si="63"/>
        <v>8437.8995224159971</v>
      </c>
      <c r="K207" s="346">
        <f>[4]Reserve!$D26</f>
        <v>162984.42999999996</v>
      </c>
      <c r="L207" s="467">
        <f t="shared" si="60"/>
        <v>0.104</v>
      </c>
      <c r="M207" s="467">
        <f t="shared" si="61"/>
        <v>0.49780000000000002</v>
      </c>
      <c r="N207" s="430">
        <f t="shared" si="59"/>
        <v>8437.8995224159971</v>
      </c>
      <c r="P207" s="1178"/>
      <c r="S207" s="467"/>
      <c r="T207" s="467"/>
    </row>
    <row r="208" spans="1:20" ht="15" customHeight="1">
      <c r="A208" s="855">
        <f t="shared" si="46"/>
        <v>193</v>
      </c>
      <c r="B208" s="514">
        <v>39901</v>
      </c>
      <c r="C208" s="80" t="s">
        <v>1550</v>
      </c>
      <c r="D208" s="346">
        <f>[4]Reserve!$AF27</f>
        <v>28340239.241173822</v>
      </c>
      <c r="E208" s="622">
        <v>0</v>
      </c>
      <c r="F208" s="430">
        <f t="shared" si="56"/>
        <v>28340239.241173822</v>
      </c>
      <c r="G208" s="467">
        <f t="shared" si="68"/>
        <v>0.104</v>
      </c>
      <c r="H208" s="467">
        <f t="shared" si="69"/>
        <v>0.49780000000000002</v>
      </c>
      <c r="I208" s="430">
        <f t="shared" si="63"/>
        <v>1467208.1938026582</v>
      </c>
      <c r="K208" s="346">
        <f>[4]Reserve!$D27</f>
        <v>26275001.934120949</v>
      </c>
      <c r="L208" s="467">
        <f t="shared" si="60"/>
        <v>0.104</v>
      </c>
      <c r="M208" s="467">
        <f t="shared" si="61"/>
        <v>0.49780000000000002</v>
      </c>
      <c r="N208" s="430">
        <f t="shared" si="59"/>
        <v>1360288.3801317625</v>
      </c>
      <c r="P208" s="661"/>
      <c r="S208" s="467"/>
      <c r="T208" s="467"/>
    </row>
    <row r="209" spans="1:20" ht="15" customHeight="1">
      <c r="A209" s="855">
        <f t="shared" si="46"/>
        <v>194</v>
      </c>
      <c r="B209" s="514">
        <v>39902</v>
      </c>
      <c r="C209" s="88" t="s">
        <v>1551</v>
      </c>
      <c r="D209" s="346">
        <f>[4]Reserve!$AF28</f>
        <v>21199797.983620208</v>
      </c>
      <c r="E209" s="622">
        <v>0</v>
      </c>
      <c r="F209" s="430">
        <f t="shared" si="56"/>
        <v>21199797.983620208</v>
      </c>
      <c r="G209" s="467">
        <f t="shared" si="68"/>
        <v>0.104</v>
      </c>
      <c r="H209" s="467">
        <f t="shared" si="69"/>
        <v>0.49780000000000002</v>
      </c>
      <c r="I209" s="430">
        <f t="shared" si="63"/>
        <v>1097538.9813695985</v>
      </c>
      <c r="K209" s="346">
        <f>[4]Reserve!$D28</f>
        <v>20004927.426366199</v>
      </c>
      <c r="L209" s="467">
        <f t="shared" si="60"/>
        <v>0.104</v>
      </c>
      <c r="M209" s="467">
        <f t="shared" si="61"/>
        <v>0.49780000000000002</v>
      </c>
      <c r="N209" s="430">
        <f t="shared" si="59"/>
        <v>1035679.0987758897</v>
      </c>
      <c r="P209" s="661"/>
      <c r="S209" s="467"/>
      <c r="T209" s="467"/>
    </row>
    <row r="210" spans="1:20" ht="15" customHeight="1">
      <c r="A210" s="855">
        <f t="shared" si="46"/>
        <v>195</v>
      </c>
      <c r="B210" s="514">
        <v>39903</v>
      </c>
      <c r="C210" s="88" t="s">
        <v>1542</v>
      </c>
      <c r="D210" s="346">
        <f>[4]Reserve!$AF29</f>
        <v>3431494.765378796</v>
      </c>
      <c r="E210" s="622">
        <v>0</v>
      </c>
      <c r="F210" s="430">
        <f t="shared" si="56"/>
        <v>3431494.765378796</v>
      </c>
      <c r="G210" s="467">
        <f t="shared" si="68"/>
        <v>0.104</v>
      </c>
      <c r="H210" s="467">
        <f t="shared" si="69"/>
        <v>0.49780000000000002</v>
      </c>
      <c r="I210" s="430">
        <f t="shared" si="63"/>
        <v>177652.60179737871</v>
      </c>
      <c r="K210" s="346">
        <f>[4]Reserve!$D29</f>
        <v>3114229.3263588324</v>
      </c>
      <c r="L210" s="467">
        <f t="shared" si="60"/>
        <v>0.104</v>
      </c>
      <c r="M210" s="467">
        <f t="shared" si="61"/>
        <v>0.49780000000000002</v>
      </c>
      <c r="N210" s="430">
        <f t="shared" si="59"/>
        <v>161227.38930078837</v>
      </c>
      <c r="P210" s="661"/>
      <c r="S210" s="467"/>
      <c r="T210" s="467"/>
    </row>
    <row r="211" spans="1:20" ht="15" customHeight="1">
      <c r="A211" s="855">
        <f t="shared" si="46"/>
        <v>196</v>
      </c>
      <c r="B211" s="514">
        <v>39904</v>
      </c>
      <c r="C211" s="88" t="s">
        <v>1558</v>
      </c>
      <c r="D211" s="346">
        <f>[4]Reserve!$AF30</f>
        <v>0</v>
      </c>
      <c r="E211" s="622">
        <v>0</v>
      </c>
      <c r="F211" s="430">
        <f t="shared" si="56"/>
        <v>0</v>
      </c>
      <c r="G211" s="467">
        <f t="shared" si="68"/>
        <v>0.104</v>
      </c>
      <c r="H211" s="467">
        <f t="shared" si="69"/>
        <v>0.49780000000000002</v>
      </c>
      <c r="I211" s="430">
        <f t="shared" si="63"/>
        <v>0</v>
      </c>
      <c r="K211" s="346">
        <f>[4]Reserve!$D30</f>
        <v>0</v>
      </c>
      <c r="L211" s="467">
        <f t="shared" si="60"/>
        <v>0.104</v>
      </c>
      <c r="M211" s="467">
        <f t="shared" si="61"/>
        <v>0.49780000000000002</v>
      </c>
      <c r="N211" s="430">
        <f t="shared" si="59"/>
        <v>0</v>
      </c>
      <c r="P211" s="661"/>
      <c r="S211" s="467"/>
      <c r="T211" s="467"/>
    </row>
    <row r="212" spans="1:20">
      <c r="A212" s="855">
        <f t="shared" si="46"/>
        <v>197</v>
      </c>
      <c r="B212" s="514">
        <v>39905</v>
      </c>
      <c r="C212" s="88" t="s">
        <v>1559</v>
      </c>
      <c r="D212" s="346">
        <f>[4]Reserve!$AF31</f>
        <v>0</v>
      </c>
      <c r="E212" s="622">
        <v>0</v>
      </c>
      <c r="F212" s="430">
        <f t="shared" si="56"/>
        <v>0</v>
      </c>
      <c r="G212" s="467">
        <f t="shared" si="68"/>
        <v>0.104</v>
      </c>
      <c r="H212" s="467">
        <f t="shared" si="69"/>
        <v>0.49780000000000002</v>
      </c>
      <c r="I212" s="430">
        <f t="shared" si="63"/>
        <v>0</v>
      </c>
      <c r="K212" s="346">
        <f>[4]Reserve!$D31</f>
        <v>0</v>
      </c>
      <c r="L212" s="467">
        <f t="shared" si="60"/>
        <v>0.104</v>
      </c>
      <c r="M212" s="467">
        <f t="shared" si="61"/>
        <v>0.49780000000000002</v>
      </c>
      <c r="N212" s="430">
        <f t="shared" si="59"/>
        <v>0</v>
      </c>
      <c r="P212" s="661"/>
      <c r="S212" s="467"/>
      <c r="T212" s="467"/>
    </row>
    <row r="213" spans="1:20">
      <c r="A213" s="855">
        <f t="shared" si="46"/>
        <v>198</v>
      </c>
      <c r="B213" s="707">
        <v>39906</v>
      </c>
      <c r="C213" s="88" t="s">
        <v>1543</v>
      </c>
      <c r="D213" s="346">
        <f>[4]Reserve!$AF32</f>
        <v>1569942.8157497609</v>
      </c>
      <c r="E213" s="622">
        <v>0</v>
      </c>
      <c r="F213" s="430">
        <f t="shared" si="56"/>
        <v>1569942.8157497609</v>
      </c>
      <c r="G213" s="467">
        <f t="shared" si="68"/>
        <v>0.104</v>
      </c>
      <c r="H213" s="467">
        <f t="shared" si="69"/>
        <v>0.49780000000000002</v>
      </c>
      <c r="I213" s="430">
        <f t="shared" si="63"/>
        <v>81277.823502744024</v>
      </c>
      <c r="K213" s="346">
        <f>[4]Reserve!$D32</f>
        <v>1431223.9343198091</v>
      </c>
      <c r="L213" s="467">
        <f t="shared" si="60"/>
        <v>0.104</v>
      </c>
      <c r="M213" s="467">
        <f t="shared" si="61"/>
        <v>0.49780000000000002</v>
      </c>
      <c r="N213" s="430">
        <f t="shared" si="59"/>
        <v>74096.180548457691</v>
      </c>
      <c r="P213" s="661"/>
      <c r="S213" s="467"/>
      <c r="T213" s="467"/>
    </row>
    <row r="214" spans="1:20">
      <c r="A214" s="855">
        <f t="shared" si="46"/>
        <v>199</v>
      </c>
      <c r="B214" s="707">
        <v>39907</v>
      </c>
      <c r="C214" s="88" t="s">
        <v>1544</v>
      </c>
      <c r="D214" s="346">
        <f>[4]Reserve!$AF33</f>
        <v>436956.50783364254</v>
      </c>
      <c r="E214" s="622">
        <v>0</v>
      </c>
      <c r="F214" s="430">
        <f t="shared" si="56"/>
        <v>436956.50783364254</v>
      </c>
      <c r="G214" s="467">
        <f t="shared" si="68"/>
        <v>0.104</v>
      </c>
      <c r="H214" s="467">
        <f t="shared" si="69"/>
        <v>0.49780000000000002</v>
      </c>
      <c r="I214" s="430">
        <f t="shared" si="63"/>
        <v>22621.762758357076</v>
      </c>
      <c r="K214" s="346">
        <f>[4]Reserve!$D33</f>
        <v>380965.26443237212</v>
      </c>
      <c r="L214" s="467">
        <f t="shared" si="60"/>
        <v>0.104</v>
      </c>
      <c r="M214" s="467">
        <f t="shared" si="61"/>
        <v>0.49780000000000002</v>
      </c>
      <c r="N214" s="430">
        <f t="shared" si="59"/>
        <v>19723.028897981221</v>
      </c>
      <c r="P214" s="661"/>
      <c r="S214" s="467"/>
      <c r="T214" s="467"/>
    </row>
    <row r="215" spans="1:20">
      <c r="A215" s="855">
        <f t="shared" si="46"/>
        <v>200</v>
      </c>
      <c r="B215" s="707">
        <v>39908</v>
      </c>
      <c r="C215" s="88" t="s">
        <v>1545</v>
      </c>
      <c r="D215" s="346">
        <f>[4]Reserve!$AF34</f>
        <v>41719463.300928734</v>
      </c>
      <c r="E215" s="622">
        <v>0</v>
      </c>
      <c r="F215" s="430">
        <f t="shared" si="56"/>
        <v>41719463.300928734</v>
      </c>
      <c r="G215" s="467">
        <f t="shared" si="68"/>
        <v>0.104</v>
      </c>
      <c r="H215" s="467">
        <f t="shared" si="69"/>
        <v>0.49780000000000002</v>
      </c>
      <c r="I215" s="430">
        <f t="shared" si="63"/>
        <v>2159866.6784450416</v>
      </c>
      <c r="K215" s="346">
        <f>[4]Reserve!$D34</f>
        <v>39245353.830375165</v>
      </c>
      <c r="L215" s="467">
        <f t="shared" si="60"/>
        <v>0.104</v>
      </c>
      <c r="M215" s="467">
        <f t="shared" si="61"/>
        <v>0.49780000000000002</v>
      </c>
      <c r="N215" s="430">
        <f t="shared" si="59"/>
        <v>2031779.0622231187</v>
      </c>
      <c r="P215" s="661"/>
      <c r="S215" s="467"/>
      <c r="T215" s="467"/>
    </row>
    <row r="216" spans="1:20">
      <c r="A216" s="855">
        <f t="shared" si="46"/>
        <v>201</v>
      </c>
      <c r="B216" s="707">
        <v>39909</v>
      </c>
      <c r="C216" s="88" t="s">
        <v>1560</v>
      </c>
      <c r="D216" s="346">
        <f>[4]Reserve!$AF35</f>
        <v>44629.080000000009</v>
      </c>
      <c r="E216" s="622">
        <v>0</v>
      </c>
      <c r="F216" s="430">
        <f t="shared" si="56"/>
        <v>44629.080000000009</v>
      </c>
      <c r="G216" s="467">
        <f t="shared" si="68"/>
        <v>0.104</v>
      </c>
      <c r="H216" s="467">
        <f t="shared" si="69"/>
        <v>0.49780000000000002</v>
      </c>
      <c r="I216" s="430">
        <f t="shared" si="63"/>
        <v>2310.5010264960006</v>
      </c>
      <c r="K216" s="346">
        <f>[4]Reserve!$D35</f>
        <v>44629.08</v>
      </c>
      <c r="L216" s="467">
        <f t="shared" si="60"/>
        <v>0.104</v>
      </c>
      <c r="M216" s="467">
        <f t="shared" si="61"/>
        <v>0.49780000000000002</v>
      </c>
      <c r="N216" s="430">
        <f t="shared" si="59"/>
        <v>2310.5010264960001</v>
      </c>
      <c r="P216" s="661"/>
      <c r="S216" s="467"/>
      <c r="T216" s="467"/>
    </row>
    <row r="217" spans="1:20">
      <c r="A217" s="855">
        <f t="shared" si="46"/>
        <v>202</v>
      </c>
      <c r="B217" s="707">
        <v>39921</v>
      </c>
      <c r="C217" s="88" t="s">
        <v>1509</v>
      </c>
      <c r="D217" s="346">
        <f>[4]Reserve!$AF36</f>
        <v>1439508.605069</v>
      </c>
      <c r="E217" s="622">
        <v>0</v>
      </c>
      <c r="F217" s="430">
        <f t="shared" si="56"/>
        <v>1439508.605069</v>
      </c>
      <c r="G217" s="467">
        <v>1</v>
      </c>
      <c r="H217" s="467">
        <f>Allocation!$E$22</f>
        <v>6.3622429999999994E-2</v>
      </c>
      <c r="I217" s="430">
        <f t="shared" si="63"/>
        <v>91585.03546040009</v>
      </c>
      <c r="K217" s="346">
        <f>[4]Reserve!$D36</f>
        <v>1362298.7493349998</v>
      </c>
      <c r="L217" s="467">
        <f t="shared" ref="L217:L226" si="70">G217</f>
        <v>1</v>
      </c>
      <c r="M217" s="467">
        <f t="shared" ref="M217:M226" si="71">H217</f>
        <v>6.3622429999999994E-2</v>
      </c>
      <c r="N217" s="430">
        <f t="shared" si="59"/>
        <v>86672.756818653565</v>
      </c>
      <c r="P217" s="661"/>
      <c r="S217" s="467"/>
      <c r="T217" s="467"/>
    </row>
    <row r="218" spans="1:20">
      <c r="A218" s="855">
        <f t="shared" si="46"/>
        <v>203</v>
      </c>
      <c r="B218" s="707">
        <v>39922</v>
      </c>
      <c r="C218" s="88" t="s">
        <v>1510</v>
      </c>
      <c r="D218" s="346">
        <f>[4]Reserve!$AF37</f>
        <v>623007.7251409993</v>
      </c>
      <c r="E218" s="622">
        <v>0</v>
      </c>
      <c r="F218" s="430">
        <f t="shared" si="56"/>
        <v>623007.7251409993</v>
      </c>
      <c r="G218" s="467">
        <v>1</v>
      </c>
      <c r="H218" s="467">
        <f>Allocation!$E$22</f>
        <v>6.3622429999999994E-2</v>
      </c>
      <c r="I218" s="430">
        <f t="shared" si="63"/>
        <v>39637.265382242462</v>
      </c>
      <c r="K218" s="346">
        <f>[4]Reserve!$D37</f>
        <v>580087.6608149996</v>
      </c>
      <c r="L218" s="467">
        <f t="shared" si="70"/>
        <v>1</v>
      </c>
      <c r="M218" s="467">
        <f t="shared" si="71"/>
        <v>6.3622429999999994E-2</v>
      </c>
      <c r="N218" s="430">
        <f t="shared" si="59"/>
        <v>36906.586594066051</v>
      </c>
      <c r="P218" s="661"/>
      <c r="S218" s="467"/>
      <c r="T218" s="467"/>
    </row>
    <row r="219" spans="1:20">
      <c r="A219" s="855">
        <f t="shared" si="46"/>
        <v>204</v>
      </c>
      <c r="B219" s="707">
        <v>39923</v>
      </c>
      <c r="C219" s="88" t="s">
        <v>1511</v>
      </c>
      <c r="D219" s="346">
        <f>[4]Reserve!$AF38</f>
        <v>51138.729286999987</v>
      </c>
      <c r="E219" s="622">
        <v>0</v>
      </c>
      <c r="F219" s="430">
        <f t="shared" si="56"/>
        <v>51138.729286999987</v>
      </c>
      <c r="G219" s="467">
        <v>1</v>
      </c>
      <c r="H219" s="467">
        <f>Allocation!$E$22</f>
        <v>6.3622429999999994E-2</v>
      </c>
      <c r="I219" s="430">
        <f t="shared" si="63"/>
        <v>3253.5702243511064</v>
      </c>
      <c r="K219" s="346">
        <f>[4]Reserve!$D38</f>
        <v>49035.775204999998</v>
      </c>
      <c r="L219" s="467">
        <f t="shared" si="70"/>
        <v>1</v>
      </c>
      <c r="M219" s="467">
        <f t="shared" si="71"/>
        <v>6.3622429999999994E-2</v>
      </c>
      <c r="N219" s="430">
        <f t="shared" si="59"/>
        <v>3119.7751754758478</v>
      </c>
      <c r="P219" s="661"/>
      <c r="S219" s="467"/>
      <c r="T219" s="467"/>
    </row>
    <row r="220" spans="1:20">
      <c r="A220" s="855">
        <f t="shared" si="46"/>
        <v>205</v>
      </c>
      <c r="B220" s="707">
        <v>39924</v>
      </c>
      <c r="C220" s="88" t="s">
        <v>1392</v>
      </c>
      <c r="D220" s="346">
        <f>[4]Reserve!$AF39</f>
        <v>0</v>
      </c>
      <c r="E220" s="622">
        <v>0</v>
      </c>
      <c r="F220" s="430">
        <f t="shared" si="56"/>
        <v>0</v>
      </c>
      <c r="G220" s="467">
        <f t="shared" si="68"/>
        <v>0.104</v>
      </c>
      <c r="H220" s="467">
        <f t="shared" si="69"/>
        <v>0.49780000000000002</v>
      </c>
      <c r="I220" s="430">
        <f t="shared" si="63"/>
        <v>0</v>
      </c>
      <c r="K220" s="346">
        <f>[4]Reserve!$D39</f>
        <v>0</v>
      </c>
      <c r="L220" s="467">
        <f t="shared" si="70"/>
        <v>0.104</v>
      </c>
      <c r="M220" s="467">
        <f t="shared" si="71"/>
        <v>0.49780000000000002</v>
      </c>
      <c r="N220" s="430">
        <f t="shared" si="59"/>
        <v>0</v>
      </c>
      <c r="P220" s="661"/>
      <c r="S220" s="467"/>
      <c r="T220" s="467"/>
    </row>
    <row r="221" spans="1:20">
      <c r="A221" s="855">
        <f t="shared" si="46"/>
        <v>206</v>
      </c>
      <c r="B221" s="707">
        <v>39926</v>
      </c>
      <c r="C221" s="88" t="s">
        <v>1520</v>
      </c>
      <c r="D221" s="346">
        <f>[4]Reserve!$AF40</f>
        <v>113039.37202650006</v>
      </c>
      <c r="E221" s="622">
        <v>0</v>
      </c>
      <c r="F221" s="430">
        <f t="shared" si="56"/>
        <v>113039.37202650006</v>
      </c>
      <c r="G221" s="467">
        <v>1</v>
      </c>
      <c r="H221" s="467">
        <f>Allocation!$E$22</f>
        <v>6.3622429999999994E-2</v>
      </c>
      <c r="I221" s="430">
        <f t="shared" si="63"/>
        <v>7191.8395339999579</v>
      </c>
      <c r="K221" s="346">
        <f>[4]Reserve!$D40</f>
        <v>96550.171447500034</v>
      </c>
      <c r="L221" s="467">
        <f t="shared" si="70"/>
        <v>1</v>
      </c>
      <c r="M221" s="467">
        <f t="shared" si="71"/>
        <v>6.3622429999999994E-2</v>
      </c>
      <c r="N221" s="430">
        <f t="shared" si="59"/>
        <v>6142.756524406569</v>
      </c>
      <c r="P221" s="661"/>
      <c r="S221" s="467"/>
      <c r="T221" s="467"/>
    </row>
    <row r="222" spans="1:20">
      <c r="A222" s="855">
        <f t="shared" si="46"/>
        <v>207</v>
      </c>
      <c r="B222" s="707">
        <v>39928</v>
      </c>
      <c r="C222" s="88" t="s">
        <v>1521</v>
      </c>
      <c r="D222" s="346">
        <f>[4]Reserve!$AF41</f>
        <v>14889594.99820287</v>
      </c>
      <c r="E222" s="622">
        <v>0</v>
      </c>
      <c r="F222" s="430">
        <f t="shared" si="56"/>
        <v>14889594.99820287</v>
      </c>
      <c r="G222" s="467">
        <v>1</v>
      </c>
      <c r="H222" s="467">
        <f>Allocation!$E$22</f>
        <v>6.3622429999999994E-2</v>
      </c>
      <c r="I222" s="430">
        <f t="shared" si="63"/>
        <v>947312.21550151205</v>
      </c>
      <c r="K222" s="346">
        <f>[4]Reserve!$D41</f>
        <v>14212409.61683502</v>
      </c>
      <c r="L222" s="467">
        <f t="shared" si="70"/>
        <v>1</v>
      </c>
      <c r="M222" s="467">
        <f t="shared" si="71"/>
        <v>6.3622429999999994E-2</v>
      </c>
      <c r="N222" s="430">
        <f t="shared" si="59"/>
        <v>904228.03597841284</v>
      </c>
      <c r="P222" s="661"/>
      <c r="S222" s="467"/>
      <c r="T222" s="467"/>
    </row>
    <row r="223" spans="1:20">
      <c r="A223" s="855">
        <f t="shared" si="46"/>
        <v>208</v>
      </c>
      <c r="B223" s="707">
        <v>39931</v>
      </c>
      <c r="C223" s="88" t="s">
        <v>1522</v>
      </c>
      <c r="D223" s="346">
        <f>[4]Reserve!$AF42</f>
        <v>102995.95059899992</v>
      </c>
      <c r="E223" s="622">
        <v>0</v>
      </c>
      <c r="F223" s="430">
        <f t="shared" si="56"/>
        <v>102995.95059899992</v>
      </c>
      <c r="G223" s="467">
        <v>1</v>
      </c>
      <c r="H223" s="467">
        <f>Allocation!$E$23</f>
        <v>0</v>
      </c>
      <c r="I223" s="430">
        <f t="shared" si="63"/>
        <v>0</v>
      </c>
      <c r="K223" s="346">
        <f>[4]Reserve!$D42</f>
        <v>88905.513284999906</v>
      </c>
      <c r="L223" s="467">
        <f t="shared" si="70"/>
        <v>1</v>
      </c>
      <c r="M223" s="467">
        <f t="shared" si="71"/>
        <v>0</v>
      </c>
      <c r="N223" s="430">
        <f t="shared" si="59"/>
        <v>0</v>
      </c>
      <c r="P223" s="661"/>
      <c r="S223" s="467"/>
      <c r="T223" s="467"/>
    </row>
    <row r="224" spans="1:20">
      <c r="A224" s="855">
        <f t="shared" si="46"/>
        <v>209</v>
      </c>
      <c r="B224" s="707">
        <v>39932</v>
      </c>
      <c r="C224" s="88" t="s">
        <v>1523</v>
      </c>
      <c r="D224" s="346">
        <f>[4]Reserve!$AF43</f>
        <v>102617.12949099999</v>
      </c>
      <c r="E224" s="622">
        <v>0</v>
      </c>
      <c r="F224" s="430">
        <f t="shared" si="56"/>
        <v>102617.12949099999</v>
      </c>
      <c r="G224" s="467">
        <v>1</v>
      </c>
      <c r="H224" s="467">
        <f>Allocation!$E$23</f>
        <v>0</v>
      </c>
      <c r="I224" s="430">
        <f t="shared" si="63"/>
        <v>0</v>
      </c>
      <c r="K224" s="346">
        <f>[4]Reserve!$D43</f>
        <v>87180.301064999992</v>
      </c>
      <c r="L224" s="467">
        <f t="shared" si="70"/>
        <v>1</v>
      </c>
      <c r="M224" s="467">
        <f t="shared" si="71"/>
        <v>0</v>
      </c>
      <c r="N224" s="430">
        <f t="shared" si="59"/>
        <v>0</v>
      </c>
      <c r="P224" s="661"/>
      <c r="S224" s="467"/>
      <c r="T224" s="467"/>
    </row>
    <row r="225" spans="1:20">
      <c r="A225" s="855">
        <f t="shared" si="46"/>
        <v>210</v>
      </c>
      <c r="B225" s="707">
        <v>39938</v>
      </c>
      <c r="C225" s="88" t="s">
        <v>1524</v>
      </c>
      <c r="D225" s="346">
        <f>[4]Reserve!$AF44</f>
        <v>5740913.2389410501</v>
      </c>
      <c r="E225" s="622">
        <v>0</v>
      </c>
      <c r="F225" s="430">
        <f t="shared" ref="F225" si="72">D225+E225</f>
        <v>5740913.2389410501</v>
      </c>
      <c r="G225" s="467">
        <v>1</v>
      </c>
      <c r="H225" s="467">
        <f>Allocation!$E$23</f>
        <v>0</v>
      </c>
      <c r="I225" s="430">
        <f t="shared" si="63"/>
        <v>0</v>
      </c>
      <c r="K225" s="346">
        <f>[4]Reserve!$D44</f>
        <v>5074483.8359590936</v>
      </c>
      <c r="L225" s="467">
        <f t="shared" si="70"/>
        <v>1</v>
      </c>
      <c r="M225" s="467">
        <f t="shared" si="71"/>
        <v>0</v>
      </c>
      <c r="N225" s="430">
        <f t="shared" ref="N225" si="73">K225*L225*M225</f>
        <v>0</v>
      </c>
      <c r="P225" s="661"/>
      <c r="S225" s="467"/>
      <c r="T225" s="467"/>
    </row>
    <row r="226" spans="1:20">
      <c r="A226" s="855">
        <f t="shared" si="46"/>
        <v>211</v>
      </c>
      <c r="B226" s="707"/>
      <c r="C226" s="88" t="s">
        <v>1143</v>
      </c>
      <c r="D226" s="346">
        <f>[4]Reserve!$AF45</f>
        <v>0</v>
      </c>
      <c r="E226" s="1060">
        <v>0</v>
      </c>
      <c r="F226" s="381">
        <f t="shared" si="56"/>
        <v>0</v>
      </c>
      <c r="G226" s="423">
        <f t="shared" si="68"/>
        <v>0.104</v>
      </c>
      <c r="H226" s="423">
        <f t="shared" si="69"/>
        <v>0.49780000000000002</v>
      </c>
      <c r="I226" s="430">
        <f t="shared" si="63"/>
        <v>0</v>
      </c>
      <c r="K226" s="346">
        <f>[4]Reserve!$D45</f>
        <v>0</v>
      </c>
      <c r="L226" s="467">
        <f t="shared" si="70"/>
        <v>0.104</v>
      </c>
      <c r="M226" s="467">
        <f t="shared" si="71"/>
        <v>0.49780000000000002</v>
      </c>
      <c r="N226" s="1043">
        <f t="shared" si="59"/>
        <v>0</v>
      </c>
      <c r="P226" s="661"/>
      <c r="S226" s="467"/>
      <c r="T226" s="467"/>
    </row>
    <row r="227" spans="1:20">
      <c r="A227" s="855">
        <f t="shared" si="46"/>
        <v>212</v>
      </c>
      <c r="B227" s="390"/>
      <c r="C227" s="88"/>
      <c r="D227" s="1062"/>
      <c r="E227" s="1062"/>
      <c r="F227" s="1062"/>
    </row>
    <row r="228" spans="1:20" ht="15.75" thickBot="1">
      <c r="A228" s="855">
        <f t="shared" si="46"/>
        <v>213</v>
      </c>
      <c r="B228" s="390"/>
      <c r="C228" s="233" t="s">
        <v>1325</v>
      </c>
      <c r="D228" s="329">
        <f>SUM(D188:D226)</f>
        <v>137086356.8957544</v>
      </c>
      <c r="E228" s="329">
        <f>SUM(E188:E226)</f>
        <v>0</v>
      </c>
      <c r="F228" s="329">
        <f>SUM(F188:F226)</f>
        <v>137086356.8957544</v>
      </c>
      <c r="I228" s="329">
        <f>SUM(I188:I226)</f>
        <v>6844543.1466129106</v>
      </c>
      <c r="K228" s="329">
        <f>SUM(K188:K226)</f>
        <v>129013379.65879294</v>
      </c>
      <c r="N228" s="329">
        <f>SUM(N188:N226)</f>
        <v>6457986.2835745011</v>
      </c>
    </row>
    <row r="229" spans="1:20" ht="15.75" thickTop="1">
      <c r="A229" s="855">
        <f t="shared" si="46"/>
        <v>214</v>
      </c>
      <c r="B229" s="1039"/>
      <c r="D229" s="617"/>
    </row>
    <row r="230" spans="1:20" ht="15.75">
      <c r="A230" s="855">
        <f t="shared" si="46"/>
        <v>215</v>
      </c>
      <c r="B230" s="1044" t="s">
        <v>9</v>
      </c>
      <c r="D230" s="617"/>
    </row>
    <row r="231" spans="1:20">
      <c r="A231" s="855">
        <f t="shared" si="46"/>
        <v>216</v>
      </c>
      <c r="B231" s="1039"/>
      <c r="D231" s="617"/>
      <c r="P231" s="671"/>
    </row>
    <row r="232" spans="1:20">
      <c r="A232" s="855">
        <f t="shared" si="46"/>
        <v>217</v>
      </c>
      <c r="B232" s="390"/>
      <c r="C232" s="620" t="s">
        <v>301</v>
      </c>
      <c r="D232" s="617"/>
    </row>
    <row r="233" spans="1:20">
      <c r="A233" s="855">
        <f t="shared" si="46"/>
        <v>218</v>
      </c>
      <c r="B233" s="514">
        <v>38900</v>
      </c>
      <c r="C233" s="88" t="s">
        <v>1561</v>
      </c>
      <c r="D233" s="346">
        <f>[4]Reserve!$AF50</f>
        <v>0</v>
      </c>
      <c r="E233" s="346">
        <v>0</v>
      </c>
      <c r="F233" s="346">
        <f t="shared" ref="F233:F262" si="74">D233+E233</f>
        <v>0</v>
      </c>
      <c r="G233" s="467">
        <f>Allocation!$C$15</f>
        <v>0.1095</v>
      </c>
      <c r="H233" s="467">
        <f>Allocation!$D$15</f>
        <v>0.51517972406888612</v>
      </c>
      <c r="I233" s="346">
        <f t="shared" ref="I233:I262" si="75">F233*G233*H233</f>
        <v>0</v>
      </c>
      <c r="K233" s="346">
        <f>[4]Reserve!$D50</f>
        <v>0</v>
      </c>
      <c r="L233" s="324">
        <f>G233</f>
        <v>0.1095</v>
      </c>
      <c r="M233" s="324">
        <f>H233</f>
        <v>0.51517972406888612</v>
      </c>
      <c r="N233" s="360">
        <f>K233*L233*M233</f>
        <v>0</v>
      </c>
      <c r="P233" s="661"/>
      <c r="S233" s="467"/>
      <c r="T233" s="467"/>
    </row>
    <row r="234" spans="1:20">
      <c r="A234" s="855">
        <f t="shared" si="46"/>
        <v>219</v>
      </c>
      <c r="B234" s="514">
        <v>38910</v>
      </c>
      <c r="C234" s="88" t="s">
        <v>1562</v>
      </c>
      <c r="D234" s="346">
        <f>[4]Reserve!$AF51</f>
        <v>0</v>
      </c>
      <c r="E234" s="430">
        <v>0</v>
      </c>
      <c r="F234" s="430">
        <f t="shared" si="74"/>
        <v>0</v>
      </c>
      <c r="G234" s="467">
        <v>1</v>
      </c>
      <c r="H234" s="467">
        <f>Allocation!$E$21</f>
        <v>2.3186160000000001E-2</v>
      </c>
      <c r="I234" s="430">
        <f t="shared" si="75"/>
        <v>0</v>
      </c>
      <c r="K234" s="346">
        <f>[4]Reserve!$D51</f>
        <v>0</v>
      </c>
      <c r="L234" s="324">
        <f t="shared" ref="L234:L262" si="76">G234</f>
        <v>1</v>
      </c>
      <c r="M234" s="324">
        <f t="shared" ref="M234:M262" si="77">H234</f>
        <v>2.3186160000000001E-2</v>
      </c>
      <c r="N234" s="617">
        <f t="shared" ref="N234:N262" si="78">K234*L234*M234</f>
        <v>0</v>
      </c>
      <c r="P234" s="661"/>
      <c r="S234" s="467"/>
      <c r="T234" s="467"/>
    </row>
    <row r="235" spans="1:20">
      <c r="A235" s="855">
        <f t="shared" si="46"/>
        <v>220</v>
      </c>
      <c r="B235" s="514">
        <v>39000</v>
      </c>
      <c r="C235" s="88" t="s">
        <v>1527</v>
      </c>
      <c r="D235" s="346">
        <f>[4]Reserve!$AF52</f>
        <v>2494295.122481748</v>
      </c>
      <c r="E235" s="430">
        <v>0</v>
      </c>
      <c r="F235" s="430">
        <f t="shared" si="74"/>
        <v>2494295.122481748</v>
      </c>
      <c r="G235" s="467">
        <f>Allocation!$C$15</f>
        <v>0.1095</v>
      </c>
      <c r="H235" s="467">
        <f>Allocation!$D$15</f>
        <v>0.51517972406888612</v>
      </c>
      <c r="I235" s="430">
        <f t="shared" si="75"/>
        <v>140708.62488764344</v>
      </c>
      <c r="K235" s="346">
        <f>[4]Reserve!$D52</f>
        <v>2303626.6332012485</v>
      </c>
      <c r="L235" s="324">
        <f t="shared" si="76"/>
        <v>0.1095</v>
      </c>
      <c r="M235" s="324">
        <f t="shared" si="77"/>
        <v>0.51517972406888612</v>
      </c>
      <c r="N235" s="617">
        <f t="shared" si="78"/>
        <v>129952.59979091401</v>
      </c>
      <c r="P235" s="661"/>
      <c r="S235" s="467"/>
      <c r="T235" s="467"/>
    </row>
    <row r="236" spans="1:20">
      <c r="A236" s="855">
        <f t="shared" si="46"/>
        <v>221</v>
      </c>
      <c r="B236" s="514">
        <v>39009</v>
      </c>
      <c r="C236" s="88" t="s">
        <v>1531</v>
      </c>
      <c r="D236" s="346">
        <f>[4]Reserve!$AF53</f>
        <v>1813283.7656562505</v>
      </c>
      <c r="E236" s="430">
        <v>0</v>
      </c>
      <c r="F236" s="430">
        <f t="shared" si="74"/>
        <v>1813283.7656562505</v>
      </c>
      <c r="G236" s="467">
        <f>Allocation!$C$15</f>
        <v>0.1095</v>
      </c>
      <c r="H236" s="467">
        <f>Allocation!$D$15</f>
        <v>0.51517972406888612</v>
      </c>
      <c r="I236" s="430">
        <f t="shared" si="75"/>
        <v>102291.28979040688</v>
      </c>
      <c r="K236" s="346">
        <f>[4]Reserve!$D53</f>
        <v>1767448.7954687511</v>
      </c>
      <c r="L236" s="324">
        <f t="shared" si="76"/>
        <v>0.1095</v>
      </c>
      <c r="M236" s="324">
        <f t="shared" si="77"/>
        <v>0.51517972406888612</v>
      </c>
      <c r="N236" s="617">
        <f t="shared" si="78"/>
        <v>99705.639211724658</v>
      </c>
      <c r="P236" s="661"/>
      <c r="S236" s="467"/>
      <c r="T236" s="467"/>
    </row>
    <row r="237" spans="1:20">
      <c r="A237" s="855">
        <f t="shared" ref="A237:A250" si="79">A236+1</f>
        <v>222</v>
      </c>
      <c r="B237" s="514">
        <v>39010</v>
      </c>
      <c r="C237" s="88" t="s">
        <v>1563</v>
      </c>
      <c r="D237" s="346">
        <f>[4]Reserve!$AF54</f>
        <v>3408099.1620000047</v>
      </c>
      <c r="E237" s="430">
        <v>0</v>
      </c>
      <c r="F237" s="430">
        <f t="shared" si="74"/>
        <v>3408099.1620000047</v>
      </c>
      <c r="G237" s="467">
        <v>1</v>
      </c>
      <c r="H237" s="467">
        <f>Allocation!$E$21</f>
        <v>2.3186160000000001E-2</v>
      </c>
      <c r="I237" s="430">
        <f t="shared" si="75"/>
        <v>79020.732465998037</v>
      </c>
      <c r="K237" s="346">
        <f>[4]Reserve!$D54</f>
        <v>3222896.2700000037</v>
      </c>
      <c r="L237" s="324">
        <f t="shared" si="76"/>
        <v>1</v>
      </c>
      <c r="M237" s="324">
        <f t="shared" si="77"/>
        <v>2.3186160000000001E-2</v>
      </c>
      <c r="N237" s="617">
        <f t="shared" si="78"/>
        <v>74726.588579623291</v>
      </c>
      <c r="P237" s="661"/>
      <c r="S237" s="467"/>
      <c r="T237" s="467"/>
    </row>
    <row r="238" spans="1:20">
      <c r="A238" s="855">
        <f t="shared" si="79"/>
        <v>223</v>
      </c>
      <c r="B238" s="514">
        <v>39100</v>
      </c>
      <c r="C238" s="88" t="s">
        <v>1532</v>
      </c>
      <c r="D238" s="346">
        <f>[4]Reserve!$AF55</f>
        <v>995778.39053343399</v>
      </c>
      <c r="E238" s="430">
        <v>0</v>
      </c>
      <c r="F238" s="430">
        <f t="shared" si="74"/>
        <v>995778.39053343399</v>
      </c>
      <c r="G238" s="467">
        <f>Allocation!$C$15</f>
        <v>0.1095</v>
      </c>
      <c r="H238" s="467">
        <f>Allocation!$D$15</f>
        <v>0.51517972406888612</v>
      </c>
      <c r="I238" s="430">
        <f t="shared" si="75"/>
        <v>56174.029593330757</v>
      </c>
      <c r="K238" s="346">
        <f>[4]Reserve!$D55</f>
        <v>945263.70483715693</v>
      </c>
      <c r="L238" s="324">
        <f t="shared" si="76"/>
        <v>0.1095</v>
      </c>
      <c r="M238" s="324">
        <f t="shared" si="77"/>
        <v>0.51517972406888612</v>
      </c>
      <c r="N238" s="617">
        <f t="shared" si="78"/>
        <v>53324.386062022175</v>
      </c>
      <c r="P238" s="661"/>
      <c r="S238" s="467"/>
      <c r="T238" s="467"/>
    </row>
    <row r="239" spans="1:20">
      <c r="A239" s="855">
        <f t="shared" si="79"/>
        <v>224</v>
      </c>
      <c r="B239" s="514">
        <v>39101</v>
      </c>
      <c r="C239" s="88" t="s">
        <v>1502</v>
      </c>
      <c r="D239" s="346">
        <f>[4]Reserve!$AF56</f>
        <v>0</v>
      </c>
      <c r="E239" s="430">
        <v>0</v>
      </c>
      <c r="F239" s="430">
        <f t="shared" si="74"/>
        <v>0</v>
      </c>
      <c r="G239" s="467">
        <f>Allocation!$C$15</f>
        <v>0.1095</v>
      </c>
      <c r="H239" s="467">
        <f>Allocation!$D$15</f>
        <v>0.51517972406888612</v>
      </c>
      <c r="I239" s="430">
        <f t="shared" si="75"/>
        <v>0</v>
      </c>
      <c r="K239" s="346">
        <f>[4]Reserve!$D56</f>
        <v>0</v>
      </c>
      <c r="L239" s="324">
        <f t="shared" si="76"/>
        <v>0.1095</v>
      </c>
      <c r="M239" s="324">
        <f t="shared" si="77"/>
        <v>0.51517972406888612</v>
      </c>
      <c r="N239" s="617">
        <f t="shared" si="78"/>
        <v>0</v>
      </c>
      <c r="P239" s="661"/>
      <c r="S239" s="467"/>
      <c r="T239" s="467"/>
    </row>
    <row r="240" spans="1:20">
      <c r="A240" s="855">
        <f t="shared" si="79"/>
        <v>225</v>
      </c>
      <c r="B240" s="514">
        <v>39102</v>
      </c>
      <c r="C240" s="88" t="s">
        <v>1512</v>
      </c>
      <c r="D240" s="346">
        <f>[4]Reserve!$AF57</f>
        <v>0</v>
      </c>
      <c r="E240" s="430">
        <v>0</v>
      </c>
      <c r="F240" s="430">
        <f t="shared" si="74"/>
        <v>0</v>
      </c>
      <c r="G240" s="467">
        <f>Allocation!$C$15</f>
        <v>0.1095</v>
      </c>
      <c r="H240" s="467">
        <f>Allocation!$D$15</f>
        <v>0.51517972406888612</v>
      </c>
      <c r="I240" s="430">
        <f t="shared" si="75"/>
        <v>0</v>
      </c>
      <c r="K240" s="346">
        <f>[4]Reserve!$D57</f>
        <v>0</v>
      </c>
      <c r="L240" s="324">
        <f t="shared" si="76"/>
        <v>0.1095</v>
      </c>
      <c r="M240" s="324">
        <f t="shared" si="77"/>
        <v>0.51517972406888612</v>
      </c>
      <c r="N240" s="617">
        <f t="shared" si="78"/>
        <v>0</v>
      </c>
      <c r="P240" s="661"/>
      <c r="S240" s="467"/>
      <c r="T240" s="467"/>
    </row>
    <row r="241" spans="1:20">
      <c r="A241" s="855">
        <f t="shared" si="79"/>
        <v>226</v>
      </c>
      <c r="B241" s="514">
        <v>39103</v>
      </c>
      <c r="C241" s="88" t="s">
        <v>1323</v>
      </c>
      <c r="D241" s="346">
        <f>[4]Reserve!$AF58</f>
        <v>0</v>
      </c>
      <c r="E241" s="430">
        <v>0</v>
      </c>
      <c r="F241" s="430">
        <f t="shared" si="74"/>
        <v>0</v>
      </c>
      <c r="G241" s="467">
        <f>Allocation!$C$15</f>
        <v>0.1095</v>
      </c>
      <c r="H241" s="467">
        <f>Allocation!$D$15</f>
        <v>0.51517972406888612</v>
      </c>
      <c r="I241" s="430">
        <f t="shared" si="75"/>
        <v>0</v>
      </c>
      <c r="K241" s="346">
        <f>[4]Reserve!$D58</f>
        <v>0</v>
      </c>
      <c r="L241" s="324">
        <f t="shared" si="76"/>
        <v>0.1095</v>
      </c>
      <c r="M241" s="324">
        <f t="shared" si="77"/>
        <v>0.51517972406888612</v>
      </c>
      <c r="N241" s="617">
        <f t="shared" si="78"/>
        <v>0</v>
      </c>
      <c r="P241" s="661"/>
      <c r="S241" s="467"/>
      <c r="T241" s="467"/>
    </row>
    <row r="242" spans="1:20">
      <c r="A242" s="855">
        <f t="shared" si="79"/>
        <v>227</v>
      </c>
      <c r="B242" s="514">
        <v>39110</v>
      </c>
      <c r="C242" s="88" t="s">
        <v>1513</v>
      </c>
      <c r="D242" s="346">
        <f>[4]Reserve!$AF59</f>
        <v>72530.351705514899</v>
      </c>
      <c r="E242" s="430">
        <v>0</v>
      </c>
      <c r="F242" s="430">
        <f t="shared" si="74"/>
        <v>72530.351705514899</v>
      </c>
      <c r="G242" s="467">
        <v>1</v>
      </c>
      <c r="H242" s="467">
        <f>Allocation!$E$21</f>
        <v>2.3186160000000001E-2</v>
      </c>
      <c r="I242" s="430">
        <f t="shared" si="75"/>
        <v>1681.7003395003414</v>
      </c>
      <c r="K242" s="346">
        <f>[4]Reserve!$D59</f>
        <v>61947.573682849688</v>
      </c>
      <c r="L242" s="324">
        <f t="shared" si="76"/>
        <v>1</v>
      </c>
      <c r="M242" s="324">
        <f t="shared" si="77"/>
        <v>2.3186160000000001E-2</v>
      </c>
      <c r="N242" s="617">
        <f t="shared" si="78"/>
        <v>1436.3263550223421</v>
      </c>
      <c r="P242" s="661"/>
      <c r="S242" s="467"/>
      <c r="T242" s="467"/>
    </row>
    <row r="243" spans="1:20">
      <c r="A243" s="855">
        <f t="shared" si="79"/>
        <v>228</v>
      </c>
      <c r="B243" s="514">
        <v>39210</v>
      </c>
      <c r="C243" s="88" t="s">
        <v>1514</v>
      </c>
      <c r="D243" s="346">
        <f>[4]Reserve!$AF60</f>
        <v>96385.355145000009</v>
      </c>
      <c r="E243" s="430">
        <v>0</v>
      </c>
      <c r="F243" s="430">
        <f t="shared" si="74"/>
        <v>96385.355145000009</v>
      </c>
      <c r="G243" s="467">
        <v>1</v>
      </c>
      <c r="H243" s="467">
        <f>Allocation!$E$21</f>
        <v>2.3186160000000001E-2</v>
      </c>
      <c r="I243" s="430">
        <f t="shared" si="75"/>
        <v>2234.8062660487935</v>
      </c>
      <c r="K243" s="346">
        <f>[4]Reserve!$D60</f>
        <v>96385.355145000009</v>
      </c>
      <c r="L243" s="324">
        <f t="shared" si="76"/>
        <v>1</v>
      </c>
      <c r="M243" s="324">
        <f t="shared" si="77"/>
        <v>2.3186160000000001E-2</v>
      </c>
      <c r="N243" s="617">
        <f t="shared" si="78"/>
        <v>2234.8062660487935</v>
      </c>
      <c r="P243" s="661"/>
      <c r="S243" s="467"/>
      <c r="T243" s="467"/>
    </row>
    <row r="244" spans="1:20">
      <c r="A244" s="855">
        <f t="shared" si="79"/>
        <v>229</v>
      </c>
      <c r="B244" s="514">
        <v>39410</v>
      </c>
      <c r="C244" s="88" t="s">
        <v>1515</v>
      </c>
      <c r="D244" s="346">
        <f>[4]Reserve!$AF61</f>
        <v>184199.12681989692</v>
      </c>
      <c r="E244" s="430">
        <v>0</v>
      </c>
      <c r="F244" s="430">
        <f t="shared" si="74"/>
        <v>184199.12681989692</v>
      </c>
      <c r="G244" s="467">
        <v>1</v>
      </c>
      <c r="H244" s="467">
        <f>Allocation!$E$21</f>
        <v>2.3186160000000001E-2</v>
      </c>
      <c r="I244" s="430">
        <f t="shared" si="75"/>
        <v>4270.870426306421</v>
      </c>
      <c r="K244" s="346">
        <f>[4]Reserve!$D61</f>
        <v>157579.43957577567</v>
      </c>
      <c r="L244" s="324">
        <f t="shared" si="76"/>
        <v>1</v>
      </c>
      <c r="M244" s="324">
        <f t="shared" si="77"/>
        <v>2.3186160000000001E-2</v>
      </c>
      <c r="N244" s="617">
        <f t="shared" si="78"/>
        <v>3653.6620987142669</v>
      </c>
      <c r="P244" s="661"/>
      <c r="S244" s="467"/>
      <c r="T244" s="467"/>
    </row>
    <row r="245" spans="1:20">
      <c r="A245" s="855">
        <f t="shared" si="79"/>
        <v>230</v>
      </c>
      <c r="B245" s="514">
        <v>39510</v>
      </c>
      <c r="C245" s="88" t="s">
        <v>1516</v>
      </c>
      <c r="D245" s="346">
        <f>[4]Reserve!$AF62</f>
        <v>19547.630311250025</v>
      </c>
      <c r="E245" s="430">
        <v>0</v>
      </c>
      <c r="F245" s="430">
        <f t="shared" si="74"/>
        <v>19547.630311250025</v>
      </c>
      <c r="G245" s="467">
        <v>1</v>
      </c>
      <c r="H245" s="467">
        <f>Allocation!$E$21</f>
        <v>2.3186160000000001E-2</v>
      </c>
      <c r="I245" s="430">
        <f t="shared" si="75"/>
        <v>453.23448401749289</v>
      </c>
      <c r="K245" s="346">
        <f>[4]Reserve!$D62</f>
        <v>18360.118793750014</v>
      </c>
      <c r="L245" s="324">
        <f t="shared" si="76"/>
        <v>1</v>
      </c>
      <c r="M245" s="324">
        <f t="shared" si="77"/>
        <v>2.3186160000000001E-2</v>
      </c>
      <c r="N245" s="617">
        <f t="shared" si="78"/>
        <v>425.70065197089485</v>
      </c>
      <c r="P245" s="661"/>
      <c r="S245" s="467"/>
      <c r="T245" s="467"/>
    </row>
    <row r="246" spans="1:20">
      <c r="A246" s="855">
        <f t="shared" si="79"/>
        <v>231</v>
      </c>
      <c r="B246" s="514">
        <v>39700</v>
      </c>
      <c r="C246" s="88" t="s">
        <v>1539</v>
      </c>
      <c r="D246" s="346">
        <f>[4]Reserve!$AF63</f>
        <v>1229135.4841362517</v>
      </c>
      <c r="E246" s="430">
        <v>0</v>
      </c>
      <c r="F246" s="430">
        <f t="shared" si="74"/>
        <v>1229135.4841362517</v>
      </c>
      <c r="G246" s="467">
        <f>Allocation!$C$15</f>
        <v>0.1095</v>
      </c>
      <c r="H246" s="467">
        <f>Allocation!$D$15</f>
        <v>0.51517972406888612</v>
      </c>
      <c r="I246" s="430">
        <f t="shared" si="75"/>
        <v>69338.211911884704</v>
      </c>
      <c r="K246" s="346">
        <f>[4]Reserve!$D63</f>
        <v>1173176.8086687515</v>
      </c>
      <c r="L246" s="324">
        <f t="shared" si="76"/>
        <v>0.1095</v>
      </c>
      <c r="M246" s="324">
        <f t="shared" si="77"/>
        <v>0.51517972406888612</v>
      </c>
      <c r="N246" s="617">
        <f t="shared" si="78"/>
        <v>66181.461050851227</v>
      </c>
      <c r="P246" s="661"/>
      <c r="S246" s="467"/>
      <c r="T246" s="467"/>
    </row>
    <row r="247" spans="1:20">
      <c r="A247" s="855">
        <f t="shared" si="79"/>
        <v>232</v>
      </c>
      <c r="B247" s="514">
        <v>39710</v>
      </c>
      <c r="C247" s="88" t="s">
        <v>1564</v>
      </c>
      <c r="D247" s="346">
        <f>[4]Reserve!$AF64</f>
        <v>180990.94597249985</v>
      </c>
      <c r="E247" s="430">
        <v>0</v>
      </c>
      <c r="F247" s="430">
        <f t="shared" si="74"/>
        <v>180990.94597249985</v>
      </c>
      <c r="G247" s="467">
        <v>1</v>
      </c>
      <c r="H247" s="467">
        <f>Allocation!$E$21</f>
        <v>2.3186160000000001E-2</v>
      </c>
      <c r="I247" s="430">
        <f t="shared" si="75"/>
        <v>4196.4850318697372</v>
      </c>
      <c r="K247" s="346">
        <f>[4]Reserve!$D64</f>
        <v>172464.55283749985</v>
      </c>
      <c r="L247" s="324">
        <f t="shared" si="76"/>
        <v>1</v>
      </c>
      <c r="M247" s="324">
        <f t="shared" si="77"/>
        <v>2.3186160000000001E-2</v>
      </c>
      <c r="N247" s="617">
        <f t="shared" si="78"/>
        <v>3998.7907164187259</v>
      </c>
      <c r="P247" s="661"/>
      <c r="S247" s="467"/>
      <c r="T247" s="467"/>
    </row>
    <row r="248" spans="1:20">
      <c r="A248" s="855">
        <f t="shared" si="79"/>
        <v>233</v>
      </c>
      <c r="B248" s="514">
        <v>39800</v>
      </c>
      <c r="C248" s="88" t="s">
        <v>1541</v>
      </c>
      <c r="D248" s="346">
        <f>[4]Reserve!$AF65</f>
        <v>18362.529724500011</v>
      </c>
      <c r="E248" s="430">
        <v>0</v>
      </c>
      <c r="F248" s="430">
        <f t="shared" si="74"/>
        <v>18362.529724500011</v>
      </c>
      <c r="G248" s="467">
        <f>Allocation!$C$15</f>
        <v>0.1095</v>
      </c>
      <c r="H248" s="467">
        <f>Allocation!$D$15</f>
        <v>0.51517972406888612</v>
      </c>
      <c r="I248" s="430">
        <f t="shared" si="75"/>
        <v>1035.8703281358726</v>
      </c>
      <c r="K248" s="346">
        <f>[4]Reserve!$D65</f>
        <v>16510.615517500013</v>
      </c>
      <c r="L248" s="324">
        <f t="shared" si="76"/>
        <v>0.1095</v>
      </c>
      <c r="M248" s="324">
        <f t="shared" si="77"/>
        <v>0.51517972406888612</v>
      </c>
      <c r="N248" s="617">
        <f t="shared" si="78"/>
        <v>931.39981094318728</v>
      </c>
      <c r="P248" s="661"/>
      <c r="S248" s="467"/>
      <c r="T248" s="467"/>
    </row>
    <row r="249" spans="1:20">
      <c r="A249" s="855">
        <f t="shared" si="79"/>
        <v>234</v>
      </c>
      <c r="B249" s="707">
        <v>39810</v>
      </c>
      <c r="C249" s="88" t="s">
        <v>1517</v>
      </c>
      <c r="D249" s="346">
        <f>[4]Reserve!$AF66</f>
        <v>182979.85983875007</v>
      </c>
      <c r="E249" s="430">
        <v>0</v>
      </c>
      <c r="F249" s="430">
        <f t="shared" si="74"/>
        <v>182979.85983875007</v>
      </c>
      <c r="G249" s="467">
        <v>1</v>
      </c>
      <c r="H249" s="467">
        <f>Allocation!$E$21</f>
        <v>2.3186160000000001E-2</v>
      </c>
      <c r="I249" s="430">
        <f t="shared" si="75"/>
        <v>4242.6003069988337</v>
      </c>
      <c r="K249" s="346">
        <f>[4]Reserve!$D66</f>
        <v>169509.32845625005</v>
      </c>
      <c r="L249" s="324">
        <f t="shared" si="76"/>
        <v>1</v>
      </c>
      <c r="M249" s="324">
        <f t="shared" si="77"/>
        <v>2.3186160000000001E-2</v>
      </c>
      <c r="N249" s="617">
        <f t="shared" si="78"/>
        <v>3930.2704110791669</v>
      </c>
      <c r="P249" s="661"/>
      <c r="S249" s="467"/>
      <c r="T249" s="467"/>
    </row>
    <row r="250" spans="1:20">
      <c r="A250" s="855">
        <f t="shared" si="79"/>
        <v>235</v>
      </c>
      <c r="B250" s="707">
        <v>39900</v>
      </c>
      <c r="C250" s="88" t="s">
        <v>1549</v>
      </c>
      <c r="D250" s="346">
        <f>[4]Reserve!$AF67</f>
        <v>604448.7444330001</v>
      </c>
      <c r="E250" s="430">
        <v>0</v>
      </c>
      <c r="F250" s="430">
        <f t="shared" si="74"/>
        <v>604448.7444330001</v>
      </c>
      <c r="G250" s="467">
        <f>Allocation!$C$15</f>
        <v>0.1095</v>
      </c>
      <c r="H250" s="467">
        <f>Allocation!$D$15</f>
        <v>0.51517972406888612</v>
      </c>
      <c r="I250" s="430">
        <f t="shared" si="75"/>
        <v>34098.271242100156</v>
      </c>
      <c r="K250" s="346">
        <f>[4]Reserve!$D67</f>
        <v>563364.17459499987</v>
      </c>
      <c r="L250" s="324">
        <f t="shared" si="76"/>
        <v>0.1095</v>
      </c>
      <c r="M250" s="324">
        <f t="shared" si="77"/>
        <v>0.51517972406888612</v>
      </c>
      <c r="N250" s="617">
        <f t="shared" si="78"/>
        <v>31780.601101987188</v>
      </c>
      <c r="P250" s="661"/>
      <c r="S250" s="467"/>
      <c r="T250" s="467"/>
    </row>
    <row r="251" spans="1:20">
      <c r="A251" s="855">
        <f t="shared" ref="A251:A266" si="80">A250+1</f>
        <v>236</v>
      </c>
      <c r="B251" s="707">
        <v>39901</v>
      </c>
      <c r="C251" s="88" t="s">
        <v>1550</v>
      </c>
      <c r="D251" s="346">
        <f>[4]Reserve!$AF68</f>
        <v>6484555.8093760014</v>
      </c>
      <c r="E251" s="430">
        <v>0</v>
      </c>
      <c r="F251" s="430">
        <f t="shared" si="74"/>
        <v>6484555.8093760014</v>
      </c>
      <c r="G251" s="467">
        <f>Allocation!$C$15</f>
        <v>0.1095</v>
      </c>
      <c r="H251" s="467">
        <f>Allocation!$D$15</f>
        <v>0.51517972406888612</v>
      </c>
      <c r="I251" s="430">
        <f t="shared" si="75"/>
        <v>365807.9281479065</v>
      </c>
      <c r="K251" s="346">
        <f>[4]Reserve!$D68</f>
        <v>5994285.8238400016</v>
      </c>
      <c r="L251" s="324">
        <f t="shared" si="76"/>
        <v>0.1095</v>
      </c>
      <c r="M251" s="324">
        <f t="shared" si="77"/>
        <v>0.51517972406888612</v>
      </c>
      <c r="N251" s="617">
        <f t="shared" si="78"/>
        <v>338150.72958039411</v>
      </c>
      <c r="P251" s="661"/>
      <c r="S251" s="467"/>
      <c r="T251" s="467"/>
    </row>
    <row r="252" spans="1:20">
      <c r="A252" s="855">
        <f t="shared" si="80"/>
        <v>237</v>
      </c>
      <c r="B252" s="707">
        <v>39902</v>
      </c>
      <c r="C252" s="88" t="s">
        <v>1551</v>
      </c>
      <c r="D252" s="346">
        <f>[4]Reserve!$AF69</f>
        <v>1461754.3587237487</v>
      </c>
      <c r="E252" s="430">
        <v>0</v>
      </c>
      <c r="F252" s="430">
        <f t="shared" si="74"/>
        <v>1461754.3587237487</v>
      </c>
      <c r="G252" s="467">
        <f>Allocation!$C$15</f>
        <v>0.1095</v>
      </c>
      <c r="H252" s="467">
        <f>Allocation!$D$15</f>
        <v>0.51517972406888612</v>
      </c>
      <c r="I252" s="430">
        <f t="shared" si="75"/>
        <v>82460.749686625277</v>
      </c>
      <c r="K252" s="346">
        <f>[4]Reserve!$D69</f>
        <v>1371385.5962312487</v>
      </c>
      <c r="L252" s="324">
        <f t="shared" si="76"/>
        <v>0.1095</v>
      </c>
      <c r="M252" s="324">
        <f t="shared" si="77"/>
        <v>0.51517972406888612</v>
      </c>
      <c r="N252" s="617">
        <f t="shared" si="78"/>
        <v>77362.850809901312</v>
      </c>
      <c r="P252" s="661"/>
      <c r="S252" s="467"/>
      <c r="T252" s="467"/>
    </row>
    <row r="253" spans="1:20">
      <c r="A253" s="855">
        <f t="shared" si="80"/>
        <v>238</v>
      </c>
      <c r="B253" s="707">
        <v>39903</v>
      </c>
      <c r="C253" s="88" t="s">
        <v>1542</v>
      </c>
      <c r="D253" s="346">
        <f>[4]Reserve!$AF70</f>
        <v>429080.6039664998</v>
      </c>
      <c r="E253" s="430">
        <v>0</v>
      </c>
      <c r="F253" s="430">
        <f t="shared" si="74"/>
        <v>429080.6039664998</v>
      </c>
      <c r="G253" s="467">
        <f>Allocation!$C$15</f>
        <v>0.1095</v>
      </c>
      <c r="H253" s="467">
        <f>Allocation!$D$15</f>
        <v>0.51517972406888612</v>
      </c>
      <c r="I253" s="430">
        <f t="shared" si="75"/>
        <v>24205.372173447573</v>
      </c>
      <c r="K253" s="346">
        <f>[4]Reserve!$D70</f>
        <v>407089.16854749981</v>
      </c>
      <c r="L253" s="324">
        <f t="shared" si="76"/>
        <v>0.1095</v>
      </c>
      <c r="M253" s="324">
        <f t="shared" si="77"/>
        <v>0.51517972406888612</v>
      </c>
      <c r="N253" s="617">
        <f t="shared" si="78"/>
        <v>22964.787364848791</v>
      </c>
      <c r="P253" s="661"/>
      <c r="S253" s="467"/>
      <c r="T253" s="467"/>
    </row>
    <row r="254" spans="1:20">
      <c r="A254" s="855">
        <f t="shared" si="80"/>
        <v>239</v>
      </c>
      <c r="B254" s="707">
        <v>39906</v>
      </c>
      <c r="C254" s="88" t="s">
        <v>1543</v>
      </c>
      <c r="D254" s="346">
        <f>[4]Reserve!$AF71</f>
        <v>716762.22263583762</v>
      </c>
      <c r="E254" s="430">
        <v>0</v>
      </c>
      <c r="F254" s="430">
        <f t="shared" si="74"/>
        <v>716762.22263583762</v>
      </c>
      <c r="G254" s="467">
        <f>Allocation!$C$15</f>
        <v>0.1095</v>
      </c>
      <c r="H254" s="467">
        <f>Allocation!$D$15</f>
        <v>0.51517972406888612</v>
      </c>
      <c r="I254" s="430">
        <f t="shared" si="75"/>
        <v>40434.11936681829</v>
      </c>
      <c r="K254" s="346">
        <f>[4]Reserve!$D71</f>
        <v>661520.7675230254</v>
      </c>
      <c r="L254" s="324">
        <f t="shared" si="76"/>
        <v>0.1095</v>
      </c>
      <c r="M254" s="324">
        <f t="shared" si="77"/>
        <v>0.51517972406888612</v>
      </c>
      <c r="N254" s="617">
        <f t="shared" si="78"/>
        <v>37317.828469379325</v>
      </c>
      <c r="P254" s="661"/>
      <c r="S254" s="467"/>
      <c r="T254" s="467"/>
    </row>
    <row r="255" spans="1:20">
      <c r="A255" s="855">
        <f t="shared" si="80"/>
        <v>240</v>
      </c>
      <c r="B255" s="707">
        <v>39907</v>
      </c>
      <c r="C255" s="88" t="s">
        <v>1544</v>
      </c>
      <c r="D255" s="346">
        <f>[4]Reserve!$AF72</f>
        <v>153019.73469425019</v>
      </c>
      <c r="E255" s="430">
        <v>0</v>
      </c>
      <c r="F255" s="430">
        <f t="shared" si="74"/>
        <v>153019.73469425019</v>
      </c>
      <c r="G255" s="467">
        <f>Allocation!$C$15</f>
        <v>0.1095</v>
      </c>
      <c r="H255" s="467">
        <f>Allocation!$D$15</f>
        <v>0.51517972406888612</v>
      </c>
      <c r="I255" s="430">
        <f t="shared" si="75"/>
        <v>8632.1767843081379</v>
      </c>
      <c r="K255" s="346">
        <f>[4]Reserve!$D72</f>
        <v>146713.04763875014</v>
      </c>
      <c r="L255" s="324">
        <f t="shared" si="76"/>
        <v>0.1095</v>
      </c>
      <c r="M255" s="324">
        <f t="shared" si="77"/>
        <v>0.51517972406888612</v>
      </c>
      <c r="N255" s="617">
        <f t="shared" si="78"/>
        <v>8276.4028202821119</v>
      </c>
      <c r="P255" s="661"/>
      <c r="S255" s="467"/>
      <c r="T255" s="467"/>
    </row>
    <row r="256" spans="1:20">
      <c r="A256" s="855">
        <f t="shared" si="80"/>
        <v>241</v>
      </c>
      <c r="B256" s="707">
        <v>39908</v>
      </c>
      <c r="C256" s="88" t="s">
        <v>1545</v>
      </c>
      <c r="D256" s="346">
        <f>[4]Reserve!$AF73</f>
        <v>39389426.313098826</v>
      </c>
      <c r="E256" s="430">
        <v>0</v>
      </c>
      <c r="F256" s="430">
        <f t="shared" si="74"/>
        <v>39389426.313098826</v>
      </c>
      <c r="G256" s="467">
        <f>Allocation!$C$15</f>
        <v>0.1095</v>
      </c>
      <c r="H256" s="467">
        <f>Allocation!$D$15</f>
        <v>0.51517972406888612</v>
      </c>
      <c r="I256" s="430">
        <f t="shared" si="75"/>
        <v>2222043.3988239304</v>
      </c>
      <c r="K256" s="346">
        <f>[4]Reserve!$D73</f>
        <v>36343196.605658047</v>
      </c>
      <c r="L256" s="324">
        <f t="shared" si="76"/>
        <v>0.1095</v>
      </c>
      <c r="M256" s="324">
        <f t="shared" si="77"/>
        <v>0.51517972406888612</v>
      </c>
      <c r="N256" s="617">
        <f t="shared" si="78"/>
        <v>2050198.940899719</v>
      </c>
      <c r="P256" s="1175"/>
      <c r="S256" s="467"/>
      <c r="T256" s="467"/>
    </row>
    <row r="257" spans="1:20">
      <c r="A257" s="855">
        <f t="shared" si="80"/>
        <v>242</v>
      </c>
      <c r="B257" s="707">
        <v>39910</v>
      </c>
      <c r="C257" s="88" t="s">
        <v>1565</v>
      </c>
      <c r="D257" s="346">
        <f>[4]Reserve!$AF74</f>
        <v>231991.4041915001</v>
      </c>
      <c r="E257" s="430">
        <v>0</v>
      </c>
      <c r="F257" s="430">
        <f t="shared" si="74"/>
        <v>231991.4041915001</v>
      </c>
      <c r="G257" s="467">
        <v>1</v>
      </c>
      <c r="H257" s="467">
        <f>Allocation!$E$21</f>
        <v>2.3186160000000001E-2</v>
      </c>
      <c r="I257" s="430">
        <f t="shared" si="75"/>
        <v>5378.989816208792</v>
      </c>
      <c r="K257" s="346">
        <f>[4]Reserve!$D74</f>
        <v>209811.75442250009</v>
      </c>
      <c r="L257" s="324">
        <f t="shared" si="76"/>
        <v>1</v>
      </c>
      <c r="M257" s="324">
        <f t="shared" si="77"/>
        <v>2.3186160000000001E-2</v>
      </c>
      <c r="N257" s="617">
        <f t="shared" si="78"/>
        <v>4864.7289079207949</v>
      </c>
      <c r="P257" s="661"/>
      <c r="S257" s="467"/>
      <c r="T257" s="467"/>
    </row>
    <row r="258" spans="1:20">
      <c r="A258" s="855">
        <f t="shared" si="80"/>
        <v>243</v>
      </c>
      <c r="B258" s="707">
        <v>39916</v>
      </c>
      <c r="C258" s="88" t="s">
        <v>1566</v>
      </c>
      <c r="D258" s="346">
        <f>[4]Reserve!$AF75</f>
        <v>307866.33476636215</v>
      </c>
      <c r="E258" s="430">
        <v>0</v>
      </c>
      <c r="F258" s="430">
        <f t="shared" si="74"/>
        <v>307866.33476636215</v>
      </c>
      <c r="G258" s="467">
        <v>1</v>
      </c>
      <c r="H258" s="467">
        <f>Allocation!$E$21</f>
        <v>2.3186160000000001E-2</v>
      </c>
      <c r="I258" s="430">
        <f t="shared" si="75"/>
        <v>7138.2380965064358</v>
      </c>
      <c r="K258" s="346">
        <f>[4]Reserve!$D75</f>
        <v>282904.37872539752</v>
      </c>
      <c r="L258" s="324">
        <f t="shared" si="76"/>
        <v>1</v>
      </c>
      <c r="M258" s="324">
        <f t="shared" si="77"/>
        <v>2.3186160000000001E-2</v>
      </c>
      <c r="N258" s="617">
        <f t="shared" si="78"/>
        <v>6559.4661898276627</v>
      </c>
      <c r="P258" s="661"/>
      <c r="S258" s="467"/>
      <c r="T258" s="467"/>
    </row>
    <row r="259" spans="1:20">
      <c r="A259" s="855">
        <f t="shared" si="80"/>
        <v>244</v>
      </c>
      <c r="B259" s="707">
        <v>39917</v>
      </c>
      <c r="C259" s="88" t="s">
        <v>1567</v>
      </c>
      <c r="D259" s="346">
        <f>[4]Reserve!$AF76</f>
        <v>85140.113774499958</v>
      </c>
      <c r="E259" s="430">
        <v>0</v>
      </c>
      <c r="F259" s="430">
        <f t="shared" si="74"/>
        <v>85140.113774499958</v>
      </c>
      <c r="G259" s="467">
        <v>1</v>
      </c>
      <c r="H259" s="467">
        <f>Allocation!$E$21</f>
        <v>2.3186160000000001E-2</v>
      </c>
      <c r="I259" s="430">
        <f t="shared" si="75"/>
        <v>1974.0723003937601</v>
      </c>
      <c r="K259" s="346">
        <f>[4]Reserve!$D76</f>
        <v>81696.10126749998</v>
      </c>
      <c r="L259" s="324">
        <f t="shared" si="76"/>
        <v>1</v>
      </c>
      <c r="M259" s="324">
        <f t="shared" si="77"/>
        <v>2.3186160000000001E-2</v>
      </c>
      <c r="N259" s="617">
        <f t="shared" si="78"/>
        <v>1894.2188753644575</v>
      </c>
      <c r="P259" s="661"/>
      <c r="S259" s="467"/>
      <c r="T259" s="467"/>
    </row>
    <row r="260" spans="1:20">
      <c r="A260" s="855">
        <f t="shared" si="80"/>
        <v>245</v>
      </c>
      <c r="B260" s="707">
        <v>39918</v>
      </c>
      <c r="C260" s="88" t="s">
        <v>1518</v>
      </c>
      <c r="D260" s="346">
        <f>[4]Reserve!$AF77</f>
        <v>12716.204256000006</v>
      </c>
      <c r="E260" s="430">
        <v>0</v>
      </c>
      <c r="F260" s="430">
        <f t="shared" si="74"/>
        <v>12716.204256000006</v>
      </c>
      <c r="G260" s="467">
        <v>1</v>
      </c>
      <c r="H260" s="467">
        <f>Allocation!$E$21</f>
        <v>2.3186160000000001E-2</v>
      </c>
      <c r="I260" s="430">
        <f t="shared" si="75"/>
        <v>294.83994647229713</v>
      </c>
      <c r="K260" s="346">
        <f>[4]Reserve!$D77</f>
        <v>12045.943040000002</v>
      </c>
      <c r="L260" s="324">
        <f t="shared" si="76"/>
        <v>1</v>
      </c>
      <c r="M260" s="324">
        <f t="shared" si="77"/>
        <v>2.3186160000000001E-2</v>
      </c>
      <c r="N260" s="617">
        <f t="shared" si="78"/>
        <v>279.29916267632643</v>
      </c>
      <c r="P260" s="661"/>
      <c r="S260" s="467"/>
      <c r="T260" s="467"/>
    </row>
    <row r="261" spans="1:20">
      <c r="A261" s="855">
        <f t="shared" si="80"/>
        <v>246</v>
      </c>
      <c r="B261" s="707">
        <v>39924</v>
      </c>
      <c r="C261" s="88" t="s">
        <v>1519</v>
      </c>
      <c r="D261" s="346">
        <f>[4]Reserve!$AF78</f>
        <v>0</v>
      </c>
      <c r="E261" s="430">
        <v>0</v>
      </c>
      <c r="F261" s="430">
        <f t="shared" si="74"/>
        <v>0</v>
      </c>
      <c r="G261" s="467">
        <f>Allocation!$C$15</f>
        <v>0.1095</v>
      </c>
      <c r="H261" s="467">
        <f>Allocation!$D$15</f>
        <v>0.51517972406888612</v>
      </c>
      <c r="I261" s="430">
        <f t="shared" si="75"/>
        <v>0</v>
      </c>
      <c r="K261" s="346">
        <f>[4]Reserve!$D78</f>
        <v>0</v>
      </c>
      <c r="L261" s="324">
        <f t="shared" si="76"/>
        <v>0.1095</v>
      </c>
      <c r="M261" s="324">
        <f t="shared" si="77"/>
        <v>0.51517972406888612</v>
      </c>
      <c r="N261" s="617">
        <f t="shared" si="78"/>
        <v>0</v>
      </c>
      <c r="P261" s="661"/>
      <c r="S261" s="467"/>
      <c r="T261" s="467"/>
    </row>
    <row r="262" spans="1:20">
      <c r="A262" s="855">
        <f t="shared" si="80"/>
        <v>247</v>
      </c>
      <c r="B262" s="707"/>
      <c r="C262" s="88" t="s">
        <v>1143</v>
      </c>
      <c r="D262" s="346">
        <f>[4]Reserve!$AF79</f>
        <v>0</v>
      </c>
      <c r="E262" s="381">
        <v>0</v>
      </c>
      <c r="F262" s="430">
        <f t="shared" si="74"/>
        <v>0</v>
      </c>
      <c r="G262" s="467">
        <f>$G$233</f>
        <v>0.1095</v>
      </c>
      <c r="H262" s="467">
        <f>$H$233</f>
        <v>0.51517972406888612</v>
      </c>
      <c r="I262" s="1043">
        <f t="shared" si="75"/>
        <v>0</v>
      </c>
      <c r="K262" s="346">
        <f>[4]Reserve!$D79</f>
        <v>0</v>
      </c>
      <c r="L262" s="324">
        <f t="shared" si="76"/>
        <v>0.1095</v>
      </c>
      <c r="M262" s="324">
        <f t="shared" si="77"/>
        <v>0.51517972406888612</v>
      </c>
      <c r="N262" s="1046">
        <f t="shared" si="78"/>
        <v>0</v>
      </c>
      <c r="P262" s="661"/>
      <c r="S262" s="467"/>
      <c r="T262" s="467"/>
    </row>
    <row r="263" spans="1:20">
      <c r="A263" s="855">
        <f t="shared" si="80"/>
        <v>248</v>
      </c>
      <c r="B263" s="81"/>
      <c r="C263" s="88"/>
      <c r="D263" s="1061"/>
      <c r="E263" s="619"/>
      <c r="F263" s="619"/>
    </row>
    <row r="264" spans="1:20" ht="15.75" thickBot="1">
      <c r="A264" s="855">
        <f t="shared" si="80"/>
        <v>249</v>
      </c>
      <c r="B264" s="81"/>
      <c r="C264" s="233" t="s">
        <v>1326</v>
      </c>
      <c r="D264" s="512">
        <f>SUM(D233:D263)</f>
        <v>60572349.568241633</v>
      </c>
      <c r="E264" s="512">
        <f>SUM(E233:E263)</f>
        <v>0</v>
      </c>
      <c r="F264" s="512">
        <f>SUM(F233:F263)</f>
        <v>60572349.568241633</v>
      </c>
      <c r="I264" s="512">
        <f>SUM(I233:I263)</f>
        <v>3258116.6122168587</v>
      </c>
      <c r="K264" s="512">
        <f>SUM(K233:K263)</f>
        <v>56179182.557673514</v>
      </c>
      <c r="N264" s="512">
        <f>SUM(N233:N263)</f>
        <v>3020151.4851876344</v>
      </c>
    </row>
    <row r="265" spans="1:20" ht="15.75" thickTop="1">
      <c r="A265" s="855">
        <f t="shared" si="80"/>
        <v>250</v>
      </c>
    </row>
    <row r="266" spans="1:20" ht="30.75" thickBot="1">
      <c r="A266" s="855">
        <f t="shared" si="80"/>
        <v>251</v>
      </c>
      <c r="C266" s="615" t="s">
        <v>1145</v>
      </c>
      <c r="D266" s="512">
        <f>D264+D228+D183+D120</f>
        <v>380653318.60956573</v>
      </c>
      <c r="E266" s="512">
        <f>E264+E228+E183+E120</f>
        <v>0</v>
      </c>
      <c r="F266" s="512">
        <f>F264+F228+F183+F120</f>
        <v>380653318.60956573</v>
      </c>
      <c r="I266" s="512">
        <f>I264+I228+I183+I120</f>
        <v>192058977.10581711</v>
      </c>
      <c r="K266" s="512">
        <f>K264+K228+K183+K120</f>
        <v>367578900.19341373</v>
      </c>
      <c r="N266" s="512">
        <f>N264+N228+N183+N120</f>
        <v>190842183.17524651</v>
      </c>
    </row>
    <row r="267" spans="1:20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66" top="1" bottom="0.94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2" max="13" man="1"/>
    <brk id="155" max="13" man="1"/>
    <brk id="183" max="13" man="1"/>
    <brk id="22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7"/>
  <sheetViews>
    <sheetView view="pageBreakPreview" zoomScale="60" zoomScaleNormal="70" workbookViewId="0">
      <pane ySplit="12" topLeftCell="A187" activePane="bottomLeft" state="frozen"/>
      <selection activeCell="F59" sqref="F59:F60"/>
      <selection pane="bottomLeft" activeCell="D206" sqref="D206"/>
    </sheetView>
  </sheetViews>
  <sheetFormatPr defaultRowHeight="15"/>
  <cols>
    <col min="1" max="1" width="4.77734375" style="80" customWidth="1"/>
    <col min="2" max="2" width="9.33203125" style="80" customWidth="1"/>
    <col min="3" max="3" width="34.33203125" style="80" customWidth="1"/>
    <col min="4" max="4" width="14.109375" style="80" customWidth="1"/>
    <col min="5" max="5" width="11" style="854" customWidth="1"/>
    <col min="6" max="6" width="11.33203125" style="854" customWidth="1"/>
    <col min="7" max="7" width="11.109375" style="854" customWidth="1"/>
    <col min="8" max="8" width="15.109375" style="80" customWidth="1"/>
    <col min="9" max="9" width="3.21875" style="80" customWidth="1"/>
    <col min="10" max="10" width="4.33203125" style="80" customWidth="1"/>
    <col min="11" max="11" width="11.109375" style="80" customWidth="1"/>
    <col min="12" max="12" width="9.6640625" style="80" customWidth="1"/>
    <col min="13" max="13" width="13.88671875" style="80" customWidth="1"/>
    <col min="14" max="16384" width="8.88671875" style="80"/>
  </cols>
  <sheetData>
    <row r="1" spans="1:13">
      <c r="A1" s="1200" t="str">
        <f>'Table of Contents'!A1:C1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</row>
    <row r="2" spans="1:13">
      <c r="A2" s="1200" t="str">
        <f>'Table of Contents'!A2:C2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</row>
    <row r="3" spans="1:13">
      <c r="A3" s="1200" t="s">
        <v>91</v>
      </c>
      <c r="B3" s="1200"/>
      <c r="C3" s="1200"/>
      <c r="D3" s="1200"/>
      <c r="E3" s="1200"/>
      <c r="F3" s="1200"/>
      <c r="G3" s="1200"/>
      <c r="H3" s="1200"/>
      <c r="I3" s="1200"/>
    </row>
    <row r="4" spans="1:13">
      <c r="A4" s="1200" t="str">
        <f>'Table of Contents'!A4:C4</f>
        <v>Forecasted Test Period: Twelve Months Ended March 31, 2020</v>
      </c>
      <c r="B4" s="1200"/>
      <c r="C4" s="1200"/>
      <c r="D4" s="1200"/>
      <c r="E4" s="1200"/>
      <c r="F4" s="1200"/>
      <c r="G4" s="1200"/>
      <c r="H4" s="1200"/>
      <c r="I4" s="1200"/>
    </row>
    <row r="5" spans="1:13" ht="15.75">
      <c r="A5" s="150"/>
      <c r="B5" s="150"/>
      <c r="C5" s="150"/>
      <c r="D5" s="902"/>
      <c r="E5" s="732"/>
      <c r="F5" s="857"/>
      <c r="G5" s="857"/>
      <c r="H5" s="81"/>
      <c r="I5" s="81"/>
    </row>
    <row r="6" spans="1:13" ht="15.75">
      <c r="A6" s="88" t="str">
        <f>'B.1 F '!A6</f>
        <v>Data:______Base Period__X___Forecasted Period</v>
      </c>
      <c r="B6" s="81"/>
      <c r="C6" s="81"/>
      <c r="D6" s="81"/>
      <c r="E6" s="857"/>
      <c r="F6" s="857"/>
      <c r="H6" s="901" t="s">
        <v>1420</v>
      </c>
      <c r="M6" s="902"/>
    </row>
    <row r="7" spans="1:13">
      <c r="A7" s="88" t="str">
        <f>'B.1 F '!A7</f>
        <v>Type of Filing:___X____Original________Updated ________Revised</v>
      </c>
      <c r="B7" s="88"/>
      <c r="C7" s="81"/>
      <c r="D7" s="81"/>
      <c r="E7" s="857"/>
      <c r="F7" s="857"/>
      <c r="H7" s="1028" t="s">
        <v>698</v>
      </c>
      <c r="I7" s="88"/>
    </row>
    <row r="8" spans="1:13">
      <c r="A8" s="391" t="str">
        <f>'B.1 F '!A8</f>
        <v>Workpaper Reference No(s).</v>
      </c>
      <c r="B8" s="151"/>
      <c r="C8" s="151"/>
      <c r="D8" s="151"/>
      <c r="E8" s="1063"/>
      <c r="F8" s="1063"/>
      <c r="G8" s="929"/>
      <c r="H8" s="550" t="str">
        <f>'B.2 B'!N8</f>
        <v>Witness: Waller</v>
      </c>
      <c r="I8" s="391"/>
    </row>
    <row r="9" spans="1:13">
      <c r="A9" s="1027"/>
      <c r="B9" s="74"/>
      <c r="C9" s="74"/>
      <c r="D9" s="74"/>
      <c r="E9" s="717"/>
      <c r="F9" s="76"/>
      <c r="G9" s="75"/>
      <c r="H9" s="1027"/>
      <c r="I9" s="1027"/>
    </row>
    <row r="10" spans="1:13">
      <c r="A10" s="1027"/>
      <c r="B10" s="74"/>
      <c r="C10" s="74"/>
      <c r="D10" s="857" t="s">
        <v>1329</v>
      </c>
      <c r="E10" s="76" t="s">
        <v>1270</v>
      </c>
      <c r="F10" s="76" t="s">
        <v>13</v>
      </c>
      <c r="G10" s="855" t="s">
        <v>11</v>
      </c>
      <c r="H10" s="1027"/>
      <c r="I10" s="1027"/>
    </row>
    <row r="11" spans="1:13">
      <c r="A11" s="88" t="s">
        <v>93</v>
      </c>
      <c r="B11" s="855" t="s">
        <v>268</v>
      </c>
      <c r="C11" s="855" t="s">
        <v>216</v>
      </c>
      <c r="D11" s="857" t="s">
        <v>1328</v>
      </c>
      <c r="E11" s="855" t="s">
        <v>270</v>
      </c>
      <c r="F11" s="855" t="s">
        <v>14</v>
      </c>
      <c r="G11" s="75" t="s">
        <v>594</v>
      </c>
      <c r="H11" s="855" t="s">
        <v>12</v>
      </c>
      <c r="I11" s="855"/>
    </row>
    <row r="12" spans="1:13">
      <c r="A12" s="185" t="s">
        <v>99</v>
      </c>
      <c r="B12" s="185" t="s">
        <v>99</v>
      </c>
      <c r="C12" s="185" t="s">
        <v>296</v>
      </c>
      <c r="D12" s="1064">
        <f>'B.2 F'!D10</f>
        <v>43921</v>
      </c>
      <c r="E12" s="185" t="s">
        <v>1002</v>
      </c>
      <c r="F12" s="185" t="s">
        <v>627</v>
      </c>
      <c r="G12" s="185" t="s">
        <v>627</v>
      </c>
      <c r="H12" s="185" t="s">
        <v>104</v>
      </c>
      <c r="I12" s="75"/>
      <c r="K12" s="429"/>
      <c r="L12" s="429"/>
    </row>
    <row r="13" spans="1:13">
      <c r="A13" s="75"/>
      <c r="B13" s="75"/>
      <c r="C13" s="75"/>
      <c r="D13" s="75"/>
      <c r="E13" s="75"/>
      <c r="F13" s="75"/>
      <c r="G13" s="75"/>
      <c r="H13" s="75"/>
      <c r="I13" s="75"/>
    </row>
    <row r="14" spans="1:13" ht="15.75">
      <c r="B14" s="942" t="s">
        <v>6</v>
      </c>
    </row>
    <row r="15" spans="1:13">
      <c r="A15" s="855">
        <v>1</v>
      </c>
      <c r="B15" s="81"/>
      <c r="C15" s="620" t="s">
        <v>297</v>
      </c>
    </row>
    <row r="16" spans="1:13">
      <c r="A16" s="855">
        <f>A15+1</f>
        <v>2</v>
      </c>
      <c r="B16" s="514">
        <v>30100</v>
      </c>
      <c r="C16" s="88" t="s">
        <v>291</v>
      </c>
      <c r="D16" s="346">
        <f>[4]Reserve!$BK112</f>
        <v>0</v>
      </c>
      <c r="E16" s="467">
        <v>1</v>
      </c>
      <c r="F16" s="466">
        <v>1</v>
      </c>
      <c r="G16" s="466">
        <f>$F$16</f>
        <v>1</v>
      </c>
      <c r="H16" s="346">
        <f>D16*E16*F16*G16</f>
        <v>0</v>
      </c>
      <c r="I16" s="916"/>
    </row>
    <row r="17" spans="1:8">
      <c r="A17" s="855">
        <f t="shared" ref="A17:A83" si="0">A16+1</f>
        <v>3</v>
      </c>
      <c r="B17" s="514">
        <v>30200</v>
      </c>
      <c r="C17" s="88" t="s">
        <v>153</v>
      </c>
      <c r="D17" s="346">
        <f>[4]Reserve!$BK113</f>
        <v>0</v>
      </c>
      <c r="E17" s="467">
        <v>1</v>
      </c>
      <c r="F17" s="466">
        <f>$F$16</f>
        <v>1</v>
      </c>
      <c r="G17" s="466">
        <f>$F$16</f>
        <v>1</v>
      </c>
      <c r="H17" s="430">
        <f>D17*E17*F17*G17</f>
        <v>0</v>
      </c>
    </row>
    <row r="18" spans="1:8">
      <c r="A18" s="855">
        <f t="shared" si="0"/>
        <v>4</v>
      </c>
      <c r="B18" s="514"/>
      <c r="C18" s="88"/>
      <c r="D18" s="1057"/>
      <c r="E18" s="467"/>
      <c r="F18" s="466"/>
      <c r="G18" s="466"/>
      <c r="H18" s="1057"/>
    </row>
    <row r="19" spans="1:8">
      <c r="A19" s="855">
        <f t="shared" si="0"/>
        <v>5</v>
      </c>
      <c r="B19" s="707"/>
      <c r="C19" s="88" t="s">
        <v>1340</v>
      </c>
      <c r="D19" s="346">
        <f>SUM(D16:D18)</f>
        <v>0</v>
      </c>
      <c r="E19" s="467"/>
      <c r="F19" s="466"/>
      <c r="G19" s="466"/>
      <c r="H19" s="346">
        <f>SUM(H16:H18)</f>
        <v>0</v>
      </c>
    </row>
    <row r="20" spans="1:8">
      <c r="A20" s="855">
        <f t="shared" si="0"/>
        <v>6</v>
      </c>
      <c r="B20" s="707"/>
      <c r="C20" s="81"/>
      <c r="D20" s="430"/>
      <c r="E20" s="467"/>
      <c r="F20" s="466"/>
      <c r="G20" s="466"/>
      <c r="H20" s="430"/>
    </row>
    <row r="21" spans="1:8">
      <c r="A21" s="855">
        <f t="shared" si="0"/>
        <v>7</v>
      </c>
      <c r="B21" s="707"/>
      <c r="C21" s="620" t="s">
        <v>154</v>
      </c>
      <c r="D21" s="430"/>
      <c r="E21" s="467"/>
      <c r="F21" s="466"/>
      <c r="G21" s="466"/>
      <c r="H21" s="430"/>
    </row>
    <row r="22" spans="1:8">
      <c r="A22" s="855">
        <f t="shared" si="0"/>
        <v>8</v>
      </c>
      <c r="B22" s="514">
        <v>32540</v>
      </c>
      <c r="C22" s="88" t="s">
        <v>161</v>
      </c>
      <c r="D22" s="346">
        <f>[4]Reserve!$BK114</f>
        <v>0</v>
      </c>
      <c r="E22" s="467">
        <v>1</v>
      </c>
      <c r="F22" s="466">
        <f t="shared" ref="F22:G24" si="1">$F$16</f>
        <v>1</v>
      </c>
      <c r="G22" s="466">
        <f t="shared" si="1"/>
        <v>1</v>
      </c>
      <c r="H22" s="430">
        <f t="shared" ref="H22:H24" si="2">D22*E22*F22*G22</f>
        <v>0</v>
      </c>
    </row>
    <row r="23" spans="1:8">
      <c r="A23" s="855">
        <f t="shared" si="0"/>
        <v>9</v>
      </c>
      <c r="B23" s="514">
        <v>33202</v>
      </c>
      <c r="C23" s="88" t="s">
        <v>596</v>
      </c>
      <c r="D23" s="346">
        <f>[4]Reserve!$BK115</f>
        <v>0</v>
      </c>
      <c r="E23" s="467">
        <v>1</v>
      </c>
      <c r="F23" s="466">
        <f t="shared" si="1"/>
        <v>1</v>
      </c>
      <c r="G23" s="466">
        <f t="shared" si="1"/>
        <v>1</v>
      </c>
      <c r="H23" s="430">
        <f t="shared" si="2"/>
        <v>0</v>
      </c>
    </row>
    <row r="24" spans="1:8">
      <c r="A24" s="855">
        <f t="shared" si="0"/>
        <v>10</v>
      </c>
      <c r="B24" s="514">
        <v>33400</v>
      </c>
      <c r="C24" s="88" t="s">
        <v>1119</v>
      </c>
      <c r="D24" s="346">
        <f>[4]Reserve!$BK116</f>
        <v>0</v>
      </c>
      <c r="E24" s="467">
        <v>1</v>
      </c>
      <c r="F24" s="466">
        <f t="shared" si="1"/>
        <v>1</v>
      </c>
      <c r="G24" s="466">
        <f t="shared" si="1"/>
        <v>1</v>
      </c>
      <c r="H24" s="430">
        <f t="shared" si="2"/>
        <v>0</v>
      </c>
    </row>
    <row r="25" spans="1:8">
      <c r="A25" s="855">
        <f t="shared" si="0"/>
        <v>11</v>
      </c>
      <c r="B25" s="514"/>
      <c r="C25" s="81"/>
      <c r="D25" s="1057"/>
      <c r="E25" s="467"/>
      <c r="F25" s="466"/>
      <c r="G25" s="466"/>
      <c r="H25" s="430"/>
    </row>
    <row r="26" spans="1:8">
      <c r="A26" s="855">
        <f t="shared" si="0"/>
        <v>12</v>
      </c>
      <c r="B26" s="514"/>
      <c r="C26" s="81" t="s">
        <v>1339</v>
      </c>
      <c r="D26" s="346">
        <f>SUM(D22:D25)</f>
        <v>0</v>
      </c>
      <c r="E26" s="467"/>
      <c r="F26" s="466"/>
      <c r="G26" s="466"/>
      <c r="H26" s="346">
        <f>SUM(H22:H25)</f>
        <v>0</v>
      </c>
    </row>
    <row r="27" spans="1:8">
      <c r="A27" s="855">
        <f t="shared" si="0"/>
        <v>13</v>
      </c>
      <c r="B27" s="514"/>
      <c r="C27" s="88"/>
      <c r="D27" s="430"/>
      <c r="E27" s="467"/>
      <c r="F27" s="466"/>
      <c r="G27" s="466"/>
      <c r="H27" s="430"/>
    </row>
    <row r="28" spans="1:8">
      <c r="A28" s="855">
        <f t="shared" si="0"/>
        <v>14</v>
      </c>
      <c r="B28" s="514"/>
      <c r="C28" s="620" t="s">
        <v>279</v>
      </c>
      <c r="D28" s="430"/>
      <c r="E28" s="467"/>
      <c r="F28" s="466"/>
      <c r="G28" s="466"/>
      <c r="H28" s="430"/>
    </row>
    <row r="29" spans="1:8">
      <c r="A29" s="855">
        <f t="shared" si="0"/>
        <v>15</v>
      </c>
      <c r="B29" s="514">
        <v>35010</v>
      </c>
      <c r="C29" s="88" t="s">
        <v>292</v>
      </c>
      <c r="D29" s="346">
        <f>[4]Reserve!$BK117</f>
        <v>0</v>
      </c>
      <c r="E29" s="467">
        <v>1</v>
      </c>
      <c r="F29" s="466">
        <f t="shared" ref="F29:G45" si="3">$F$16</f>
        <v>1</v>
      </c>
      <c r="G29" s="466">
        <f t="shared" si="3"/>
        <v>1</v>
      </c>
      <c r="H29" s="346">
        <f t="shared" ref="H29:H45" si="4">D29*E29*F29*G29</f>
        <v>0</v>
      </c>
    </row>
    <row r="30" spans="1:8">
      <c r="A30" s="855">
        <f t="shared" si="0"/>
        <v>16</v>
      </c>
      <c r="B30" s="514">
        <v>35020</v>
      </c>
      <c r="C30" s="88" t="s">
        <v>792</v>
      </c>
      <c r="D30" s="346">
        <f>[4]Reserve!$BK118</f>
        <v>16.853688000000002</v>
      </c>
      <c r="E30" s="467">
        <v>1</v>
      </c>
      <c r="F30" s="466">
        <f t="shared" si="3"/>
        <v>1</v>
      </c>
      <c r="G30" s="466">
        <f t="shared" si="3"/>
        <v>1</v>
      </c>
      <c r="H30" s="430">
        <f t="shared" si="4"/>
        <v>16.853688000000002</v>
      </c>
    </row>
    <row r="31" spans="1:8">
      <c r="A31" s="855">
        <f t="shared" si="0"/>
        <v>17</v>
      </c>
      <c r="B31" s="514">
        <v>35100</v>
      </c>
      <c r="C31" s="88" t="s">
        <v>969</v>
      </c>
      <c r="D31" s="346">
        <f>[4]Reserve!$BK119</f>
        <v>286.65904</v>
      </c>
      <c r="E31" s="467">
        <v>1</v>
      </c>
      <c r="F31" s="466">
        <f t="shared" si="3"/>
        <v>1</v>
      </c>
      <c r="G31" s="466">
        <f t="shared" si="3"/>
        <v>1</v>
      </c>
      <c r="H31" s="430">
        <f t="shared" si="4"/>
        <v>286.65904</v>
      </c>
    </row>
    <row r="32" spans="1:8">
      <c r="A32" s="855">
        <f t="shared" si="0"/>
        <v>18</v>
      </c>
      <c r="B32" s="514">
        <v>35102</v>
      </c>
      <c r="C32" s="88" t="s">
        <v>280</v>
      </c>
      <c r="D32" s="346">
        <f>[4]Reserve!$BK120</f>
        <v>1808.4833399999995</v>
      </c>
      <c r="E32" s="467">
        <v>1</v>
      </c>
      <c r="F32" s="466">
        <f t="shared" si="3"/>
        <v>1</v>
      </c>
      <c r="G32" s="466">
        <f t="shared" si="3"/>
        <v>1</v>
      </c>
      <c r="H32" s="430">
        <f t="shared" si="4"/>
        <v>1808.4833399999995</v>
      </c>
    </row>
    <row r="33" spans="1:8">
      <c r="A33" s="855">
        <f t="shared" si="0"/>
        <v>19</v>
      </c>
      <c r="B33" s="514">
        <v>35103</v>
      </c>
      <c r="C33" s="88" t="s">
        <v>585</v>
      </c>
      <c r="D33" s="346">
        <f>[4]Reserve!$BK121</f>
        <v>182.79320199999998</v>
      </c>
      <c r="E33" s="467">
        <v>1</v>
      </c>
      <c r="F33" s="466">
        <f t="shared" si="3"/>
        <v>1</v>
      </c>
      <c r="G33" s="466">
        <f t="shared" si="3"/>
        <v>1</v>
      </c>
      <c r="H33" s="430">
        <f t="shared" si="4"/>
        <v>182.79320199999998</v>
      </c>
    </row>
    <row r="34" spans="1:8">
      <c r="A34" s="855">
        <f t="shared" si="0"/>
        <v>20</v>
      </c>
      <c r="B34" s="514">
        <v>35104</v>
      </c>
      <c r="C34" s="88" t="s">
        <v>586</v>
      </c>
      <c r="D34" s="346">
        <f>[4]Reserve!$BK122</f>
        <v>1649.3103600000002</v>
      </c>
      <c r="E34" s="467">
        <v>1</v>
      </c>
      <c r="F34" s="466">
        <f t="shared" si="3"/>
        <v>1</v>
      </c>
      <c r="G34" s="466">
        <f t="shared" si="3"/>
        <v>1</v>
      </c>
      <c r="H34" s="430">
        <f t="shared" si="4"/>
        <v>1649.3103600000002</v>
      </c>
    </row>
    <row r="35" spans="1:8">
      <c r="A35" s="855">
        <f t="shared" si="0"/>
        <v>21</v>
      </c>
      <c r="B35" s="514">
        <v>35200</v>
      </c>
      <c r="C35" s="88" t="s">
        <v>441</v>
      </c>
      <c r="D35" s="346">
        <f>[4]Reserve!$BK123</f>
        <v>158617.31223609045</v>
      </c>
      <c r="E35" s="467">
        <v>1</v>
      </c>
      <c r="F35" s="466">
        <f t="shared" si="3"/>
        <v>1</v>
      </c>
      <c r="G35" s="466">
        <f t="shared" si="3"/>
        <v>1</v>
      </c>
      <c r="H35" s="430">
        <f t="shared" si="4"/>
        <v>158617.31223609045</v>
      </c>
    </row>
    <row r="36" spans="1:8">
      <c r="A36" s="855">
        <f t="shared" si="0"/>
        <v>22</v>
      </c>
      <c r="B36" s="514">
        <v>35201</v>
      </c>
      <c r="C36" s="88" t="s">
        <v>587</v>
      </c>
      <c r="D36" s="346">
        <f>[4]Reserve!$BK124</f>
        <v>24139.97926800001</v>
      </c>
      <c r="E36" s="467">
        <v>1</v>
      </c>
      <c r="F36" s="466">
        <f t="shared" si="3"/>
        <v>1</v>
      </c>
      <c r="G36" s="466">
        <f t="shared" si="3"/>
        <v>1</v>
      </c>
      <c r="H36" s="430">
        <f t="shared" si="4"/>
        <v>24139.97926800001</v>
      </c>
    </row>
    <row r="37" spans="1:8">
      <c r="A37" s="855">
        <f t="shared" si="0"/>
        <v>23</v>
      </c>
      <c r="B37" s="514">
        <v>35202</v>
      </c>
      <c r="C37" s="88" t="s">
        <v>588</v>
      </c>
      <c r="D37" s="346">
        <f>[4]Reserve!$BK125</f>
        <v>0</v>
      </c>
      <c r="E37" s="467">
        <v>1</v>
      </c>
      <c r="F37" s="466">
        <f t="shared" si="3"/>
        <v>1</v>
      </c>
      <c r="G37" s="466">
        <f t="shared" si="3"/>
        <v>1</v>
      </c>
      <c r="H37" s="430">
        <f t="shared" si="4"/>
        <v>0</v>
      </c>
    </row>
    <row r="38" spans="1:8">
      <c r="A38" s="855">
        <f t="shared" si="0"/>
        <v>24</v>
      </c>
      <c r="B38" s="514">
        <v>35203</v>
      </c>
      <c r="C38" s="88" t="s">
        <v>343</v>
      </c>
      <c r="D38" s="346">
        <f>[4]Reserve!$BK126</f>
        <v>23049.728256000002</v>
      </c>
      <c r="E38" s="467">
        <v>1</v>
      </c>
      <c r="F38" s="466">
        <f t="shared" si="3"/>
        <v>1</v>
      </c>
      <c r="G38" s="466">
        <f t="shared" si="3"/>
        <v>1</v>
      </c>
      <c r="H38" s="430">
        <f t="shared" si="4"/>
        <v>23049.728256000002</v>
      </c>
    </row>
    <row r="39" spans="1:8">
      <c r="A39" s="855">
        <f t="shared" si="0"/>
        <v>25</v>
      </c>
      <c r="B39" s="514">
        <v>35210</v>
      </c>
      <c r="C39" s="88" t="s">
        <v>589</v>
      </c>
      <c r="D39" s="346">
        <f>[4]Reserve!$BK127</f>
        <v>267.79513500000002</v>
      </c>
      <c r="E39" s="467">
        <v>1</v>
      </c>
      <c r="F39" s="466">
        <f t="shared" si="3"/>
        <v>1</v>
      </c>
      <c r="G39" s="466">
        <f t="shared" si="3"/>
        <v>1</v>
      </c>
      <c r="H39" s="430">
        <f t="shared" si="4"/>
        <v>267.79513500000002</v>
      </c>
    </row>
    <row r="40" spans="1:8">
      <c r="A40" s="855">
        <f t="shared" si="0"/>
        <v>26</v>
      </c>
      <c r="B40" s="514">
        <v>35211</v>
      </c>
      <c r="C40" s="88" t="s">
        <v>590</v>
      </c>
      <c r="D40" s="346">
        <f>[4]Reserve!$BK128</f>
        <v>425.99130600000007</v>
      </c>
      <c r="E40" s="467">
        <v>1</v>
      </c>
      <c r="F40" s="466">
        <f t="shared" si="3"/>
        <v>1</v>
      </c>
      <c r="G40" s="466">
        <f t="shared" si="3"/>
        <v>1</v>
      </c>
      <c r="H40" s="430">
        <f t="shared" si="4"/>
        <v>425.99130600000007</v>
      </c>
    </row>
    <row r="41" spans="1:8">
      <c r="A41" s="855">
        <f t="shared" si="0"/>
        <v>27</v>
      </c>
      <c r="B41" s="514">
        <v>35301</v>
      </c>
      <c r="C41" s="81" t="s">
        <v>162</v>
      </c>
      <c r="D41" s="346">
        <f>[4]Reserve!$BK129</f>
        <v>1963.9241439999994</v>
      </c>
      <c r="E41" s="467">
        <v>1</v>
      </c>
      <c r="F41" s="466">
        <f t="shared" si="3"/>
        <v>1</v>
      </c>
      <c r="G41" s="466">
        <f t="shared" si="3"/>
        <v>1</v>
      </c>
      <c r="H41" s="430">
        <f t="shared" si="4"/>
        <v>1963.9241439999994</v>
      </c>
    </row>
    <row r="42" spans="1:8">
      <c r="A42" s="855">
        <f t="shared" si="0"/>
        <v>28</v>
      </c>
      <c r="B42" s="514">
        <v>35302</v>
      </c>
      <c r="C42" s="88" t="s">
        <v>596</v>
      </c>
      <c r="D42" s="346">
        <f>[4]Reserve!$BK130</f>
        <v>2344.3716799999997</v>
      </c>
      <c r="E42" s="467">
        <v>1</v>
      </c>
      <c r="F42" s="466">
        <f t="shared" si="3"/>
        <v>1</v>
      </c>
      <c r="G42" s="466">
        <f t="shared" si="3"/>
        <v>1</v>
      </c>
      <c r="H42" s="430">
        <f t="shared" si="4"/>
        <v>2344.3716799999997</v>
      </c>
    </row>
    <row r="43" spans="1:8">
      <c r="A43" s="855">
        <f t="shared" si="0"/>
        <v>29</v>
      </c>
      <c r="B43" s="514">
        <v>35400</v>
      </c>
      <c r="C43" s="88" t="s">
        <v>591</v>
      </c>
      <c r="D43" s="346">
        <f>[4]Reserve!$BK131</f>
        <v>15144.515219999999</v>
      </c>
      <c r="E43" s="467">
        <v>1</v>
      </c>
      <c r="F43" s="466">
        <f t="shared" si="3"/>
        <v>1</v>
      </c>
      <c r="G43" s="466">
        <f t="shared" si="3"/>
        <v>1</v>
      </c>
      <c r="H43" s="430">
        <f t="shared" si="4"/>
        <v>15144.515219999999</v>
      </c>
    </row>
    <row r="44" spans="1:8">
      <c r="A44" s="855">
        <f t="shared" si="0"/>
        <v>30</v>
      </c>
      <c r="B44" s="514">
        <v>35500</v>
      </c>
      <c r="C44" s="88" t="s">
        <v>992</v>
      </c>
      <c r="D44" s="346">
        <f>[4]Reserve!$BK132</f>
        <v>4669.7428980000004</v>
      </c>
      <c r="E44" s="467">
        <v>1</v>
      </c>
      <c r="F44" s="466">
        <f t="shared" si="3"/>
        <v>1</v>
      </c>
      <c r="G44" s="466">
        <f t="shared" si="3"/>
        <v>1</v>
      </c>
      <c r="H44" s="430">
        <f t="shared" si="4"/>
        <v>4669.7428980000004</v>
      </c>
    </row>
    <row r="45" spans="1:8">
      <c r="A45" s="855">
        <f t="shared" si="0"/>
        <v>31</v>
      </c>
      <c r="B45" s="514">
        <v>35600</v>
      </c>
      <c r="C45" s="88" t="s">
        <v>1040</v>
      </c>
      <c r="D45" s="346">
        <f>[4]Reserve!$BK133</f>
        <v>8085.9372750000002</v>
      </c>
      <c r="E45" s="467">
        <v>1</v>
      </c>
      <c r="F45" s="466">
        <f t="shared" si="3"/>
        <v>1</v>
      </c>
      <c r="G45" s="466">
        <f t="shared" si="3"/>
        <v>1</v>
      </c>
      <c r="H45" s="1043">
        <f t="shared" si="4"/>
        <v>8085.9372750000002</v>
      </c>
    </row>
    <row r="46" spans="1:8">
      <c r="A46" s="855">
        <f t="shared" si="0"/>
        <v>32</v>
      </c>
      <c r="B46" s="514"/>
      <c r="C46" s="88"/>
      <c r="D46" s="1057"/>
      <c r="E46" s="467"/>
      <c r="F46" s="466"/>
      <c r="G46" s="466"/>
      <c r="H46" s="430"/>
    </row>
    <row r="47" spans="1:8">
      <c r="A47" s="855">
        <f t="shared" si="0"/>
        <v>33</v>
      </c>
      <c r="B47" s="514"/>
      <c r="C47" s="88" t="s">
        <v>1337</v>
      </c>
      <c r="D47" s="346">
        <f>SUM(D29:D46)</f>
        <v>242653.3970480905</v>
      </c>
      <c r="E47" s="467"/>
      <c r="F47" s="466"/>
      <c r="G47" s="466"/>
      <c r="H47" s="346">
        <f>SUM(H29:H46)</f>
        <v>242653.3970480905</v>
      </c>
    </row>
    <row r="48" spans="1:8">
      <c r="A48" s="855">
        <f t="shared" si="0"/>
        <v>34</v>
      </c>
      <c r="B48" s="514"/>
      <c r="C48" s="88"/>
      <c r="D48" s="430"/>
      <c r="E48" s="467"/>
      <c r="F48" s="466"/>
      <c r="G48" s="466"/>
      <c r="H48" s="430"/>
    </row>
    <row r="49" spans="1:8">
      <c r="A49" s="855">
        <f t="shared" si="0"/>
        <v>35</v>
      </c>
      <c r="B49" s="514"/>
      <c r="C49" s="620" t="s">
        <v>993</v>
      </c>
      <c r="D49" s="430"/>
      <c r="E49" s="467"/>
      <c r="F49" s="466"/>
      <c r="G49" s="466"/>
      <c r="H49" s="430"/>
    </row>
    <row r="50" spans="1:8">
      <c r="A50" s="855">
        <f t="shared" si="0"/>
        <v>36</v>
      </c>
      <c r="B50" s="514">
        <v>36510</v>
      </c>
      <c r="C50" s="88" t="s">
        <v>292</v>
      </c>
      <c r="D50" s="346">
        <f>[4]Reserve!$BK134</f>
        <v>0</v>
      </c>
      <c r="E50" s="467">
        <v>1</v>
      </c>
      <c r="F50" s="466">
        <f t="shared" ref="F50:G58" si="5">$F$16</f>
        <v>1</v>
      </c>
      <c r="G50" s="466">
        <f t="shared" si="5"/>
        <v>1</v>
      </c>
      <c r="H50" s="346">
        <f t="shared" ref="H50:H58" si="6">D50*E50*F50*G50</f>
        <v>0</v>
      </c>
    </row>
    <row r="51" spans="1:8">
      <c r="A51" s="855">
        <f t="shared" si="0"/>
        <v>37</v>
      </c>
      <c r="B51" s="514">
        <v>36520</v>
      </c>
      <c r="C51" s="88" t="s">
        <v>792</v>
      </c>
      <c r="D51" s="346">
        <f>[4]Reserve!$BK135</f>
        <v>6421.5128000000004</v>
      </c>
      <c r="E51" s="467">
        <v>1</v>
      </c>
      <c r="F51" s="466">
        <f t="shared" si="5"/>
        <v>1</v>
      </c>
      <c r="G51" s="466">
        <f t="shared" si="5"/>
        <v>1</v>
      </c>
      <c r="H51" s="430">
        <f t="shared" si="6"/>
        <v>6421.5128000000004</v>
      </c>
    </row>
    <row r="52" spans="1:8">
      <c r="A52" s="855">
        <f t="shared" si="0"/>
        <v>38</v>
      </c>
      <c r="B52" s="514">
        <v>36602</v>
      </c>
      <c r="C52" s="88" t="s">
        <v>856</v>
      </c>
      <c r="D52" s="346">
        <f>[4]Reserve!$BK136</f>
        <v>347.91221200000001</v>
      </c>
      <c r="E52" s="467">
        <v>1</v>
      </c>
      <c r="F52" s="466">
        <f t="shared" si="5"/>
        <v>1</v>
      </c>
      <c r="G52" s="466">
        <f t="shared" si="5"/>
        <v>1</v>
      </c>
      <c r="H52" s="430">
        <f t="shared" si="6"/>
        <v>347.91221200000001</v>
      </c>
    </row>
    <row r="53" spans="1:8">
      <c r="A53" s="855">
        <f t="shared" si="0"/>
        <v>39</v>
      </c>
      <c r="B53" s="514">
        <v>36603</v>
      </c>
      <c r="C53" s="88" t="s">
        <v>994</v>
      </c>
      <c r="D53" s="346">
        <f>[4]Reserve!$BK137</f>
        <v>431.86665900000003</v>
      </c>
      <c r="E53" s="467">
        <v>1</v>
      </c>
      <c r="F53" s="466">
        <f t="shared" si="5"/>
        <v>1</v>
      </c>
      <c r="G53" s="466">
        <f t="shared" si="5"/>
        <v>1</v>
      </c>
      <c r="H53" s="430">
        <f t="shared" si="6"/>
        <v>431.86665900000003</v>
      </c>
    </row>
    <row r="54" spans="1:8">
      <c r="A54" s="855">
        <f t="shared" si="0"/>
        <v>40</v>
      </c>
      <c r="B54" s="514">
        <v>36700</v>
      </c>
      <c r="C54" s="88" t="s">
        <v>844</v>
      </c>
      <c r="D54" s="346">
        <f>[4]Reserve!$BK138</f>
        <v>4580.1159040000002</v>
      </c>
      <c r="E54" s="467">
        <v>1</v>
      </c>
      <c r="F54" s="466">
        <f t="shared" si="5"/>
        <v>1</v>
      </c>
      <c r="G54" s="466">
        <f t="shared" si="5"/>
        <v>1</v>
      </c>
      <c r="H54" s="430">
        <f t="shared" si="6"/>
        <v>4580.1159040000002</v>
      </c>
    </row>
    <row r="55" spans="1:8">
      <c r="A55" s="855">
        <f t="shared" si="0"/>
        <v>41</v>
      </c>
      <c r="B55" s="514">
        <v>36701</v>
      </c>
      <c r="C55" s="88" t="s">
        <v>16</v>
      </c>
      <c r="D55" s="346">
        <f>[4]Reserve!$BK139</f>
        <v>313583.86577926931</v>
      </c>
      <c r="E55" s="467">
        <v>1</v>
      </c>
      <c r="F55" s="466">
        <f t="shared" si="5"/>
        <v>1</v>
      </c>
      <c r="G55" s="466">
        <f t="shared" si="5"/>
        <v>1</v>
      </c>
      <c r="H55" s="430">
        <f t="shared" si="6"/>
        <v>313583.86577926931</v>
      </c>
    </row>
    <row r="56" spans="1:8">
      <c r="A56" s="1154">
        <f t="shared" si="0"/>
        <v>42</v>
      </c>
      <c r="B56" s="514">
        <v>36703</v>
      </c>
      <c r="C56" s="80" t="s">
        <v>1666</v>
      </c>
      <c r="D56" s="346">
        <f>[4]Reserve!$BK140</f>
        <v>0</v>
      </c>
      <c r="E56" s="467"/>
      <c r="F56" s="466"/>
      <c r="G56" s="466"/>
      <c r="H56" s="430"/>
    </row>
    <row r="57" spans="1:8">
      <c r="A57" s="1154">
        <f t="shared" si="0"/>
        <v>43</v>
      </c>
      <c r="B57" s="514">
        <v>36900</v>
      </c>
      <c r="C57" s="88" t="s">
        <v>995</v>
      </c>
      <c r="D57" s="346">
        <f>[4]Reserve!$BK141</f>
        <v>9143.3330000000024</v>
      </c>
      <c r="E57" s="467">
        <v>1</v>
      </c>
      <c r="F57" s="466">
        <f t="shared" si="5"/>
        <v>1</v>
      </c>
      <c r="G57" s="466">
        <f t="shared" si="5"/>
        <v>1</v>
      </c>
      <c r="H57" s="430">
        <f t="shared" si="6"/>
        <v>9143.3330000000024</v>
      </c>
    </row>
    <row r="58" spans="1:8">
      <c r="A58" s="1154">
        <f t="shared" si="0"/>
        <v>44</v>
      </c>
      <c r="B58" s="514">
        <v>36901</v>
      </c>
      <c r="C58" s="88" t="s">
        <v>995</v>
      </c>
      <c r="D58" s="346">
        <f>[4]Reserve!$BK142</f>
        <v>28369.448875000002</v>
      </c>
      <c r="E58" s="467">
        <v>1</v>
      </c>
      <c r="F58" s="466">
        <f t="shared" si="5"/>
        <v>1</v>
      </c>
      <c r="G58" s="466">
        <f t="shared" si="5"/>
        <v>1</v>
      </c>
      <c r="H58" s="1043">
        <f t="shared" si="6"/>
        <v>28369.448875000002</v>
      </c>
    </row>
    <row r="59" spans="1:8">
      <c r="A59" s="1154">
        <f t="shared" si="0"/>
        <v>45</v>
      </c>
      <c r="B59" s="514"/>
      <c r="C59" s="88"/>
      <c r="D59" s="1057"/>
      <c r="E59" s="467"/>
      <c r="F59" s="466"/>
      <c r="G59" s="466"/>
      <c r="H59" s="430"/>
    </row>
    <row r="60" spans="1:8">
      <c r="A60" s="1154">
        <f t="shared" si="0"/>
        <v>46</v>
      </c>
      <c r="B60" s="707"/>
      <c r="C60" s="88" t="s">
        <v>1338</v>
      </c>
      <c r="D60" s="346">
        <f>SUM(D50:D59)</f>
        <v>362878.05522926932</v>
      </c>
      <c r="E60" s="467"/>
      <c r="F60" s="466"/>
      <c r="G60" s="466"/>
      <c r="H60" s="346">
        <f>SUM(H50:H59)</f>
        <v>362878.05522926932</v>
      </c>
    </row>
    <row r="61" spans="1:8">
      <c r="A61" s="1154">
        <f t="shared" si="0"/>
        <v>47</v>
      </c>
      <c r="B61" s="707"/>
      <c r="C61" s="81"/>
      <c r="D61" s="430"/>
      <c r="E61" s="467"/>
      <c r="F61" s="466"/>
      <c r="G61" s="466"/>
      <c r="H61" s="430"/>
    </row>
    <row r="62" spans="1:8">
      <c r="A62" s="1154">
        <f t="shared" si="0"/>
        <v>48</v>
      </c>
      <c r="B62" s="707"/>
      <c r="C62" s="620" t="s">
        <v>299</v>
      </c>
      <c r="D62" s="430"/>
      <c r="E62" s="467"/>
      <c r="F62" s="466"/>
      <c r="G62" s="466"/>
      <c r="H62" s="430"/>
    </row>
    <row r="63" spans="1:8">
      <c r="A63" s="1154">
        <f t="shared" si="0"/>
        <v>49</v>
      </c>
      <c r="B63" s="514">
        <v>37400</v>
      </c>
      <c r="C63" s="88" t="s">
        <v>1147</v>
      </c>
      <c r="D63" s="346">
        <f>[4]Reserve!$BK143</f>
        <v>0</v>
      </c>
      <c r="E63" s="467">
        <v>1</v>
      </c>
      <c r="F63" s="466">
        <f t="shared" ref="F63:G84" si="7">$F$16</f>
        <v>1</v>
      </c>
      <c r="G63" s="466">
        <f t="shared" si="7"/>
        <v>1</v>
      </c>
      <c r="H63" s="346">
        <f t="shared" ref="H63:H84" si="8">D63*E63*F63*G63</f>
        <v>0</v>
      </c>
    </row>
    <row r="64" spans="1:8">
      <c r="A64" s="1154">
        <f t="shared" si="0"/>
        <v>50</v>
      </c>
      <c r="B64" s="514">
        <v>37401</v>
      </c>
      <c r="C64" s="88" t="s">
        <v>292</v>
      </c>
      <c r="D64" s="346">
        <f>[4]Reserve!$BK144</f>
        <v>0</v>
      </c>
      <c r="E64" s="467">
        <v>1</v>
      </c>
      <c r="F64" s="466">
        <f t="shared" si="7"/>
        <v>1</v>
      </c>
      <c r="G64" s="466">
        <f t="shared" si="7"/>
        <v>1</v>
      </c>
      <c r="H64" s="430">
        <f t="shared" si="8"/>
        <v>0</v>
      </c>
    </row>
    <row r="65" spans="1:8">
      <c r="A65" s="1154">
        <f t="shared" si="0"/>
        <v>51</v>
      </c>
      <c r="B65" s="514">
        <v>37402</v>
      </c>
      <c r="C65" s="88" t="s">
        <v>999</v>
      </c>
      <c r="D65" s="346">
        <f>[4]Reserve!$BK145</f>
        <v>47339.040840836409</v>
      </c>
      <c r="E65" s="467">
        <v>1</v>
      </c>
      <c r="F65" s="466">
        <f t="shared" si="7"/>
        <v>1</v>
      </c>
      <c r="G65" s="466">
        <f t="shared" si="7"/>
        <v>1</v>
      </c>
      <c r="H65" s="430">
        <f t="shared" si="8"/>
        <v>47339.040840836409</v>
      </c>
    </row>
    <row r="66" spans="1:8">
      <c r="A66" s="1154">
        <f t="shared" si="0"/>
        <v>52</v>
      </c>
      <c r="B66" s="514">
        <v>37403</v>
      </c>
      <c r="C66" s="88" t="s">
        <v>996</v>
      </c>
      <c r="D66" s="346">
        <f>[4]Reserve!$BK146</f>
        <v>0</v>
      </c>
      <c r="E66" s="467">
        <v>1</v>
      </c>
      <c r="F66" s="466">
        <f t="shared" si="7"/>
        <v>1</v>
      </c>
      <c r="G66" s="466">
        <f t="shared" si="7"/>
        <v>1</v>
      </c>
      <c r="H66" s="430">
        <f t="shared" si="8"/>
        <v>0</v>
      </c>
    </row>
    <row r="67" spans="1:8">
      <c r="A67" s="1154">
        <f t="shared" si="0"/>
        <v>53</v>
      </c>
      <c r="B67" s="514">
        <v>37500</v>
      </c>
      <c r="C67" s="88" t="s">
        <v>856</v>
      </c>
      <c r="D67" s="346">
        <f>[4]Reserve!$BK147</f>
        <v>4202.0942499999992</v>
      </c>
      <c r="E67" s="467">
        <v>1</v>
      </c>
      <c r="F67" s="466">
        <f t="shared" si="7"/>
        <v>1</v>
      </c>
      <c r="G67" s="466">
        <f t="shared" si="7"/>
        <v>1</v>
      </c>
      <c r="H67" s="430">
        <f t="shared" si="8"/>
        <v>4202.0942499999992</v>
      </c>
    </row>
    <row r="68" spans="1:8">
      <c r="A68" s="1154">
        <f t="shared" si="0"/>
        <v>54</v>
      </c>
      <c r="B68" s="514">
        <v>37501</v>
      </c>
      <c r="C68" s="88" t="s">
        <v>997</v>
      </c>
      <c r="D68" s="346">
        <f>[4]Reserve!$BK148</f>
        <v>1247.7266250000002</v>
      </c>
      <c r="E68" s="467">
        <v>1</v>
      </c>
      <c r="F68" s="466">
        <f t="shared" si="7"/>
        <v>1</v>
      </c>
      <c r="G68" s="466">
        <f t="shared" si="7"/>
        <v>1</v>
      </c>
      <c r="H68" s="430">
        <f t="shared" si="8"/>
        <v>1247.7266250000002</v>
      </c>
    </row>
    <row r="69" spans="1:8">
      <c r="A69" s="1154">
        <f t="shared" si="0"/>
        <v>55</v>
      </c>
      <c r="B69" s="514">
        <v>37502</v>
      </c>
      <c r="C69" s="88" t="s">
        <v>999</v>
      </c>
      <c r="D69" s="346">
        <f>[4]Reserve!$BK149</f>
        <v>578.30237499999998</v>
      </c>
      <c r="E69" s="467">
        <v>1</v>
      </c>
      <c r="F69" s="466">
        <f t="shared" si="7"/>
        <v>1</v>
      </c>
      <c r="G69" s="466">
        <f t="shared" si="7"/>
        <v>1</v>
      </c>
      <c r="H69" s="430">
        <f t="shared" si="8"/>
        <v>578.30237499999998</v>
      </c>
    </row>
    <row r="70" spans="1:8">
      <c r="A70" s="1154">
        <f t="shared" si="0"/>
        <v>56</v>
      </c>
      <c r="B70" s="514">
        <v>37503</v>
      </c>
      <c r="C70" s="88" t="s">
        <v>998</v>
      </c>
      <c r="D70" s="346">
        <f>[4]Reserve!$BK150</f>
        <v>50.063500000000012</v>
      </c>
      <c r="E70" s="467">
        <v>1</v>
      </c>
      <c r="F70" s="466">
        <f t="shared" si="7"/>
        <v>1</v>
      </c>
      <c r="G70" s="466">
        <f t="shared" si="7"/>
        <v>1</v>
      </c>
      <c r="H70" s="430">
        <f t="shared" si="8"/>
        <v>50.063500000000012</v>
      </c>
    </row>
    <row r="71" spans="1:8">
      <c r="A71" s="1154">
        <f t="shared" si="0"/>
        <v>57</v>
      </c>
      <c r="B71" s="514">
        <v>37600</v>
      </c>
      <c r="C71" s="88" t="s">
        <v>844</v>
      </c>
      <c r="D71" s="346">
        <f>[4]Reserve!$BK151</f>
        <v>704602.42311479908</v>
      </c>
      <c r="E71" s="467">
        <v>1</v>
      </c>
      <c r="F71" s="466">
        <f t="shared" si="7"/>
        <v>1</v>
      </c>
      <c r="G71" s="466">
        <f t="shared" si="7"/>
        <v>1</v>
      </c>
      <c r="H71" s="430">
        <f t="shared" si="8"/>
        <v>704602.42311479908</v>
      </c>
    </row>
    <row r="72" spans="1:8">
      <c r="A72" s="1154">
        <f t="shared" si="0"/>
        <v>58</v>
      </c>
      <c r="B72" s="514">
        <v>37601</v>
      </c>
      <c r="C72" s="88" t="s">
        <v>16</v>
      </c>
      <c r="D72" s="346">
        <f>[4]Reserve!$BK152</f>
        <v>2527946.3261293671</v>
      </c>
      <c r="E72" s="467">
        <v>1</v>
      </c>
      <c r="F72" s="466">
        <f t="shared" si="7"/>
        <v>1</v>
      </c>
      <c r="G72" s="466">
        <f t="shared" si="7"/>
        <v>1</v>
      </c>
      <c r="H72" s="430">
        <f t="shared" si="8"/>
        <v>2527946.3261293671</v>
      </c>
    </row>
    <row r="73" spans="1:8">
      <c r="A73" s="1154">
        <f t="shared" si="0"/>
        <v>59</v>
      </c>
      <c r="B73" s="514">
        <v>37602</v>
      </c>
      <c r="C73" s="88" t="s">
        <v>845</v>
      </c>
      <c r="D73" s="346">
        <f>[4]Reserve!$BK153</f>
        <v>1915859.8895028871</v>
      </c>
      <c r="E73" s="467">
        <v>1</v>
      </c>
      <c r="F73" s="466">
        <f t="shared" si="7"/>
        <v>1</v>
      </c>
      <c r="G73" s="466">
        <f t="shared" si="7"/>
        <v>1</v>
      </c>
      <c r="H73" s="430">
        <f t="shared" si="8"/>
        <v>1915859.8895028871</v>
      </c>
    </row>
    <row r="74" spans="1:8">
      <c r="A74" s="1154">
        <f t="shared" si="0"/>
        <v>60</v>
      </c>
      <c r="B74" s="514">
        <v>37603</v>
      </c>
      <c r="C74" s="88" t="s">
        <v>1666</v>
      </c>
      <c r="D74" s="346">
        <f>[4]Reserve!$BK154</f>
        <v>0</v>
      </c>
      <c r="E74" s="467">
        <v>1</v>
      </c>
      <c r="F74" s="466">
        <f t="shared" si="7"/>
        <v>1</v>
      </c>
      <c r="G74" s="466">
        <f t="shared" si="7"/>
        <v>1</v>
      </c>
      <c r="H74" s="430">
        <f t="shared" ref="H74:H75" si="9">D74*E74*F74*G74</f>
        <v>0</v>
      </c>
    </row>
    <row r="75" spans="1:8">
      <c r="A75" s="1154">
        <f t="shared" si="0"/>
        <v>61</v>
      </c>
      <c r="B75" s="514">
        <v>37604</v>
      </c>
      <c r="C75" s="88" t="s">
        <v>1667</v>
      </c>
      <c r="D75" s="346">
        <f>[4]Reserve!$BK155</f>
        <v>0</v>
      </c>
      <c r="E75" s="467">
        <v>1</v>
      </c>
      <c r="F75" s="466">
        <f t="shared" si="7"/>
        <v>1</v>
      </c>
      <c r="G75" s="466">
        <f t="shared" si="7"/>
        <v>1</v>
      </c>
      <c r="H75" s="430">
        <f t="shared" si="9"/>
        <v>0</v>
      </c>
    </row>
    <row r="76" spans="1:8">
      <c r="A76" s="1154">
        <f t="shared" si="0"/>
        <v>62</v>
      </c>
      <c r="B76" s="514">
        <v>37800</v>
      </c>
      <c r="C76" s="88" t="s">
        <v>229</v>
      </c>
      <c r="D76" s="346">
        <f>[4]Reserve!$BK156</f>
        <v>637326.1376839471</v>
      </c>
      <c r="E76" s="467">
        <v>1</v>
      </c>
      <c r="F76" s="466">
        <f t="shared" si="7"/>
        <v>1</v>
      </c>
      <c r="G76" s="466">
        <f t="shared" si="7"/>
        <v>1</v>
      </c>
      <c r="H76" s="430">
        <f t="shared" si="8"/>
        <v>637326.1376839471</v>
      </c>
    </row>
    <row r="77" spans="1:8">
      <c r="A77" s="1154">
        <f t="shared" si="0"/>
        <v>63</v>
      </c>
      <c r="B77" s="514">
        <v>37900</v>
      </c>
      <c r="C77" s="88" t="s">
        <v>1190</v>
      </c>
      <c r="D77" s="346">
        <f>[4]Reserve!$BK157</f>
        <v>102596.40717209515</v>
      </c>
      <c r="E77" s="467">
        <v>1</v>
      </c>
      <c r="F77" s="466">
        <f t="shared" si="7"/>
        <v>1</v>
      </c>
      <c r="G77" s="466">
        <f t="shared" si="7"/>
        <v>1</v>
      </c>
      <c r="H77" s="430">
        <f t="shared" si="8"/>
        <v>102596.40717209515</v>
      </c>
    </row>
    <row r="78" spans="1:8">
      <c r="A78" s="1154">
        <f t="shared" si="0"/>
        <v>64</v>
      </c>
      <c r="B78" s="514">
        <v>37905</v>
      </c>
      <c r="C78" s="88" t="s">
        <v>725</v>
      </c>
      <c r="D78" s="346">
        <f>[4]Reserve!$BK158</f>
        <v>32879.944946000003</v>
      </c>
      <c r="E78" s="467">
        <v>1</v>
      </c>
      <c r="F78" s="466">
        <f t="shared" si="7"/>
        <v>1</v>
      </c>
      <c r="G78" s="466">
        <f t="shared" si="7"/>
        <v>1</v>
      </c>
      <c r="H78" s="430">
        <f t="shared" si="8"/>
        <v>32879.944946000003</v>
      </c>
    </row>
    <row r="79" spans="1:8">
      <c r="A79" s="1154">
        <f t="shared" si="0"/>
        <v>65</v>
      </c>
      <c r="B79" s="514">
        <v>38000</v>
      </c>
      <c r="C79" s="88" t="s">
        <v>1052</v>
      </c>
      <c r="D79" s="346">
        <f>[4]Reserve!$BK159</f>
        <v>3397985.1250942126</v>
      </c>
      <c r="E79" s="467">
        <v>1</v>
      </c>
      <c r="F79" s="466">
        <f t="shared" si="7"/>
        <v>1</v>
      </c>
      <c r="G79" s="466">
        <f t="shared" si="7"/>
        <v>1</v>
      </c>
      <c r="H79" s="430">
        <f t="shared" si="8"/>
        <v>3397985.1250942126</v>
      </c>
    </row>
    <row r="80" spans="1:8">
      <c r="A80" s="1154">
        <f t="shared" si="0"/>
        <v>66</v>
      </c>
      <c r="B80" s="514">
        <v>38100</v>
      </c>
      <c r="C80" s="88" t="s">
        <v>846</v>
      </c>
      <c r="D80" s="346">
        <f>[4]Reserve!$BK160</f>
        <v>1765608.3442913683</v>
      </c>
      <c r="E80" s="467">
        <v>1</v>
      </c>
      <c r="F80" s="466">
        <f t="shared" si="7"/>
        <v>1</v>
      </c>
      <c r="G80" s="466">
        <f t="shared" si="7"/>
        <v>1</v>
      </c>
      <c r="H80" s="430">
        <f t="shared" si="8"/>
        <v>1765608.3442913683</v>
      </c>
    </row>
    <row r="81" spans="1:13">
      <c r="A81" s="1154">
        <f t="shared" si="0"/>
        <v>67</v>
      </c>
      <c r="B81" s="514">
        <v>38200</v>
      </c>
      <c r="C81" s="88" t="s">
        <v>442</v>
      </c>
      <c r="D81" s="346">
        <f>[4]Reserve!$BK161</f>
        <v>1536214.8471899428</v>
      </c>
      <c r="E81" s="467">
        <v>1</v>
      </c>
      <c r="F81" s="466">
        <f t="shared" si="7"/>
        <v>1</v>
      </c>
      <c r="G81" s="466">
        <f t="shared" si="7"/>
        <v>1</v>
      </c>
      <c r="H81" s="430">
        <f t="shared" si="8"/>
        <v>1536214.8471899428</v>
      </c>
    </row>
    <row r="82" spans="1:13">
      <c r="A82" s="1154">
        <f t="shared" si="0"/>
        <v>68</v>
      </c>
      <c r="B82" s="514">
        <v>38300</v>
      </c>
      <c r="C82" s="88" t="s">
        <v>1053</v>
      </c>
      <c r="D82" s="346">
        <f>[4]Reserve!$BK162</f>
        <v>354020.03366217396</v>
      </c>
      <c r="E82" s="467">
        <v>1</v>
      </c>
      <c r="F82" s="466">
        <f t="shared" si="7"/>
        <v>1</v>
      </c>
      <c r="G82" s="466">
        <f t="shared" si="7"/>
        <v>1</v>
      </c>
      <c r="H82" s="430">
        <f t="shared" si="8"/>
        <v>354020.03366217396</v>
      </c>
    </row>
    <row r="83" spans="1:13">
      <c r="A83" s="1154">
        <f t="shared" si="0"/>
        <v>69</v>
      </c>
      <c r="B83" s="514">
        <v>38400</v>
      </c>
      <c r="C83" s="88" t="s">
        <v>443</v>
      </c>
      <c r="D83" s="346">
        <f>[4]Reserve!$BK163</f>
        <v>6192.6060647790891</v>
      </c>
      <c r="E83" s="467">
        <v>1</v>
      </c>
      <c r="F83" s="466">
        <f t="shared" si="7"/>
        <v>1</v>
      </c>
      <c r="G83" s="466">
        <f t="shared" si="7"/>
        <v>1</v>
      </c>
      <c r="H83" s="430">
        <f t="shared" si="8"/>
        <v>6192.6060647790891</v>
      </c>
    </row>
    <row r="84" spans="1:13">
      <c r="A84" s="1154">
        <f t="shared" ref="A84:A147" si="10">A83+1</f>
        <v>70</v>
      </c>
      <c r="B84" s="514">
        <v>38500</v>
      </c>
      <c r="C84" s="88" t="s">
        <v>444</v>
      </c>
      <c r="D84" s="346">
        <f>[4]Reserve!$BK164</f>
        <v>72349.647429694625</v>
      </c>
      <c r="E84" s="467">
        <v>1</v>
      </c>
      <c r="F84" s="466">
        <f t="shared" si="7"/>
        <v>1</v>
      </c>
      <c r="G84" s="466">
        <f t="shared" si="7"/>
        <v>1</v>
      </c>
      <c r="H84" s="430">
        <f t="shared" si="8"/>
        <v>72349.647429694625</v>
      </c>
      <c r="M84" s="713"/>
    </row>
    <row r="85" spans="1:13">
      <c r="A85" s="1154">
        <f t="shared" si="10"/>
        <v>71</v>
      </c>
      <c r="B85" s="514"/>
      <c r="C85" s="88"/>
      <c r="D85" s="1057"/>
      <c r="E85" s="467"/>
      <c r="F85" s="466"/>
      <c r="G85" s="466"/>
      <c r="H85" s="1057"/>
    </row>
    <row r="86" spans="1:13">
      <c r="A86" s="1154">
        <f t="shared" si="10"/>
        <v>72</v>
      </c>
      <c r="B86" s="514"/>
      <c r="C86" s="88" t="s">
        <v>1335</v>
      </c>
      <c r="D86" s="346">
        <f>SUM(D63:D85)</f>
        <v>13106998.959872104</v>
      </c>
      <c r="E86" s="467"/>
      <c r="F86" s="466"/>
      <c r="G86" s="466"/>
      <c r="H86" s="346">
        <f>SUM(H63:H85)</f>
        <v>13106998.959872104</v>
      </c>
    </row>
    <row r="87" spans="1:13">
      <c r="A87" s="1154">
        <f t="shared" si="10"/>
        <v>73</v>
      </c>
      <c r="B87" s="514"/>
      <c r="C87" s="88"/>
      <c r="D87" s="430"/>
      <c r="E87" s="467"/>
      <c r="F87" s="466"/>
      <c r="G87" s="466"/>
      <c r="H87" s="430"/>
    </row>
    <row r="88" spans="1:13">
      <c r="A88" s="1154">
        <f t="shared" si="10"/>
        <v>74</v>
      </c>
      <c r="B88" s="707"/>
      <c r="C88" s="620" t="s">
        <v>301</v>
      </c>
      <c r="D88" s="430"/>
      <c r="E88" s="467"/>
      <c r="F88" s="466"/>
      <c r="G88" s="466"/>
      <c r="H88" s="430"/>
    </row>
    <row r="89" spans="1:13">
      <c r="A89" s="1154">
        <f t="shared" si="10"/>
        <v>75</v>
      </c>
      <c r="B89" s="514">
        <v>38900</v>
      </c>
      <c r="C89" s="88" t="s">
        <v>1526</v>
      </c>
      <c r="D89" s="346">
        <f>[4]Reserve!$BK165</f>
        <v>0</v>
      </c>
      <c r="E89" s="467">
        <v>1</v>
      </c>
      <c r="F89" s="466">
        <f t="shared" ref="F89:G107" si="11">$F$16</f>
        <v>1</v>
      </c>
      <c r="G89" s="466">
        <f t="shared" si="11"/>
        <v>1</v>
      </c>
      <c r="H89" s="346">
        <f t="shared" ref="H89:H114" si="12">D89*E89*F89*G89</f>
        <v>0</v>
      </c>
    </row>
    <row r="90" spans="1:13">
      <c r="A90" s="1154">
        <f t="shared" si="10"/>
        <v>76</v>
      </c>
      <c r="B90" s="514">
        <v>39000</v>
      </c>
      <c r="C90" s="88" t="s">
        <v>1527</v>
      </c>
      <c r="D90" s="346">
        <f>[4]Reserve!$BK166</f>
        <v>189370.15642917456</v>
      </c>
      <c r="E90" s="467">
        <v>1</v>
      </c>
      <c r="F90" s="466">
        <f t="shared" si="11"/>
        <v>1</v>
      </c>
      <c r="G90" s="466">
        <f t="shared" si="11"/>
        <v>1</v>
      </c>
      <c r="H90" s="430">
        <f t="shared" si="12"/>
        <v>189370.15642917456</v>
      </c>
    </row>
    <row r="91" spans="1:13">
      <c r="A91" s="1154">
        <f t="shared" si="10"/>
        <v>77</v>
      </c>
      <c r="B91" s="514">
        <v>39002</v>
      </c>
      <c r="C91" s="88" t="s">
        <v>1528</v>
      </c>
      <c r="D91" s="346">
        <f>[4]Reserve!$BK167</f>
        <v>4310.559765</v>
      </c>
      <c r="E91" s="467">
        <v>1</v>
      </c>
      <c r="F91" s="466">
        <f t="shared" si="11"/>
        <v>1</v>
      </c>
      <c r="G91" s="466">
        <f t="shared" si="11"/>
        <v>1</v>
      </c>
      <c r="H91" s="430">
        <f t="shared" si="12"/>
        <v>4310.559765</v>
      </c>
    </row>
    <row r="92" spans="1:13">
      <c r="A92" s="1154">
        <f t="shared" si="10"/>
        <v>78</v>
      </c>
      <c r="B92" s="514">
        <v>39003</v>
      </c>
      <c r="C92" s="88" t="s">
        <v>1529</v>
      </c>
      <c r="D92" s="346">
        <f>[4]Reserve!$BK168</f>
        <v>17659.059582000005</v>
      </c>
      <c r="E92" s="467">
        <v>1</v>
      </c>
      <c r="F92" s="466">
        <f t="shared" si="11"/>
        <v>1</v>
      </c>
      <c r="G92" s="466">
        <f t="shared" si="11"/>
        <v>1</v>
      </c>
      <c r="H92" s="430">
        <f t="shared" si="12"/>
        <v>17659.059582000005</v>
      </c>
    </row>
    <row r="93" spans="1:13">
      <c r="A93" s="1154">
        <f t="shared" si="10"/>
        <v>79</v>
      </c>
      <c r="B93" s="514">
        <v>39004</v>
      </c>
      <c r="C93" s="88" t="s">
        <v>1530</v>
      </c>
      <c r="D93" s="346">
        <f>[4]Reserve!$BK169</f>
        <v>649.03247399999975</v>
      </c>
      <c r="E93" s="467">
        <v>1</v>
      </c>
      <c r="F93" s="466">
        <f t="shared" si="11"/>
        <v>1</v>
      </c>
      <c r="G93" s="466">
        <f t="shared" si="11"/>
        <v>1</v>
      </c>
      <c r="H93" s="430">
        <f t="shared" si="12"/>
        <v>649.03247399999975</v>
      </c>
    </row>
    <row r="94" spans="1:13">
      <c r="A94" s="1154">
        <f t="shared" si="10"/>
        <v>80</v>
      </c>
      <c r="B94" s="514">
        <v>39009</v>
      </c>
      <c r="C94" s="88" t="s">
        <v>1531</v>
      </c>
      <c r="D94" s="346">
        <f>[4]Reserve!$BK170</f>
        <v>0</v>
      </c>
      <c r="E94" s="467">
        <v>1</v>
      </c>
      <c r="F94" s="466">
        <f t="shared" si="11"/>
        <v>1</v>
      </c>
      <c r="G94" s="466">
        <f t="shared" si="11"/>
        <v>1</v>
      </c>
      <c r="H94" s="430">
        <f t="shared" si="12"/>
        <v>0</v>
      </c>
    </row>
    <row r="95" spans="1:13">
      <c r="A95" s="1154">
        <f t="shared" si="10"/>
        <v>81</v>
      </c>
      <c r="B95" s="514">
        <v>39100</v>
      </c>
      <c r="C95" s="88" t="s">
        <v>1532</v>
      </c>
      <c r="D95" s="346">
        <f>[4]Reserve!$BK171</f>
        <v>93447.823968755547</v>
      </c>
      <c r="E95" s="467">
        <v>1</v>
      </c>
      <c r="F95" s="466">
        <f t="shared" si="11"/>
        <v>1</v>
      </c>
      <c r="G95" s="466">
        <f t="shared" si="11"/>
        <v>1</v>
      </c>
      <c r="H95" s="430">
        <f t="shared" si="12"/>
        <v>93447.823968755547</v>
      </c>
    </row>
    <row r="96" spans="1:13">
      <c r="A96" s="1154">
        <f t="shared" si="10"/>
        <v>82</v>
      </c>
      <c r="B96" s="514">
        <v>39103</v>
      </c>
      <c r="C96" s="88" t="s">
        <v>780</v>
      </c>
      <c r="D96" s="346">
        <f>[4]Reserve!$BK172</f>
        <v>0</v>
      </c>
      <c r="E96" s="467">
        <v>1</v>
      </c>
      <c r="F96" s="466">
        <f t="shared" si="11"/>
        <v>1</v>
      </c>
      <c r="G96" s="466">
        <f t="shared" si="11"/>
        <v>1</v>
      </c>
      <c r="H96" s="430">
        <f t="shared" si="12"/>
        <v>0</v>
      </c>
    </row>
    <row r="97" spans="1:11">
      <c r="A97" s="1154">
        <f t="shared" si="10"/>
        <v>83</v>
      </c>
      <c r="B97" s="514">
        <v>39200</v>
      </c>
      <c r="C97" s="88" t="s">
        <v>1533</v>
      </c>
      <c r="D97" s="346">
        <f>[4]Reserve!$BK173</f>
        <v>10386.384300000003</v>
      </c>
      <c r="E97" s="467">
        <f>'[5]Base period Actuals'!$L$15</f>
        <v>0.45615191876565997</v>
      </c>
      <c r="F97" s="466">
        <f t="shared" si="11"/>
        <v>1</v>
      </c>
      <c r="G97" s="466">
        <f t="shared" si="11"/>
        <v>1</v>
      </c>
      <c r="H97" s="430">
        <f t="shared" si="12"/>
        <v>4737.7691274825274</v>
      </c>
    </row>
    <row r="98" spans="1:11">
      <c r="A98" s="1154">
        <f t="shared" si="10"/>
        <v>84</v>
      </c>
      <c r="B98" s="514">
        <v>39202</v>
      </c>
      <c r="C98" s="88" t="s">
        <v>1534</v>
      </c>
      <c r="D98" s="346">
        <f>[4]Reserve!$BK174</f>
        <v>0</v>
      </c>
      <c r="E98" s="467">
        <f>'[5]Base period Actuals'!$L$15</f>
        <v>0.45615191876565997</v>
      </c>
      <c r="F98" s="466">
        <f t="shared" si="11"/>
        <v>1</v>
      </c>
      <c r="G98" s="466">
        <f t="shared" si="11"/>
        <v>1</v>
      </c>
      <c r="H98" s="430">
        <f t="shared" si="12"/>
        <v>0</v>
      </c>
    </row>
    <row r="99" spans="1:11">
      <c r="A99" s="1154">
        <f t="shared" si="10"/>
        <v>85</v>
      </c>
      <c r="B99" s="514">
        <v>39400</v>
      </c>
      <c r="C99" s="88" t="s">
        <v>1535</v>
      </c>
      <c r="D99" s="346">
        <f>[4]Reserve!$BK175</f>
        <v>256177.92006595497</v>
      </c>
      <c r="E99" s="467">
        <f>'[5]Base period Actuals'!$L$21</f>
        <v>0.45614668834079219</v>
      </c>
      <c r="F99" s="466">
        <f t="shared" si="11"/>
        <v>1</v>
      </c>
      <c r="G99" s="466">
        <f t="shared" si="11"/>
        <v>1</v>
      </c>
      <c r="H99" s="430">
        <f t="shared" si="12"/>
        <v>116854.70986411754</v>
      </c>
    </row>
    <row r="100" spans="1:11">
      <c r="A100" s="1154">
        <f t="shared" si="10"/>
        <v>86</v>
      </c>
      <c r="B100" s="514">
        <v>39603</v>
      </c>
      <c r="C100" s="88" t="s">
        <v>1536</v>
      </c>
      <c r="D100" s="346">
        <f>[4]Reserve!$BK176</f>
        <v>0</v>
      </c>
      <c r="E100" s="467">
        <f>'[5]Base period Actuals'!$L$17</f>
        <v>1.9989267507378727E-2</v>
      </c>
      <c r="F100" s="466">
        <f t="shared" si="11"/>
        <v>1</v>
      </c>
      <c r="G100" s="466">
        <f t="shared" si="11"/>
        <v>1</v>
      </c>
      <c r="H100" s="430">
        <f t="shared" si="12"/>
        <v>0</v>
      </c>
    </row>
    <row r="101" spans="1:11">
      <c r="A101" s="1154">
        <f t="shared" si="10"/>
        <v>87</v>
      </c>
      <c r="B101" s="514">
        <v>39604</v>
      </c>
      <c r="C101" s="88" t="s">
        <v>1537</v>
      </c>
      <c r="D101" s="346">
        <f>[4]Reserve!$BK177</f>
        <v>0</v>
      </c>
      <c r="E101" s="1065">
        <f>'[5]Base period Actuals'!$L$17</f>
        <v>1.9989267507378727E-2</v>
      </c>
      <c r="F101" s="466">
        <f t="shared" si="11"/>
        <v>1</v>
      </c>
      <c r="G101" s="466">
        <f t="shared" si="11"/>
        <v>1</v>
      </c>
      <c r="H101" s="430">
        <f t="shared" si="12"/>
        <v>0</v>
      </c>
      <c r="K101" s="691"/>
    </row>
    <row r="102" spans="1:11">
      <c r="A102" s="1154">
        <f t="shared" si="10"/>
        <v>88</v>
      </c>
      <c r="B102" s="514">
        <v>39605</v>
      </c>
      <c r="C102" s="88" t="s">
        <v>1538</v>
      </c>
      <c r="D102" s="346">
        <f>[4]Reserve!$BK178</f>
        <v>0</v>
      </c>
      <c r="E102" s="1065">
        <f>'[5]Base period Actuals'!$L$17</f>
        <v>1.9989267507378727E-2</v>
      </c>
      <c r="F102" s="466">
        <f t="shared" si="11"/>
        <v>1</v>
      </c>
      <c r="G102" s="466">
        <f t="shared" si="11"/>
        <v>1</v>
      </c>
      <c r="H102" s="430">
        <f t="shared" si="12"/>
        <v>0</v>
      </c>
      <c r="K102" s="691"/>
    </row>
    <row r="103" spans="1:11">
      <c r="A103" s="1154">
        <f t="shared" si="10"/>
        <v>89</v>
      </c>
      <c r="B103" s="514">
        <v>39700</v>
      </c>
      <c r="C103" s="88" t="s">
        <v>1539</v>
      </c>
      <c r="D103" s="346">
        <f>[4]Reserve!$BK179</f>
        <v>34967.951905000009</v>
      </c>
      <c r="E103" s="467">
        <v>1</v>
      </c>
      <c r="F103" s="466">
        <f t="shared" si="11"/>
        <v>1</v>
      </c>
      <c r="G103" s="466">
        <f t="shared" si="11"/>
        <v>1</v>
      </c>
      <c r="H103" s="430">
        <f t="shared" si="12"/>
        <v>34967.951905000009</v>
      </c>
      <c r="K103" s="691"/>
    </row>
    <row r="104" spans="1:11">
      <c r="A104" s="1154">
        <f t="shared" si="10"/>
        <v>90</v>
      </c>
      <c r="B104" s="707">
        <v>39701</v>
      </c>
      <c r="C104" s="88" t="s">
        <v>1499</v>
      </c>
      <c r="D104" s="346">
        <f>[4]Reserve!$BK180</f>
        <v>0</v>
      </c>
      <c r="E104" s="467">
        <v>1</v>
      </c>
      <c r="F104" s="466">
        <f t="shared" si="11"/>
        <v>1</v>
      </c>
      <c r="G104" s="466">
        <f t="shared" si="11"/>
        <v>1</v>
      </c>
      <c r="H104" s="430">
        <f t="shared" si="12"/>
        <v>0</v>
      </c>
      <c r="K104" s="691"/>
    </row>
    <row r="105" spans="1:11">
      <c r="A105" s="1154">
        <f t="shared" si="10"/>
        <v>91</v>
      </c>
      <c r="B105" s="707">
        <v>39702</v>
      </c>
      <c r="C105" s="81" t="s">
        <v>1499</v>
      </c>
      <c r="D105" s="346">
        <f>[4]Reserve!$BK181</f>
        <v>0</v>
      </c>
      <c r="E105" s="467">
        <v>1</v>
      </c>
      <c r="F105" s="466">
        <f t="shared" si="11"/>
        <v>1</v>
      </c>
      <c r="G105" s="466">
        <f t="shared" si="11"/>
        <v>1</v>
      </c>
      <c r="H105" s="430">
        <f t="shared" si="12"/>
        <v>0</v>
      </c>
      <c r="K105" s="691"/>
    </row>
    <row r="106" spans="1:11">
      <c r="A106" s="1154">
        <f t="shared" si="10"/>
        <v>92</v>
      </c>
      <c r="B106" s="707">
        <v>39705</v>
      </c>
      <c r="C106" s="88" t="s">
        <v>1540</v>
      </c>
      <c r="D106" s="346">
        <f>[4]Reserve!$BK182</f>
        <v>0</v>
      </c>
      <c r="E106" s="467">
        <v>1</v>
      </c>
      <c r="F106" s="466">
        <f t="shared" si="11"/>
        <v>1</v>
      </c>
      <c r="G106" s="466">
        <f t="shared" si="11"/>
        <v>1</v>
      </c>
      <c r="H106" s="430">
        <f t="shared" si="12"/>
        <v>0</v>
      </c>
    </row>
    <row r="107" spans="1:11">
      <c r="A107" s="1154">
        <f t="shared" si="10"/>
        <v>93</v>
      </c>
      <c r="B107" s="707">
        <v>39800</v>
      </c>
      <c r="C107" s="88" t="s">
        <v>1541</v>
      </c>
      <c r="D107" s="346">
        <f>[4]Reserve!$BK183</f>
        <v>194588.5545</v>
      </c>
      <c r="E107" s="467">
        <v>1</v>
      </c>
      <c r="F107" s="466">
        <f t="shared" si="11"/>
        <v>1</v>
      </c>
      <c r="G107" s="466">
        <f t="shared" si="11"/>
        <v>1</v>
      </c>
      <c r="H107" s="430">
        <f t="shared" si="12"/>
        <v>194588.5545</v>
      </c>
    </row>
    <row r="108" spans="1:11">
      <c r="A108" s="1154">
        <f t="shared" si="10"/>
        <v>94</v>
      </c>
      <c r="B108" s="707">
        <v>39901</v>
      </c>
      <c r="C108" s="88" t="s">
        <v>1500</v>
      </c>
      <c r="D108" s="346">
        <f>[4]Reserve!$BK184</f>
        <v>2056.2967039999999</v>
      </c>
      <c r="E108" s="467">
        <v>1</v>
      </c>
      <c r="F108" s="466">
        <f t="shared" ref="F108:G114" si="13">$F$16</f>
        <v>1</v>
      </c>
      <c r="G108" s="466">
        <f t="shared" si="13"/>
        <v>1</v>
      </c>
      <c r="H108" s="430">
        <f t="shared" si="12"/>
        <v>2056.2967039999999</v>
      </c>
    </row>
    <row r="109" spans="1:11">
      <c r="A109" s="1154">
        <f t="shared" si="10"/>
        <v>95</v>
      </c>
      <c r="B109" s="707">
        <v>39902</v>
      </c>
      <c r="C109" s="88" t="s">
        <v>1501</v>
      </c>
      <c r="D109" s="346">
        <f>[4]Reserve!$BK185</f>
        <v>0</v>
      </c>
      <c r="E109" s="467">
        <v>1</v>
      </c>
      <c r="F109" s="466">
        <f t="shared" si="13"/>
        <v>1</v>
      </c>
      <c r="G109" s="466">
        <f t="shared" si="13"/>
        <v>1</v>
      </c>
      <c r="H109" s="430">
        <f t="shared" si="12"/>
        <v>0</v>
      </c>
    </row>
    <row r="110" spans="1:11">
      <c r="A110" s="1154">
        <f t="shared" si="10"/>
        <v>96</v>
      </c>
      <c r="B110" s="707">
        <v>39903</v>
      </c>
      <c r="C110" s="88" t="s">
        <v>1542</v>
      </c>
      <c r="D110" s="346">
        <f>[4]Reserve!$BK186</f>
        <v>13459.885999999997</v>
      </c>
      <c r="E110" s="467">
        <v>1</v>
      </c>
      <c r="F110" s="466">
        <f t="shared" si="13"/>
        <v>1</v>
      </c>
      <c r="G110" s="466">
        <f t="shared" si="13"/>
        <v>1</v>
      </c>
      <c r="H110" s="430">
        <f t="shared" si="12"/>
        <v>13459.885999999997</v>
      </c>
    </row>
    <row r="111" spans="1:11">
      <c r="A111" s="1154">
        <f t="shared" si="10"/>
        <v>97</v>
      </c>
      <c r="B111" s="707">
        <v>39906</v>
      </c>
      <c r="C111" s="88" t="s">
        <v>1543</v>
      </c>
      <c r="D111" s="346">
        <f>[4]Reserve!$BK187</f>
        <v>89350.691999029921</v>
      </c>
      <c r="E111" s="467">
        <v>1</v>
      </c>
      <c r="F111" s="466">
        <f t="shared" si="13"/>
        <v>1</v>
      </c>
      <c r="G111" s="466">
        <f t="shared" si="13"/>
        <v>1</v>
      </c>
      <c r="H111" s="430">
        <f t="shared" si="12"/>
        <v>89350.691999029921</v>
      </c>
    </row>
    <row r="112" spans="1:11">
      <c r="A112" s="1154">
        <f t="shared" si="10"/>
        <v>98</v>
      </c>
      <c r="B112" s="707">
        <v>39907</v>
      </c>
      <c r="C112" s="88" t="s">
        <v>1544</v>
      </c>
      <c r="D112" s="346">
        <f>[4]Reserve!$BK188</f>
        <v>0</v>
      </c>
      <c r="E112" s="467">
        <v>1</v>
      </c>
      <c r="F112" s="466">
        <f t="shared" si="13"/>
        <v>1</v>
      </c>
      <c r="G112" s="466">
        <f t="shared" si="13"/>
        <v>1</v>
      </c>
      <c r="H112" s="430">
        <f t="shared" si="12"/>
        <v>0</v>
      </c>
    </row>
    <row r="113" spans="1:14">
      <c r="A113" s="1154">
        <f t="shared" si="10"/>
        <v>99</v>
      </c>
      <c r="B113" s="707">
        <v>39908</v>
      </c>
      <c r="C113" s="88" t="s">
        <v>1545</v>
      </c>
      <c r="D113" s="346">
        <f>[4]Reserve!$BK189</f>
        <v>10288.785339000002</v>
      </c>
      <c r="E113" s="467">
        <v>1</v>
      </c>
      <c r="F113" s="466">
        <f t="shared" si="13"/>
        <v>1</v>
      </c>
      <c r="G113" s="466">
        <f t="shared" si="13"/>
        <v>1</v>
      </c>
      <c r="H113" s="430">
        <f t="shared" si="12"/>
        <v>10288.785339000002</v>
      </c>
    </row>
    <row r="114" spans="1:14" ht="15.75">
      <c r="A114" s="1154">
        <f t="shared" si="10"/>
        <v>100</v>
      </c>
      <c r="B114" s="707"/>
      <c r="C114" s="88" t="s">
        <v>1258</v>
      </c>
      <c r="D114" s="346">
        <f>[4]Reserve!$BK$192</f>
        <v>0</v>
      </c>
      <c r="E114" s="467">
        <v>1</v>
      </c>
      <c r="F114" s="466">
        <f t="shared" si="13"/>
        <v>1</v>
      </c>
      <c r="G114" s="466">
        <f t="shared" si="13"/>
        <v>1</v>
      </c>
      <c r="H114" s="430">
        <f t="shared" si="12"/>
        <v>0</v>
      </c>
      <c r="J114" s="902"/>
      <c r="K114" s="691"/>
    </row>
    <row r="115" spans="1:14">
      <c r="A115" s="1154">
        <f t="shared" si="10"/>
        <v>101</v>
      </c>
      <c r="B115" s="707"/>
      <c r="C115" s="88"/>
      <c r="D115" s="1057"/>
      <c r="E115" s="712"/>
      <c r="H115" s="1057"/>
    </row>
    <row r="116" spans="1:14">
      <c r="A116" s="1154">
        <f t="shared" si="10"/>
        <v>102</v>
      </c>
      <c r="B116" s="390"/>
      <c r="C116" s="88" t="s">
        <v>1334</v>
      </c>
      <c r="D116" s="346">
        <f>SUM(D89:D115)</f>
        <v>916713.10303191503</v>
      </c>
      <c r="E116" s="711"/>
      <c r="H116" s="346">
        <f>SUM(H89:H115)</f>
        <v>771741.27765756019</v>
      </c>
    </row>
    <row r="117" spans="1:14">
      <c r="A117" s="1154">
        <f t="shared" si="10"/>
        <v>103</v>
      </c>
      <c r="B117" s="390"/>
      <c r="C117" s="88"/>
      <c r="D117" s="430"/>
      <c r="E117" s="712"/>
      <c r="H117" s="430"/>
    </row>
    <row r="118" spans="1:14">
      <c r="A118" s="1154">
        <f t="shared" si="10"/>
        <v>104</v>
      </c>
      <c r="B118" s="390"/>
      <c r="C118" s="88" t="s">
        <v>1331</v>
      </c>
      <c r="D118" s="346">
        <f>D116+D86+D60+D47+D26+D19</f>
        <v>14629243.515181378</v>
      </c>
      <c r="E118" s="711"/>
      <c r="H118" s="346">
        <f>H116+H86+H60+H47+H26+H19</f>
        <v>14484271.689807024</v>
      </c>
      <c r="M118" s="671"/>
      <c r="N118" s="671"/>
    </row>
    <row r="119" spans="1:14">
      <c r="A119" s="1154">
        <f t="shared" si="10"/>
        <v>105</v>
      </c>
      <c r="B119" s="390"/>
      <c r="C119" s="88"/>
      <c r="D119" s="430"/>
    </row>
    <row r="120" spans="1:14">
      <c r="A120" s="1154">
        <f t="shared" si="10"/>
        <v>106</v>
      </c>
      <c r="B120" s="390"/>
      <c r="C120" s="81"/>
      <c r="D120" s="430"/>
    </row>
    <row r="121" spans="1:14">
      <c r="A121" s="1154">
        <f t="shared" si="10"/>
        <v>107</v>
      </c>
      <c r="B121" s="1039"/>
      <c r="D121" s="430"/>
    </row>
    <row r="122" spans="1:14" ht="15.75">
      <c r="A122" s="1154">
        <f t="shared" si="10"/>
        <v>108</v>
      </c>
      <c r="B122" s="1044" t="s">
        <v>7</v>
      </c>
      <c r="D122" s="430"/>
    </row>
    <row r="123" spans="1:14">
      <c r="A123" s="1154">
        <f t="shared" si="10"/>
        <v>109</v>
      </c>
      <c r="B123" s="1039"/>
      <c r="D123" s="430"/>
    </row>
    <row r="124" spans="1:14">
      <c r="A124" s="1154">
        <f t="shared" si="10"/>
        <v>110</v>
      </c>
      <c r="B124" s="390"/>
      <c r="C124" s="620" t="s">
        <v>297</v>
      </c>
      <c r="D124" s="430"/>
    </row>
    <row r="125" spans="1:14">
      <c r="A125" s="1154">
        <f t="shared" si="10"/>
        <v>111</v>
      </c>
      <c r="B125" s="514">
        <v>30100</v>
      </c>
      <c r="C125" s="88" t="s">
        <v>291</v>
      </c>
      <c r="D125" s="346">
        <f>[4]Reserve!$BK84</f>
        <v>0</v>
      </c>
      <c r="E125" s="467">
        <v>1</v>
      </c>
      <c r="F125" s="466">
        <f>$F$16</f>
        <v>1</v>
      </c>
      <c r="G125" s="467">
        <f>Allocation!$D$17</f>
        <v>0.49780000000000002</v>
      </c>
      <c r="H125" s="346">
        <f>D125*E125*F125*G125</f>
        <v>0</v>
      </c>
    </row>
    <row r="126" spans="1:14">
      <c r="A126" s="1154">
        <f t="shared" si="10"/>
        <v>112</v>
      </c>
      <c r="B126" s="514">
        <v>30300</v>
      </c>
      <c r="C126" s="88" t="s">
        <v>542</v>
      </c>
      <c r="D126" s="346">
        <f>[4]Reserve!$BK85</f>
        <v>0</v>
      </c>
      <c r="E126" s="467">
        <v>1</v>
      </c>
      <c r="F126" s="466">
        <f>$F$16</f>
        <v>1</v>
      </c>
      <c r="G126" s="467">
        <f>$G$125</f>
        <v>0.49780000000000002</v>
      </c>
      <c r="H126" s="1043">
        <f>D126*E126*F126*G126</f>
        <v>0</v>
      </c>
    </row>
    <row r="127" spans="1:14">
      <c r="A127" s="1154">
        <f t="shared" si="10"/>
        <v>113</v>
      </c>
      <c r="B127" s="514"/>
      <c r="C127" s="88"/>
    </row>
    <row r="128" spans="1:14">
      <c r="A128" s="1154">
        <f t="shared" si="10"/>
        <v>114</v>
      </c>
      <c r="B128" s="707"/>
      <c r="C128" s="88" t="s">
        <v>1336</v>
      </c>
      <c r="D128" s="346">
        <f>SUM(D125:D127)</f>
        <v>0</v>
      </c>
      <c r="E128" s="711"/>
      <c r="F128" s="466"/>
      <c r="G128" s="466"/>
      <c r="H128" s="346">
        <f>SUM(H125:H127)</f>
        <v>0</v>
      </c>
    </row>
    <row r="129" spans="1:15">
      <c r="A129" s="1154">
        <f t="shared" si="10"/>
        <v>115</v>
      </c>
      <c r="B129" s="1059"/>
    </row>
    <row r="130" spans="1:15">
      <c r="A130" s="1154">
        <f t="shared" si="10"/>
        <v>116</v>
      </c>
      <c r="B130" s="707"/>
      <c r="C130" s="620" t="s">
        <v>299</v>
      </c>
    </row>
    <row r="131" spans="1:15">
      <c r="A131" s="1154">
        <f t="shared" si="10"/>
        <v>117</v>
      </c>
      <c r="B131" s="514">
        <v>37400</v>
      </c>
      <c r="C131" s="88" t="s">
        <v>1147</v>
      </c>
      <c r="D131" s="346">
        <v>0</v>
      </c>
      <c r="E131" s="467">
        <v>1</v>
      </c>
      <c r="F131" s="466">
        <f t="shared" ref="F131:F151" si="14">$F$16</f>
        <v>1</v>
      </c>
      <c r="G131" s="467">
        <f t="shared" ref="G131:G151" si="15">$G$125</f>
        <v>0.49780000000000002</v>
      </c>
      <c r="H131" s="346">
        <f>D131*E131*F131*G131</f>
        <v>0</v>
      </c>
    </row>
    <row r="132" spans="1:15">
      <c r="A132" s="1154">
        <f t="shared" si="10"/>
        <v>118</v>
      </c>
      <c r="B132" s="514">
        <v>35010</v>
      </c>
      <c r="C132" s="88" t="s">
        <v>292</v>
      </c>
      <c r="D132" s="430">
        <v>0</v>
      </c>
      <c r="E132" s="467">
        <v>1</v>
      </c>
      <c r="F132" s="466">
        <f t="shared" si="14"/>
        <v>1</v>
      </c>
      <c r="G132" s="467">
        <f t="shared" si="15"/>
        <v>0.49780000000000002</v>
      </c>
      <c r="H132" s="430">
        <f t="shared" ref="H132:H151" si="16">D132*E132*F132*G132</f>
        <v>0</v>
      </c>
    </row>
    <row r="133" spans="1:15">
      <c r="A133" s="1154">
        <f t="shared" si="10"/>
        <v>119</v>
      </c>
      <c r="B133" s="514">
        <v>37402</v>
      </c>
      <c r="C133" s="88" t="s">
        <v>999</v>
      </c>
      <c r="D133" s="430">
        <v>0</v>
      </c>
      <c r="E133" s="467">
        <v>1</v>
      </c>
      <c r="F133" s="466">
        <f t="shared" si="14"/>
        <v>1</v>
      </c>
      <c r="G133" s="467">
        <f t="shared" si="15"/>
        <v>0.49780000000000002</v>
      </c>
      <c r="H133" s="430">
        <f t="shared" si="16"/>
        <v>0</v>
      </c>
    </row>
    <row r="134" spans="1:15">
      <c r="A134" s="1154">
        <f t="shared" si="10"/>
        <v>120</v>
      </c>
      <c r="B134" s="514">
        <v>37403</v>
      </c>
      <c r="C134" s="88" t="s">
        <v>996</v>
      </c>
      <c r="D134" s="430">
        <v>0</v>
      </c>
      <c r="E134" s="467">
        <v>1</v>
      </c>
      <c r="F134" s="466">
        <f t="shared" si="14"/>
        <v>1</v>
      </c>
      <c r="G134" s="467">
        <f t="shared" si="15"/>
        <v>0.49780000000000002</v>
      </c>
      <c r="H134" s="430">
        <f t="shared" si="16"/>
        <v>0</v>
      </c>
      <c r="O134" s="88"/>
    </row>
    <row r="135" spans="1:15">
      <c r="A135" s="1154">
        <f t="shared" si="10"/>
        <v>121</v>
      </c>
      <c r="B135" s="514">
        <v>36602</v>
      </c>
      <c r="C135" s="88" t="s">
        <v>856</v>
      </c>
      <c r="D135" s="430">
        <v>0</v>
      </c>
      <c r="E135" s="467">
        <v>1</v>
      </c>
      <c r="F135" s="466">
        <f t="shared" si="14"/>
        <v>1</v>
      </c>
      <c r="G135" s="467">
        <f t="shared" si="15"/>
        <v>0.49780000000000002</v>
      </c>
      <c r="H135" s="430">
        <f t="shared" si="16"/>
        <v>0</v>
      </c>
    </row>
    <row r="136" spans="1:15">
      <c r="A136" s="1154">
        <f t="shared" si="10"/>
        <v>122</v>
      </c>
      <c r="B136" s="514">
        <v>37501</v>
      </c>
      <c r="C136" s="88" t="s">
        <v>997</v>
      </c>
      <c r="D136" s="430">
        <v>0</v>
      </c>
      <c r="E136" s="467">
        <v>1</v>
      </c>
      <c r="F136" s="466">
        <f t="shared" si="14"/>
        <v>1</v>
      </c>
      <c r="G136" s="467">
        <f t="shared" si="15"/>
        <v>0.49780000000000002</v>
      </c>
      <c r="H136" s="430">
        <f t="shared" si="16"/>
        <v>0</v>
      </c>
      <c r="O136" s="514"/>
    </row>
    <row r="137" spans="1:15">
      <c r="A137" s="1154">
        <f t="shared" si="10"/>
        <v>123</v>
      </c>
      <c r="B137" s="514">
        <v>37402</v>
      </c>
      <c r="C137" s="88" t="s">
        <v>999</v>
      </c>
      <c r="D137" s="430">
        <v>0</v>
      </c>
      <c r="E137" s="467">
        <v>1</v>
      </c>
      <c r="F137" s="466">
        <f t="shared" si="14"/>
        <v>1</v>
      </c>
      <c r="G137" s="467">
        <f t="shared" si="15"/>
        <v>0.49780000000000002</v>
      </c>
      <c r="H137" s="430">
        <f t="shared" si="16"/>
        <v>0</v>
      </c>
    </row>
    <row r="138" spans="1:15">
      <c r="A138" s="1154">
        <f t="shared" si="10"/>
        <v>124</v>
      </c>
      <c r="B138" s="514">
        <v>37503</v>
      </c>
      <c r="C138" s="88" t="s">
        <v>998</v>
      </c>
      <c r="D138" s="430">
        <v>0</v>
      </c>
      <c r="E138" s="467">
        <v>1</v>
      </c>
      <c r="F138" s="466">
        <f t="shared" si="14"/>
        <v>1</v>
      </c>
      <c r="G138" s="467">
        <f t="shared" si="15"/>
        <v>0.49780000000000002</v>
      </c>
      <c r="H138" s="430">
        <f t="shared" si="16"/>
        <v>0</v>
      </c>
      <c r="O138" s="514"/>
    </row>
    <row r="139" spans="1:15">
      <c r="A139" s="1154">
        <f t="shared" si="10"/>
        <v>125</v>
      </c>
      <c r="B139" s="514">
        <v>36700</v>
      </c>
      <c r="C139" s="88" t="s">
        <v>844</v>
      </c>
      <c r="D139" s="430">
        <v>0</v>
      </c>
      <c r="E139" s="467">
        <v>1</v>
      </c>
      <c r="F139" s="466">
        <f t="shared" si="14"/>
        <v>1</v>
      </c>
      <c r="G139" s="467">
        <f t="shared" si="15"/>
        <v>0.49780000000000002</v>
      </c>
      <c r="H139" s="430">
        <f t="shared" si="16"/>
        <v>0</v>
      </c>
    </row>
    <row r="140" spans="1:15">
      <c r="A140" s="1154">
        <f t="shared" si="10"/>
        <v>126</v>
      </c>
      <c r="B140" s="514">
        <v>36701</v>
      </c>
      <c r="C140" s="88" t="s">
        <v>16</v>
      </c>
      <c r="D140" s="430">
        <v>0</v>
      </c>
      <c r="E140" s="467">
        <v>1</v>
      </c>
      <c r="F140" s="466">
        <f t="shared" si="14"/>
        <v>1</v>
      </c>
      <c r="G140" s="467">
        <f t="shared" si="15"/>
        <v>0.49780000000000002</v>
      </c>
      <c r="H140" s="430">
        <f t="shared" si="16"/>
        <v>0</v>
      </c>
    </row>
    <row r="141" spans="1:15">
      <c r="A141" s="1154">
        <f t="shared" si="10"/>
        <v>127</v>
      </c>
      <c r="B141" s="514">
        <v>37602</v>
      </c>
      <c r="C141" s="88" t="s">
        <v>845</v>
      </c>
      <c r="D141" s="430">
        <v>0</v>
      </c>
      <c r="E141" s="467">
        <v>1</v>
      </c>
      <c r="F141" s="466">
        <f t="shared" si="14"/>
        <v>1</v>
      </c>
      <c r="G141" s="467">
        <f t="shared" si="15"/>
        <v>0.49780000000000002</v>
      </c>
      <c r="H141" s="430">
        <f t="shared" si="16"/>
        <v>0</v>
      </c>
    </row>
    <row r="142" spans="1:15">
      <c r="A142" s="1154">
        <f t="shared" si="10"/>
        <v>128</v>
      </c>
      <c r="B142" s="514">
        <v>37800</v>
      </c>
      <c r="C142" s="88" t="s">
        <v>229</v>
      </c>
      <c r="D142" s="430">
        <v>0</v>
      </c>
      <c r="E142" s="467">
        <v>1</v>
      </c>
      <c r="F142" s="466">
        <f t="shared" si="14"/>
        <v>1</v>
      </c>
      <c r="G142" s="467">
        <f t="shared" si="15"/>
        <v>0.49780000000000002</v>
      </c>
      <c r="H142" s="430">
        <f t="shared" si="16"/>
        <v>0</v>
      </c>
      <c r="M142" s="716"/>
      <c r="N142" s="714"/>
    </row>
    <row r="143" spans="1:15">
      <c r="A143" s="1154">
        <f t="shared" si="10"/>
        <v>129</v>
      </c>
      <c r="B143" s="514">
        <v>37900</v>
      </c>
      <c r="C143" s="88" t="s">
        <v>1190</v>
      </c>
      <c r="D143" s="430">
        <v>0</v>
      </c>
      <c r="E143" s="467">
        <v>1</v>
      </c>
      <c r="F143" s="466">
        <f t="shared" si="14"/>
        <v>1</v>
      </c>
      <c r="G143" s="467">
        <f t="shared" si="15"/>
        <v>0.49780000000000002</v>
      </c>
      <c r="H143" s="430">
        <f t="shared" si="16"/>
        <v>0</v>
      </c>
    </row>
    <row r="144" spans="1:15">
      <c r="A144" s="1154">
        <f t="shared" si="10"/>
        <v>130</v>
      </c>
      <c r="B144" s="514">
        <v>37905</v>
      </c>
      <c r="C144" s="88" t="s">
        <v>725</v>
      </c>
      <c r="D144" s="430">
        <v>0</v>
      </c>
      <c r="E144" s="467">
        <v>1</v>
      </c>
      <c r="F144" s="466">
        <f t="shared" si="14"/>
        <v>1</v>
      </c>
      <c r="G144" s="467">
        <f t="shared" si="15"/>
        <v>0.49780000000000002</v>
      </c>
      <c r="H144" s="430">
        <f t="shared" si="16"/>
        <v>0</v>
      </c>
      <c r="M144" s="713"/>
      <c r="N144" s="715"/>
    </row>
    <row r="145" spans="1:14">
      <c r="A145" s="1154">
        <f t="shared" si="10"/>
        <v>131</v>
      </c>
      <c r="B145" s="514">
        <v>38000</v>
      </c>
      <c r="C145" s="88" t="s">
        <v>1052</v>
      </c>
      <c r="D145" s="430">
        <v>0</v>
      </c>
      <c r="E145" s="467">
        <v>1</v>
      </c>
      <c r="F145" s="466">
        <f t="shared" si="14"/>
        <v>1</v>
      </c>
      <c r="G145" s="467">
        <f t="shared" si="15"/>
        <v>0.49780000000000002</v>
      </c>
      <c r="H145" s="430">
        <f t="shared" si="16"/>
        <v>0</v>
      </c>
    </row>
    <row r="146" spans="1:14">
      <c r="A146" s="1154">
        <f t="shared" si="10"/>
        <v>132</v>
      </c>
      <c r="B146" s="514">
        <v>38100</v>
      </c>
      <c r="C146" s="88" t="s">
        <v>846</v>
      </c>
      <c r="D146" s="430">
        <v>0</v>
      </c>
      <c r="E146" s="467">
        <v>1</v>
      </c>
      <c r="F146" s="466">
        <f t="shared" si="14"/>
        <v>1</v>
      </c>
      <c r="G146" s="467">
        <f t="shared" si="15"/>
        <v>0.49780000000000002</v>
      </c>
      <c r="H146" s="430">
        <f t="shared" si="16"/>
        <v>0</v>
      </c>
      <c r="M146" s="713"/>
      <c r="N146" s="714"/>
    </row>
    <row r="147" spans="1:14">
      <c r="A147" s="1154">
        <f t="shared" si="10"/>
        <v>133</v>
      </c>
      <c r="B147" s="514">
        <v>38200</v>
      </c>
      <c r="C147" s="88" t="s">
        <v>442</v>
      </c>
      <c r="D147" s="430">
        <v>0</v>
      </c>
      <c r="E147" s="467">
        <v>1</v>
      </c>
      <c r="F147" s="466">
        <f t="shared" si="14"/>
        <v>1</v>
      </c>
      <c r="G147" s="467">
        <f t="shared" si="15"/>
        <v>0.49780000000000002</v>
      </c>
      <c r="H147" s="430">
        <f t="shared" si="16"/>
        <v>0</v>
      </c>
    </row>
    <row r="148" spans="1:14">
      <c r="A148" s="1154">
        <f t="shared" ref="A148:A211" si="17">A147+1</f>
        <v>134</v>
      </c>
      <c r="B148" s="514">
        <v>38300</v>
      </c>
      <c r="C148" s="88" t="s">
        <v>1053</v>
      </c>
      <c r="D148" s="430">
        <v>0</v>
      </c>
      <c r="E148" s="467">
        <v>1</v>
      </c>
      <c r="F148" s="466">
        <f t="shared" si="14"/>
        <v>1</v>
      </c>
      <c r="G148" s="467">
        <f t="shared" si="15"/>
        <v>0.49780000000000002</v>
      </c>
      <c r="H148" s="430">
        <f t="shared" si="16"/>
        <v>0</v>
      </c>
      <c r="M148" s="713"/>
      <c r="N148" s="714"/>
    </row>
    <row r="149" spans="1:14">
      <c r="A149" s="1154">
        <f t="shared" si="17"/>
        <v>135</v>
      </c>
      <c r="B149" s="514">
        <v>38400</v>
      </c>
      <c r="C149" s="88" t="s">
        <v>443</v>
      </c>
      <c r="D149" s="430">
        <v>0</v>
      </c>
      <c r="E149" s="467">
        <v>1</v>
      </c>
      <c r="F149" s="466">
        <f t="shared" si="14"/>
        <v>1</v>
      </c>
      <c r="G149" s="467">
        <f t="shared" si="15"/>
        <v>0.49780000000000002</v>
      </c>
      <c r="H149" s="430">
        <f t="shared" si="16"/>
        <v>0</v>
      </c>
    </row>
    <row r="150" spans="1:14">
      <c r="A150" s="1154">
        <f t="shared" si="17"/>
        <v>136</v>
      </c>
      <c r="B150" s="514">
        <v>38500</v>
      </c>
      <c r="C150" s="88" t="s">
        <v>444</v>
      </c>
      <c r="D150" s="430">
        <v>0</v>
      </c>
      <c r="E150" s="467">
        <v>1</v>
      </c>
      <c r="F150" s="466">
        <f t="shared" si="14"/>
        <v>1</v>
      </c>
      <c r="G150" s="467">
        <f t="shared" si="15"/>
        <v>0.49780000000000002</v>
      </c>
      <c r="H150" s="430">
        <f t="shared" si="16"/>
        <v>0</v>
      </c>
    </row>
    <row r="151" spans="1:14">
      <c r="A151" s="1154">
        <f t="shared" si="17"/>
        <v>137</v>
      </c>
      <c r="B151" s="514">
        <v>38600</v>
      </c>
      <c r="C151" s="88" t="s">
        <v>106</v>
      </c>
      <c r="D151" s="1043">
        <v>0</v>
      </c>
      <c r="E151" s="467">
        <v>1</v>
      </c>
      <c r="F151" s="466">
        <f t="shared" si="14"/>
        <v>1</v>
      </c>
      <c r="G151" s="467">
        <f t="shared" si="15"/>
        <v>0.49780000000000002</v>
      </c>
      <c r="H151" s="1043">
        <f t="shared" si="16"/>
        <v>0</v>
      </c>
    </row>
    <row r="152" spans="1:14">
      <c r="A152" s="1154">
        <f t="shared" si="17"/>
        <v>138</v>
      </c>
      <c r="B152" s="514"/>
      <c r="C152" s="88"/>
    </row>
    <row r="153" spans="1:14">
      <c r="A153" s="1154">
        <f t="shared" si="17"/>
        <v>139</v>
      </c>
      <c r="B153" s="514"/>
      <c r="C153" s="88" t="s">
        <v>1335</v>
      </c>
      <c r="D153" s="346">
        <f>SUM(D131:D152)</f>
        <v>0</v>
      </c>
      <c r="E153" s="711"/>
      <c r="H153" s="346">
        <f>SUM(H131:H152)</f>
        <v>0</v>
      </c>
    </row>
    <row r="154" spans="1:14">
      <c r="A154" s="1154">
        <f t="shared" si="17"/>
        <v>140</v>
      </c>
      <c r="B154" s="514"/>
      <c r="C154" s="88"/>
    </row>
    <row r="155" spans="1:14">
      <c r="A155" s="1154">
        <f t="shared" si="17"/>
        <v>141</v>
      </c>
      <c r="B155" s="707"/>
      <c r="C155" s="620" t="s">
        <v>301</v>
      </c>
    </row>
    <row r="156" spans="1:14">
      <c r="A156" s="1154">
        <f t="shared" si="17"/>
        <v>142</v>
      </c>
      <c r="B156" s="514">
        <v>39001</v>
      </c>
      <c r="C156" s="88" t="s">
        <v>1546</v>
      </c>
      <c r="D156" s="346">
        <f>[4]Reserve!$BK86</f>
        <v>4429.6614439999985</v>
      </c>
      <c r="E156" s="467">
        <v>1</v>
      </c>
      <c r="F156" s="466">
        <f t="shared" ref="F156:F176" si="18">$F$16</f>
        <v>1</v>
      </c>
      <c r="G156" s="467">
        <f t="shared" ref="G156:G176" si="19">$G$125</f>
        <v>0.49780000000000002</v>
      </c>
      <c r="H156" s="346">
        <f t="shared" ref="H156:H176" si="20">D156*E156*F156*G156</f>
        <v>2205.0854668231991</v>
      </c>
      <c r="N156" s="467"/>
    </row>
    <row r="157" spans="1:14">
      <c r="A157" s="1154">
        <f t="shared" si="17"/>
        <v>143</v>
      </c>
      <c r="B157" s="514">
        <v>39004</v>
      </c>
      <c r="C157" s="88" t="s">
        <v>1530</v>
      </c>
      <c r="D157" s="346">
        <f>[4]Reserve!$BK87</f>
        <v>989.18541299999981</v>
      </c>
      <c r="E157" s="467">
        <v>1</v>
      </c>
      <c r="F157" s="466">
        <f t="shared" si="18"/>
        <v>1</v>
      </c>
      <c r="G157" s="467">
        <f t="shared" si="19"/>
        <v>0.49780000000000002</v>
      </c>
      <c r="H157" s="430">
        <f t="shared" si="20"/>
        <v>492.41649859139994</v>
      </c>
      <c r="N157" s="467"/>
    </row>
    <row r="158" spans="1:14">
      <c r="A158" s="1154">
        <f t="shared" si="17"/>
        <v>144</v>
      </c>
      <c r="B158" s="514">
        <v>39009</v>
      </c>
      <c r="C158" s="88" t="s">
        <v>1531</v>
      </c>
      <c r="D158" s="346">
        <f>[4]Reserve!$BK88</f>
        <v>0</v>
      </c>
      <c r="E158" s="467">
        <v>1</v>
      </c>
      <c r="F158" s="466">
        <f t="shared" si="18"/>
        <v>1</v>
      </c>
      <c r="G158" s="467">
        <f t="shared" si="19"/>
        <v>0.49780000000000002</v>
      </c>
      <c r="H158" s="430">
        <f t="shared" si="20"/>
        <v>0</v>
      </c>
      <c r="N158" s="467"/>
    </row>
    <row r="159" spans="1:14">
      <c r="A159" s="1154">
        <f t="shared" si="17"/>
        <v>145</v>
      </c>
      <c r="B159" s="514">
        <v>39100</v>
      </c>
      <c r="C159" s="88" t="s">
        <v>1532</v>
      </c>
      <c r="D159" s="346">
        <f>[4]Reserve!$BK89</f>
        <v>0</v>
      </c>
      <c r="E159" s="467">
        <v>1</v>
      </c>
      <c r="F159" s="466">
        <f t="shared" si="18"/>
        <v>1</v>
      </c>
      <c r="G159" s="467">
        <f t="shared" si="19"/>
        <v>0.49780000000000002</v>
      </c>
      <c r="H159" s="430">
        <f t="shared" si="20"/>
        <v>0</v>
      </c>
      <c r="N159" s="467"/>
    </row>
    <row r="160" spans="1:14">
      <c r="A160" s="1154">
        <f t="shared" si="17"/>
        <v>146</v>
      </c>
      <c r="B160" s="514">
        <v>39101</v>
      </c>
      <c r="C160" s="88" t="s">
        <v>1502</v>
      </c>
      <c r="D160" s="346">
        <f>[4]Reserve!$BK90</f>
        <v>0</v>
      </c>
      <c r="E160" s="467">
        <v>1</v>
      </c>
      <c r="F160" s="466">
        <f t="shared" si="18"/>
        <v>1</v>
      </c>
      <c r="G160" s="467">
        <f t="shared" si="19"/>
        <v>0.49780000000000002</v>
      </c>
      <c r="H160" s="430">
        <f t="shared" si="20"/>
        <v>0</v>
      </c>
      <c r="K160" s="691"/>
      <c r="N160" s="467"/>
    </row>
    <row r="161" spans="1:14">
      <c r="A161" s="1154">
        <f t="shared" si="17"/>
        <v>147</v>
      </c>
      <c r="B161" s="514">
        <v>39103</v>
      </c>
      <c r="C161" s="88" t="s">
        <v>780</v>
      </c>
      <c r="D161" s="346">
        <f>[4]Reserve!$BK91</f>
        <v>0</v>
      </c>
      <c r="E161" s="467">
        <v>1</v>
      </c>
      <c r="F161" s="466">
        <f t="shared" si="18"/>
        <v>1</v>
      </c>
      <c r="G161" s="467">
        <f t="shared" si="19"/>
        <v>0.49780000000000002</v>
      </c>
      <c r="H161" s="430">
        <f t="shared" si="20"/>
        <v>0</v>
      </c>
      <c r="K161" s="691"/>
      <c r="N161" s="467"/>
    </row>
    <row r="162" spans="1:14">
      <c r="A162" s="1154">
        <f t="shared" si="17"/>
        <v>148</v>
      </c>
      <c r="B162" s="514">
        <v>39200</v>
      </c>
      <c r="C162" s="88" t="s">
        <v>1547</v>
      </c>
      <c r="D162" s="346">
        <f>[4]Reserve!$BK92</f>
        <v>1476.101729</v>
      </c>
      <c r="E162" s="1065">
        <f>'[5]Base period Actuals'!$L$15</f>
        <v>0.45615191876565997</v>
      </c>
      <c r="F162" s="466">
        <f t="shared" si="18"/>
        <v>1</v>
      </c>
      <c r="G162" s="467">
        <f t="shared" si="19"/>
        <v>0.49780000000000002</v>
      </c>
      <c r="H162" s="430">
        <f t="shared" si="20"/>
        <v>335.18199938918048</v>
      </c>
      <c r="K162" s="691"/>
      <c r="N162" s="467"/>
    </row>
    <row r="163" spans="1:14">
      <c r="A163" s="1154">
        <f t="shared" si="17"/>
        <v>149</v>
      </c>
      <c r="B163" s="514">
        <v>39300</v>
      </c>
      <c r="C163" s="88" t="s">
        <v>649</v>
      </c>
      <c r="D163" s="346">
        <f>[4]Reserve!$BK93</f>
        <v>0</v>
      </c>
      <c r="E163" s="467">
        <v>1</v>
      </c>
      <c r="F163" s="466">
        <f t="shared" si="18"/>
        <v>1</v>
      </c>
      <c r="G163" s="467">
        <f t="shared" si="19"/>
        <v>0.49780000000000002</v>
      </c>
      <c r="H163" s="430">
        <f t="shared" si="20"/>
        <v>0</v>
      </c>
      <c r="K163" s="691"/>
      <c r="N163" s="467"/>
    </row>
    <row r="164" spans="1:14">
      <c r="A164" s="1154">
        <f t="shared" si="17"/>
        <v>150</v>
      </c>
      <c r="B164" s="514">
        <v>39400</v>
      </c>
      <c r="C164" s="88" t="s">
        <v>1535</v>
      </c>
      <c r="D164" s="346">
        <f>[4]Reserve!$BK94</f>
        <v>8476.810607999998</v>
      </c>
      <c r="E164" s="1065">
        <f>'[5]Base period Actuals'!$L$21</f>
        <v>0.45614668834079219</v>
      </c>
      <c r="F164" s="466">
        <f t="shared" si="18"/>
        <v>1</v>
      </c>
      <c r="G164" s="467">
        <f t="shared" si="19"/>
        <v>0.49780000000000002</v>
      </c>
      <c r="H164" s="430">
        <f t="shared" si="20"/>
        <v>1924.8278712752792</v>
      </c>
      <c r="K164" s="691"/>
      <c r="N164" s="467"/>
    </row>
    <row r="165" spans="1:14">
      <c r="A165" s="1154">
        <f t="shared" si="17"/>
        <v>151</v>
      </c>
      <c r="B165" s="514">
        <v>39600</v>
      </c>
      <c r="C165" s="88" t="s">
        <v>1548</v>
      </c>
      <c r="D165" s="346">
        <f>[4]Reserve!$BK95</f>
        <v>1029.8876379999999</v>
      </c>
      <c r="E165" s="1065">
        <f>'[5]Base period Actuals'!$L$17</f>
        <v>1.9989267507378727E-2</v>
      </c>
      <c r="F165" s="466">
        <f t="shared" si="18"/>
        <v>1</v>
      </c>
      <c r="G165" s="467">
        <f t="shared" si="19"/>
        <v>0.49780000000000002</v>
      </c>
      <c r="H165" s="430">
        <f t="shared" si="20"/>
        <v>10.248059010365459</v>
      </c>
      <c r="K165" s="691"/>
      <c r="N165" s="467"/>
    </row>
    <row r="166" spans="1:14">
      <c r="A166" s="1154">
        <f t="shared" si="17"/>
        <v>152</v>
      </c>
      <c r="B166" s="514">
        <v>39700</v>
      </c>
      <c r="C166" s="88" t="s">
        <v>1539</v>
      </c>
      <c r="D166" s="346">
        <f>[4]Reserve!$BK96</f>
        <v>3100.8865999999994</v>
      </c>
      <c r="E166" s="467">
        <v>1</v>
      </c>
      <c r="F166" s="466">
        <f t="shared" si="18"/>
        <v>1</v>
      </c>
      <c r="G166" s="467">
        <f t="shared" si="19"/>
        <v>0.49780000000000002</v>
      </c>
      <c r="H166" s="430">
        <f t="shared" si="20"/>
        <v>1543.6213494799997</v>
      </c>
      <c r="K166" s="691"/>
      <c r="N166" s="467"/>
    </row>
    <row r="167" spans="1:14">
      <c r="A167" s="1154">
        <f t="shared" si="17"/>
        <v>153</v>
      </c>
      <c r="B167" s="514">
        <v>39701</v>
      </c>
      <c r="C167" s="88" t="s">
        <v>1499</v>
      </c>
      <c r="D167" s="346">
        <f>[4]Reserve!$BK97</f>
        <v>0</v>
      </c>
      <c r="E167" s="467">
        <v>1</v>
      </c>
      <c r="F167" s="466">
        <f t="shared" si="18"/>
        <v>1</v>
      </c>
      <c r="G167" s="467">
        <f t="shared" si="19"/>
        <v>0.49780000000000002</v>
      </c>
      <c r="H167" s="430">
        <f t="shared" si="20"/>
        <v>0</v>
      </c>
      <c r="K167" s="691"/>
      <c r="N167" s="467"/>
    </row>
    <row r="168" spans="1:14">
      <c r="A168" s="1154">
        <f t="shared" si="17"/>
        <v>154</v>
      </c>
      <c r="B168" s="707">
        <v>39702</v>
      </c>
      <c r="C168" s="88" t="s">
        <v>1499</v>
      </c>
      <c r="D168" s="346">
        <f>[4]Reserve!$BK98</f>
        <v>0</v>
      </c>
      <c r="E168" s="467">
        <v>1</v>
      </c>
      <c r="F168" s="466">
        <f t="shared" si="18"/>
        <v>1</v>
      </c>
      <c r="G168" s="467">
        <f t="shared" si="19"/>
        <v>0.49780000000000002</v>
      </c>
      <c r="H168" s="430">
        <f t="shared" si="20"/>
        <v>0</v>
      </c>
      <c r="N168" s="467"/>
    </row>
    <row r="169" spans="1:14">
      <c r="A169" s="1154">
        <f t="shared" si="17"/>
        <v>155</v>
      </c>
      <c r="B169" s="707">
        <v>39800</v>
      </c>
      <c r="C169" s="88" t="s">
        <v>1541</v>
      </c>
      <c r="D169" s="346">
        <f>[4]Reserve!$BK99</f>
        <v>21656.839007999995</v>
      </c>
      <c r="E169" s="467">
        <v>1</v>
      </c>
      <c r="F169" s="466">
        <f t="shared" si="18"/>
        <v>1</v>
      </c>
      <c r="G169" s="467">
        <f t="shared" si="19"/>
        <v>0.49780000000000002</v>
      </c>
      <c r="H169" s="430">
        <f t="shared" si="20"/>
        <v>10780.774458182399</v>
      </c>
      <c r="N169" s="467"/>
    </row>
    <row r="170" spans="1:14">
      <c r="A170" s="1154">
        <f t="shared" si="17"/>
        <v>156</v>
      </c>
      <c r="B170" s="707">
        <v>39900</v>
      </c>
      <c r="C170" s="88" t="s">
        <v>1549</v>
      </c>
      <c r="D170" s="346">
        <f>[4]Reserve!$BK100</f>
        <v>0</v>
      </c>
      <c r="E170" s="467">
        <v>1</v>
      </c>
      <c r="F170" s="466">
        <f t="shared" si="18"/>
        <v>1</v>
      </c>
      <c r="G170" s="467">
        <f t="shared" si="19"/>
        <v>0.49780000000000002</v>
      </c>
      <c r="H170" s="430">
        <f t="shared" si="20"/>
        <v>0</v>
      </c>
      <c r="N170" s="467"/>
    </row>
    <row r="171" spans="1:14">
      <c r="A171" s="1154">
        <f t="shared" si="17"/>
        <v>157</v>
      </c>
      <c r="B171" s="707">
        <v>39901</v>
      </c>
      <c r="C171" s="88" t="s">
        <v>1550</v>
      </c>
      <c r="D171" s="346">
        <f>[4]Reserve!$BK101</f>
        <v>0</v>
      </c>
      <c r="E171" s="467">
        <v>1</v>
      </c>
      <c r="F171" s="466">
        <f t="shared" si="18"/>
        <v>1</v>
      </c>
      <c r="G171" s="467">
        <f t="shared" si="19"/>
        <v>0.49780000000000002</v>
      </c>
      <c r="H171" s="430">
        <f t="shared" si="20"/>
        <v>0</v>
      </c>
      <c r="N171" s="467"/>
    </row>
    <row r="172" spans="1:14">
      <c r="A172" s="1154">
        <f t="shared" si="17"/>
        <v>158</v>
      </c>
      <c r="B172" s="707">
        <v>39902</v>
      </c>
      <c r="C172" s="88" t="s">
        <v>1551</v>
      </c>
      <c r="D172" s="346">
        <f>[4]Reserve!$BK102</f>
        <v>0</v>
      </c>
      <c r="E172" s="467">
        <v>1</v>
      </c>
      <c r="F172" s="466">
        <f t="shared" si="18"/>
        <v>1</v>
      </c>
      <c r="G172" s="467">
        <f t="shared" si="19"/>
        <v>0.49780000000000002</v>
      </c>
      <c r="H172" s="430">
        <f t="shared" si="20"/>
        <v>0</v>
      </c>
      <c r="N172" s="467"/>
    </row>
    <row r="173" spans="1:14">
      <c r="A173" s="1154">
        <f t="shared" si="17"/>
        <v>159</v>
      </c>
      <c r="B173" s="707">
        <v>39903</v>
      </c>
      <c r="C173" s="88" t="s">
        <v>1542</v>
      </c>
      <c r="D173" s="346">
        <f>[4]Reserve!$BK103</f>
        <v>0</v>
      </c>
      <c r="E173" s="467">
        <v>1</v>
      </c>
      <c r="F173" s="466">
        <f t="shared" si="18"/>
        <v>1</v>
      </c>
      <c r="G173" s="467">
        <f t="shared" si="19"/>
        <v>0.49780000000000002</v>
      </c>
      <c r="H173" s="430">
        <f t="shared" si="20"/>
        <v>0</v>
      </c>
      <c r="N173" s="467"/>
    </row>
    <row r="174" spans="1:14">
      <c r="A174" s="1154">
        <f t="shared" si="17"/>
        <v>160</v>
      </c>
      <c r="B174" s="707">
        <v>39906</v>
      </c>
      <c r="C174" s="88" t="s">
        <v>1543</v>
      </c>
      <c r="D174" s="346">
        <f>[4]Reserve!$BK104</f>
        <v>0</v>
      </c>
      <c r="E174" s="467">
        <v>1</v>
      </c>
      <c r="F174" s="466">
        <f t="shared" si="18"/>
        <v>1</v>
      </c>
      <c r="G174" s="467">
        <f t="shared" si="19"/>
        <v>0.49780000000000002</v>
      </c>
      <c r="H174" s="430">
        <f t="shared" si="20"/>
        <v>0</v>
      </c>
      <c r="N174" s="467"/>
    </row>
    <row r="175" spans="1:14">
      <c r="A175" s="1154">
        <f t="shared" si="17"/>
        <v>161</v>
      </c>
      <c r="B175" s="707">
        <v>39907</v>
      </c>
      <c r="C175" s="88" t="s">
        <v>1544</v>
      </c>
      <c r="D175" s="346">
        <f>[4]Reserve!$BK105</f>
        <v>20864.438947499999</v>
      </c>
      <c r="E175" s="467">
        <v>1</v>
      </c>
      <c r="F175" s="466">
        <f t="shared" si="18"/>
        <v>1</v>
      </c>
      <c r="G175" s="467">
        <f t="shared" si="19"/>
        <v>0.49780000000000002</v>
      </c>
      <c r="H175" s="430">
        <f t="shared" si="20"/>
        <v>10386.3177080655</v>
      </c>
      <c r="N175" s="467"/>
    </row>
    <row r="176" spans="1:14">
      <c r="A176" s="1154">
        <f t="shared" si="17"/>
        <v>162</v>
      </c>
      <c r="B176" s="707">
        <v>39908</v>
      </c>
      <c r="C176" s="88" t="s">
        <v>1545</v>
      </c>
      <c r="D176" s="346">
        <f>[4]Reserve!$BK106</f>
        <v>0</v>
      </c>
      <c r="E176" s="467">
        <v>1</v>
      </c>
      <c r="F176" s="466">
        <f t="shared" si="18"/>
        <v>1</v>
      </c>
      <c r="G176" s="467">
        <f t="shared" si="19"/>
        <v>0.49780000000000002</v>
      </c>
      <c r="H176" s="430">
        <f t="shared" si="20"/>
        <v>0</v>
      </c>
      <c r="N176" s="467"/>
    </row>
    <row r="177" spans="1:14">
      <c r="A177" s="1154">
        <f t="shared" si="17"/>
        <v>163</v>
      </c>
      <c r="B177" s="707"/>
      <c r="C177" s="88"/>
      <c r="D177" s="430"/>
      <c r="E177" s="467"/>
      <c r="F177" s="466"/>
      <c r="G177" s="467"/>
      <c r="H177" s="430"/>
    </row>
    <row r="178" spans="1:14">
      <c r="A178" s="1154">
        <f t="shared" si="17"/>
        <v>164</v>
      </c>
      <c r="B178" s="390"/>
      <c r="C178" s="88"/>
      <c r="D178" s="619"/>
      <c r="E178" s="1026"/>
      <c r="H178" s="619"/>
    </row>
    <row r="179" spans="1:14">
      <c r="A179" s="1154">
        <f t="shared" si="17"/>
        <v>165</v>
      </c>
      <c r="B179" s="390"/>
      <c r="C179" s="88" t="s">
        <v>1334</v>
      </c>
      <c r="D179" s="346">
        <f>SUM(D156:D177)</f>
        <v>62023.811387499991</v>
      </c>
      <c r="E179" s="1066"/>
      <c r="H179" s="346">
        <f>SUM(H156:H177)</f>
        <v>27678.473410817322</v>
      </c>
    </row>
    <row r="180" spans="1:14">
      <c r="A180" s="1154">
        <f t="shared" si="17"/>
        <v>166</v>
      </c>
      <c r="B180" s="390"/>
      <c r="C180" s="88"/>
      <c r="E180" s="1026"/>
    </row>
    <row r="181" spans="1:14" ht="15.75" thickBot="1">
      <c r="A181" s="1154">
        <f t="shared" si="17"/>
        <v>167</v>
      </c>
      <c r="B181" s="390"/>
      <c r="C181" s="88" t="s">
        <v>1330</v>
      </c>
      <c r="D181" s="329">
        <f>D128+D153+D179</f>
        <v>62023.811387499991</v>
      </c>
      <c r="E181" s="1066"/>
      <c r="H181" s="329">
        <f>H128+H153+H179</f>
        <v>27678.473410817322</v>
      </c>
    </row>
    <row r="182" spans="1:14" ht="15.75" thickTop="1">
      <c r="A182" s="1154">
        <f t="shared" si="17"/>
        <v>168</v>
      </c>
      <c r="B182" s="1039"/>
      <c r="D182" s="430"/>
      <c r="E182" s="1026"/>
    </row>
    <row r="183" spans="1:14" ht="15.75">
      <c r="A183" s="1154">
        <f t="shared" si="17"/>
        <v>169</v>
      </c>
      <c r="B183" s="1044" t="s">
        <v>8</v>
      </c>
      <c r="D183" s="430"/>
    </row>
    <row r="184" spans="1:14">
      <c r="A184" s="1154">
        <f t="shared" si="17"/>
        <v>170</v>
      </c>
      <c r="D184" s="430"/>
    </row>
    <row r="185" spans="1:14">
      <c r="A185" s="1154">
        <f t="shared" si="17"/>
        <v>171</v>
      </c>
      <c r="B185" s="390"/>
      <c r="C185" s="620" t="s">
        <v>301</v>
      </c>
      <c r="D185" s="430"/>
    </row>
    <row r="186" spans="1:14">
      <c r="A186" s="1154">
        <f t="shared" si="17"/>
        <v>172</v>
      </c>
      <c r="B186" s="514">
        <v>39000</v>
      </c>
      <c r="C186" s="88" t="s">
        <v>1527</v>
      </c>
      <c r="D186" s="346">
        <f>[4]Reserve!$BK7</f>
        <v>53868.556450375138</v>
      </c>
      <c r="E186" s="466">
        <v>1</v>
      </c>
      <c r="F186" s="467">
        <f>Allocation!$C$14</f>
        <v>0.104</v>
      </c>
      <c r="G186" s="467">
        <f>Allocation!$D$14</f>
        <v>0.49780000000000002</v>
      </c>
      <c r="H186" s="346">
        <f>D186*E186*F186*G186</f>
        <v>2788.8398097036611</v>
      </c>
      <c r="N186" s="467"/>
    </row>
    <row r="187" spans="1:14">
      <c r="A187" s="1154">
        <f t="shared" si="17"/>
        <v>173</v>
      </c>
      <c r="B187" s="514">
        <v>39005</v>
      </c>
      <c r="C187" s="88" t="s">
        <v>1552</v>
      </c>
      <c r="D187" s="346">
        <f>[4]Reserve!$BK8</f>
        <v>276532.97329699987</v>
      </c>
      <c r="E187" s="466">
        <v>1</v>
      </c>
      <c r="F187" s="467">
        <v>1</v>
      </c>
      <c r="G187" s="467">
        <f>Allocation!$I$20</f>
        <v>1.570628E-2</v>
      </c>
      <c r="H187" s="430">
        <f t="shared" ref="H187:H221" si="21">D187*E187*F187*G187</f>
        <v>4343.304307835203</v>
      </c>
      <c r="N187" s="467"/>
    </row>
    <row r="188" spans="1:14">
      <c r="A188" s="1154">
        <f t="shared" si="17"/>
        <v>174</v>
      </c>
      <c r="B188" s="514">
        <v>39009</v>
      </c>
      <c r="C188" s="88" t="s">
        <v>1531</v>
      </c>
      <c r="D188" s="346">
        <f>[4]Reserve!$BK9</f>
        <v>0</v>
      </c>
      <c r="E188" s="466">
        <v>1</v>
      </c>
      <c r="F188" s="467">
        <f t="shared" ref="F188:F201" si="22">$F$186</f>
        <v>0.104</v>
      </c>
      <c r="G188" s="467">
        <f t="shared" ref="G188:G201" si="23">$G$186</f>
        <v>0.49780000000000002</v>
      </c>
      <c r="H188" s="430">
        <f t="shared" si="21"/>
        <v>0</v>
      </c>
      <c r="N188" s="467"/>
    </row>
    <row r="189" spans="1:14">
      <c r="A189" s="1154">
        <f t="shared" si="17"/>
        <v>175</v>
      </c>
      <c r="B189" s="514">
        <v>39020</v>
      </c>
      <c r="C189" s="88" t="s">
        <v>1503</v>
      </c>
      <c r="D189" s="346">
        <f>[4]Reserve!$BK10</f>
        <v>0</v>
      </c>
      <c r="E189" s="466">
        <v>1</v>
      </c>
      <c r="F189" s="467">
        <v>1</v>
      </c>
      <c r="G189" s="467">
        <f>Allocation!$E$22</f>
        <v>6.3622429999999994E-2</v>
      </c>
      <c r="H189" s="430">
        <f t="shared" si="21"/>
        <v>0</v>
      </c>
      <c r="N189" s="467"/>
    </row>
    <row r="190" spans="1:14">
      <c r="A190" s="1154">
        <f t="shared" si="17"/>
        <v>176</v>
      </c>
      <c r="B190" s="514">
        <v>39029</v>
      </c>
      <c r="C190" s="88" t="s">
        <v>1504</v>
      </c>
      <c r="D190" s="346">
        <f>[4]Reserve!$BK11</f>
        <v>554.6882895194791</v>
      </c>
      <c r="E190" s="466">
        <v>1</v>
      </c>
      <c r="F190" s="467">
        <v>1</v>
      </c>
      <c r="G190" s="467">
        <f>Allocation!$E$22</f>
        <v>6.3622429999999994E-2</v>
      </c>
      <c r="H190" s="430">
        <f t="shared" si="21"/>
        <v>35.290616871772791</v>
      </c>
      <c r="N190" s="467"/>
    </row>
    <row r="191" spans="1:14">
      <c r="A191" s="1154">
        <f t="shared" si="17"/>
        <v>177</v>
      </c>
      <c r="B191" s="514">
        <v>39100</v>
      </c>
      <c r="C191" s="88" t="s">
        <v>1532</v>
      </c>
      <c r="D191" s="346">
        <f>[4]Reserve!$BK12</f>
        <v>204916.63164689764</v>
      </c>
      <c r="E191" s="466">
        <v>1</v>
      </c>
      <c r="F191" s="467">
        <f t="shared" si="22"/>
        <v>0.104</v>
      </c>
      <c r="G191" s="467">
        <f t="shared" si="23"/>
        <v>0.49780000000000002</v>
      </c>
      <c r="H191" s="430">
        <f t="shared" si="21"/>
        <v>10608.779920317867</v>
      </c>
      <c r="N191" s="467"/>
    </row>
    <row r="192" spans="1:14">
      <c r="A192" s="1154">
        <f t="shared" si="17"/>
        <v>178</v>
      </c>
      <c r="B192" s="514">
        <v>39102</v>
      </c>
      <c r="C192" s="88" t="s">
        <v>1553</v>
      </c>
      <c r="D192" s="346">
        <f>[4]Reserve!$BK13</f>
        <v>0</v>
      </c>
      <c r="E192" s="466">
        <v>1</v>
      </c>
      <c r="F192" s="467">
        <f t="shared" si="22"/>
        <v>0.104</v>
      </c>
      <c r="G192" s="467">
        <f t="shared" si="23"/>
        <v>0.49780000000000002</v>
      </c>
      <c r="H192" s="430">
        <f t="shared" si="21"/>
        <v>0</v>
      </c>
      <c r="N192" s="467"/>
    </row>
    <row r="193" spans="1:14">
      <c r="A193" s="1154">
        <f t="shared" si="17"/>
        <v>179</v>
      </c>
      <c r="B193" s="514">
        <v>39103</v>
      </c>
      <c r="C193" s="88" t="s">
        <v>1323</v>
      </c>
      <c r="D193" s="346">
        <f>[4]Reserve!$BK14</f>
        <v>0</v>
      </c>
      <c r="E193" s="466">
        <v>1</v>
      </c>
      <c r="F193" s="467">
        <f t="shared" si="22"/>
        <v>0.104</v>
      </c>
      <c r="G193" s="467">
        <f t="shared" si="23"/>
        <v>0.49780000000000002</v>
      </c>
      <c r="H193" s="430">
        <f t="shared" si="21"/>
        <v>0</v>
      </c>
      <c r="N193" s="467"/>
    </row>
    <row r="194" spans="1:14">
      <c r="A194" s="1154">
        <f t="shared" si="17"/>
        <v>180</v>
      </c>
      <c r="B194" s="514">
        <v>39104</v>
      </c>
      <c r="C194" s="88" t="s">
        <v>1554</v>
      </c>
      <c r="D194" s="346">
        <f>[4]Reserve!$BK15</f>
        <v>5999.3670946783368</v>
      </c>
      <c r="E194" s="466">
        <v>1</v>
      </c>
      <c r="F194" s="467">
        <v>1</v>
      </c>
      <c r="G194" s="467">
        <f>Allocation!$I$20</f>
        <v>1.570628E-2</v>
      </c>
      <c r="H194" s="430">
        <f t="shared" si="21"/>
        <v>94.227739411804464</v>
      </c>
      <c r="N194" s="467"/>
    </row>
    <row r="195" spans="1:14">
      <c r="A195" s="1154">
        <f t="shared" si="17"/>
        <v>181</v>
      </c>
      <c r="B195" s="514">
        <v>39120</v>
      </c>
      <c r="C195" s="88" t="s">
        <v>1505</v>
      </c>
      <c r="D195" s="346">
        <f>[4]Reserve!$BK16</f>
        <v>10428.180444000001</v>
      </c>
      <c r="E195" s="466">
        <v>1</v>
      </c>
      <c r="F195" s="467">
        <v>1</v>
      </c>
      <c r="G195" s="467">
        <f>Allocation!$E$22</f>
        <v>6.3622429999999994E-2</v>
      </c>
      <c r="H195" s="430">
        <f t="shared" si="21"/>
        <v>663.46618032575896</v>
      </c>
      <c r="N195" s="467"/>
    </row>
    <row r="196" spans="1:14">
      <c r="A196" s="1154">
        <f t="shared" si="17"/>
        <v>182</v>
      </c>
      <c r="B196" s="514">
        <v>39200</v>
      </c>
      <c r="C196" s="88" t="s">
        <v>1533</v>
      </c>
      <c r="D196" s="346">
        <f>[4]Reserve!$BK17</f>
        <v>594.25919399999987</v>
      </c>
      <c r="E196" s="466">
        <v>1</v>
      </c>
      <c r="F196" s="467">
        <f t="shared" si="22"/>
        <v>0.104</v>
      </c>
      <c r="G196" s="467">
        <f t="shared" si="23"/>
        <v>0.49780000000000002</v>
      </c>
      <c r="H196" s="430">
        <f t="shared" si="21"/>
        <v>30.765511584412792</v>
      </c>
      <c r="N196" s="467"/>
    </row>
    <row r="197" spans="1:14">
      <c r="A197" s="1154">
        <f t="shared" si="17"/>
        <v>183</v>
      </c>
      <c r="B197" s="514">
        <v>39300</v>
      </c>
      <c r="C197" s="88" t="s">
        <v>1555</v>
      </c>
      <c r="D197" s="346">
        <f>[4]Reserve!$BK18</f>
        <v>0</v>
      </c>
      <c r="E197" s="466">
        <v>1</v>
      </c>
      <c r="F197" s="467">
        <f t="shared" si="22"/>
        <v>0.104</v>
      </c>
      <c r="G197" s="467">
        <f t="shared" si="23"/>
        <v>0.49780000000000002</v>
      </c>
      <c r="H197" s="430">
        <f t="shared" si="21"/>
        <v>0</v>
      </c>
      <c r="N197" s="467"/>
    </row>
    <row r="198" spans="1:14">
      <c r="A198" s="1154">
        <f t="shared" si="17"/>
        <v>184</v>
      </c>
      <c r="B198" s="514">
        <v>39400</v>
      </c>
      <c r="C198" s="88" t="s">
        <v>1535</v>
      </c>
      <c r="D198" s="346">
        <f>[4]Reserve!$BK19</f>
        <v>6367.1711579999983</v>
      </c>
      <c r="E198" s="466">
        <v>1</v>
      </c>
      <c r="F198" s="467">
        <f t="shared" si="22"/>
        <v>0.104</v>
      </c>
      <c r="G198" s="467">
        <f t="shared" si="23"/>
        <v>0.49780000000000002</v>
      </c>
      <c r="H198" s="430">
        <f t="shared" si="21"/>
        <v>329.63609145504955</v>
      </c>
      <c r="N198" s="467"/>
    </row>
    <row r="199" spans="1:14">
      <c r="A199" s="1154">
        <f t="shared" si="17"/>
        <v>185</v>
      </c>
      <c r="B199" s="514">
        <v>39420</v>
      </c>
      <c r="C199" s="88" t="s">
        <v>1506</v>
      </c>
      <c r="D199" s="346">
        <f>[4]Reserve!$BK20</f>
        <v>0</v>
      </c>
      <c r="E199" s="466">
        <v>1</v>
      </c>
      <c r="F199" s="467">
        <v>1</v>
      </c>
      <c r="G199" s="467">
        <f>Allocation!$E$22</f>
        <v>6.3622429999999994E-2</v>
      </c>
      <c r="H199" s="430">
        <f t="shared" si="21"/>
        <v>0</v>
      </c>
      <c r="N199" s="467"/>
    </row>
    <row r="200" spans="1:14">
      <c r="A200" s="1154">
        <f t="shared" si="17"/>
        <v>186</v>
      </c>
      <c r="B200" s="514">
        <v>39500</v>
      </c>
      <c r="C200" s="88" t="s">
        <v>1556</v>
      </c>
      <c r="D200" s="346">
        <f>[4]Reserve!$BK21</f>
        <v>0</v>
      </c>
      <c r="E200" s="466">
        <v>1</v>
      </c>
      <c r="F200" s="467">
        <f t="shared" si="22"/>
        <v>0.104</v>
      </c>
      <c r="G200" s="467">
        <f t="shared" si="23"/>
        <v>0.49780000000000002</v>
      </c>
      <c r="H200" s="430">
        <f t="shared" si="21"/>
        <v>0</v>
      </c>
      <c r="N200" s="467"/>
    </row>
    <row r="201" spans="1:14">
      <c r="A201" s="1154">
        <f t="shared" si="17"/>
        <v>187</v>
      </c>
      <c r="B201" s="514">
        <v>39700</v>
      </c>
      <c r="C201" s="88" t="s">
        <v>1539</v>
      </c>
      <c r="D201" s="346">
        <f>[4]Reserve!$BK22</f>
        <v>60801.647985000011</v>
      </c>
      <c r="E201" s="466">
        <v>1</v>
      </c>
      <c r="F201" s="467">
        <f t="shared" si="22"/>
        <v>0.104</v>
      </c>
      <c r="G201" s="467">
        <f t="shared" si="23"/>
        <v>0.49780000000000002</v>
      </c>
      <c r="H201" s="430">
        <f t="shared" si="21"/>
        <v>3147.7742781610327</v>
      </c>
      <c r="N201" s="467"/>
    </row>
    <row r="202" spans="1:14">
      <c r="A202" s="1154">
        <f t="shared" si="17"/>
        <v>188</v>
      </c>
      <c r="B202" s="514">
        <v>39720</v>
      </c>
      <c r="C202" s="88" t="s">
        <v>1507</v>
      </c>
      <c r="D202" s="346">
        <f>[4]Reserve!$BK23</f>
        <v>516.2238900000001</v>
      </c>
      <c r="E202" s="466">
        <v>1</v>
      </c>
      <c r="F202" s="467">
        <v>1</v>
      </c>
      <c r="G202" s="467">
        <f>Allocation!$E$22</f>
        <v>6.3622429999999994E-2</v>
      </c>
      <c r="H202" s="430">
        <f t="shared" si="21"/>
        <v>32.843418305852701</v>
      </c>
      <c r="N202" s="467"/>
    </row>
    <row r="203" spans="1:14">
      <c r="A203" s="1154">
        <f t="shared" si="17"/>
        <v>189</v>
      </c>
      <c r="B203" s="514">
        <v>39800</v>
      </c>
      <c r="C203" s="88" t="s">
        <v>1541</v>
      </c>
      <c r="D203" s="346">
        <f>[4]Reserve!$BK24</f>
        <v>7221.3536080000013</v>
      </c>
      <c r="E203" s="466">
        <v>1</v>
      </c>
      <c r="F203" s="467">
        <f t="shared" ref="F203:F218" si="24">$F$186</f>
        <v>0.104</v>
      </c>
      <c r="G203" s="467">
        <f t="shared" ref="G203:G218" si="25">$G$186</f>
        <v>0.49780000000000002</v>
      </c>
      <c r="H203" s="430">
        <f t="shared" si="21"/>
        <v>373.85814191048968</v>
      </c>
      <c r="N203" s="467"/>
    </row>
    <row r="204" spans="1:14">
      <c r="A204" s="1154">
        <f t="shared" si="17"/>
        <v>190</v>
      </c>
      <c r="B204" s="514">
        <v>39820</v>
      </c>
      <c r="C204" s="88" t="s">
        <v>1508</v>
      </c>
      <c r="D204" s="346">
        <f>[4]Reserve!$BK25</f>
        <v>390.84583099999992</v>
      </c>
      <c r="E204" s="466">
        <v>1</v>
      </c>
      <c r="F204" s="467">
        <v>1</v>
      </c>
      <c r="G204" s="467">
        <f>Allocation!$E$22</f>
        <v>6.3622429999999994E-2</v>
      </c>
      <c r="H204" s="430">
        <f t="shared" si="21"/>
        <v>24.866561523589322</v>
      </c>
      <c r="N204" s="467"/>
    </row>
    <row r="205" spans="1:14">
      <c r="A205" s="1154">
        <f t="shared" si="17"/>
        <v>191</v>
      </c>
      <c r="B205" s="514">
        <v>39900</v>
      </c>
      <c r="C205" s="88" t="s">
        <v>1557</v>
      </c>
      <c r="D205" s="346">
        <f>[4]Reserve!$BK26</f>
        <v>0</v>
      </c>
      <c r="E205" s="466">
        <v>1</v>
      </c>
      <c r="F205" s="467">
        <f t="shared" si="24"/>
        <v>0.104</v>
      </c>
      <c r="G205" s="467">
        <f t="shared" si="25"/>
        <v>0.49780000000000002</v>
      </c>
      <c r="H205" s="430">
        <f t="shared" si="21"/>
        <v>0</v>
      </c>
      <c r="N205" s="467"/>
    </row>
    <row r="206" spans="1:14">
      <c r="A206" s="1154">
        <f t="shared" si="17"/>
        <v>192</v>
      </c>
      <c r="B206" s="514">
        <v>39901</v>
      </c>
      <c r="C206" s="80" t="s">
        <v>1550</v>
      </c>
      <c r="D206" s="346">
        <f>[4]Reserve!$BK27</f>
        <v>4077237.3795535923</v>
      </c>
      <c r="E206" s="466">
        <v>1</v>
      </c>
      <c r="F206" s="467">
        <f t="shared" si="24"/>
        <v>0.104</v>
      </c>
      <c r="G206" s="467">
        <f t="shared" si="25"/>
        <v>0.49780000000000002</v>
      </c>
      <c r="H206" s="430">
        <f t="shared" si="21"/>
        <v>211083.47182434495</v>
      </c>
      <c r="N206" s="467"/>
    </row>
    <row r="207" spans="1:14">
      <c r="A207" s="1154">
        <f t="shared" si="17"/>
        <v>193</v>
      </c>
      <c r="B207" s="514">
        <v>39902</v>
      </c>
      <c r="C207" s="88" t="s">
        <v>1551</v>
      </c>
      <c r="D207" s="346">
        <f>[4]Reserve!$BK28</f>
        <v>2330513.6949328436</v>
      </c>
      <c r="E207" s="466">
        <v>1</v>
      </c>
      <c r="F207" s="467">
        <f t="shared" si="24"/>
        <v>0.104</v>
      </c>
      <c r="G207" s="467">
        <f t="shared" si="25"/>
        <v>0.49780000000000002</v>
      </c>
      <c r="H207" s="430">
        <f t="shared" si="21"/>
        <v>120653.49060310723</v>
      </c>
      <c r="N207" s="467"/>
    </row>
    <row r="208" spans="1:14">
      <c r="A208" s="1154">
        <f t="shared" si="17"/>
        <v>194</v>
      </c>
      <c r="B208" s="514">
        <v>39903</v>
      </c>
      <c r="C208" s="88" t="s">
        <v>1542</v>
      </c>
      <c r="D208" s="346">
        <f>[4]Reserve!$BK29</f>
        <v>601480.2866666395</v>
      </c>
      <c r="E208" s="466">
        <v>1</v>
      </c>
      <c r="F208" s="467">
        <f t="shared" si="24"/>
        <v>0.104</v>
      </c>
      <c r="G208" s="467">
        <f t="shared" si="25"/>
        <v>0.49780000000000002</v>
      </c>
      <c r="H208" s="430">
        <f t="shared" si="21"/>
        <v>31139.356217075925</v>
      </c>
      <c r="N208" s="467"/>
    </row>
    <row r="209" spans="1:14">
      <c r="A209" s="1154">
        <f t="shared" si="17"/>
        <v>195</v>
      </c>
      <c r="B209" s="514">
        <v>39904</v>
      </c>
      <c r="C209" s="88" t="s">
        <v>1558</v>
      </c>
      <c r="D209" s="346">
        <f>[4]Reserve!$BK30</f>
        <v>0</v>
      </c>
      <c r="E209" s="466">
        <v>1</v>
      </c>
      <c r="F209" s="467">
        <f t="shared" si="24"/>
        <v>0.104</v>
      </c>
      <c r="G209" s="467">
        <f t="shared" si="25"/>
        <v>0.49780000000000002</v>
      </c>
      <c r="H209" s="430">
        <f t="shared" si="21"/>
        <v>0</v>
      </c>
      <c r="N209" s="467"/>
    </row>
    <row r="210" spans="1:14">
      <c r="A210" s="1154">
        <f t="shared" si="17"/>
        <v>196</v>
      </c>
      <c r="B210" s="514">
        <v>39905</v>
      </c>
      <c r="C210" s="88" t="s">
        <v>1559</v>
      </c>
      <c r="D210" s="346">
        <f>[4]Reserve!$BK31</f>
        <v>0</v>
      </c>
      <c r="E210" s="466">
        <v>1</v>
      </c>
      <c r="F210" s="467">
        <f t="shared" si="24"/>
        <v>0.104</v>
      </c>
      <c r="G210" s="467">
        <f t="shared" si="25"/>
        <v>0.49780000000000002</v>
      </c>
      <c r="H210" s="430">
        <f t="shared" si="21"/>
        <v>0</v>
      </c>
      <c r="N210" s="467"/>
    </row>
    <row r="211" spans="1:14">
      <c r="A211" s="1154">
        <f t="shared" si="17"/>
        <v>197</v>
      </c>
      <c r="B211" s="707">
        <v>39906</v>
      </c>
      <c r="C211" s="88" t="s">
        <v>1543</v>
      </c>
      <c r="D211" s="346">
        <f>[4]Reserve!$BK32</f>
        <v>275762.48677954247</v>
      </c>
      <c r="E211" s="466">
        <v>1</v>
      </c>
      <c r="F211" s="467">
        <f t="shared" si="24"/>
        <v>0.104</v>
      </c>
      <c r="G211" s="467">
        <f t="shared" si="25"/>
        <v>0.49780000000000002</v>
      </c>
      <c r="H211" s="430">
        <f t="shared" si="21"/>
        <v>14276.554855561048</v>
      </c>
      <c r="N211" s="467"/>
    </row>
    <row r="212" spans="1:14">
      <c r="A212" s="1154">
        <f t="shared" ref="A212:A264" si="26">A211+1</f>
        <v>198</v>
      </c>
      <c r="B212" s="707">
        <v>39907</v>
      </c>
      <c r="C212" s="88" t="s">
        <v>1544</v>
      </c>
      <c r="D212" s="346">
        <f>[4]Reserve!$BK33</f>
        <v>110759.09900814816</v>
      </c>
      <c r="E212" s="466">
        <v>1</v>
      </c>
      <c r="F212" s="467">
        <f t="shared" si="24"/>
        <v>0.104</v>
      </c>
      <c r="G212" s="467">
        <f t="shared" si="25"/>
        <v>0.49780000000000002</v>
      </c>
      <c r="H212" s="430">
        <f t="shared" si="21"/>
        <v>5734.1314665706395</v>
      </c>
      <c r="N212" s="467"/>
    </row>
    <row r="213" spans="1:14">
      <c r="A213" s="1154">
        <f t="shared" si="26"/>
        <v>199</v>
      </c>
      <c r="B213" s="707">
        <v>39908</v>
      </c>
      <c r="C213" s="88" t="s">
        <v>1545</v>
      </c>
      <c r="D213" s="346">
        <f>[4]Reserve!$BK34</f>
        <v>4899829.9211724494</v>
      </c>
      <c r="E213" s="466">
        <v>1</v>
      </c>
      <c r="F213" s="467">
        <f t="shared" si="24"/>
        <v>0.104</v>
      </c>
      <c r="G213" s="467">
        <f t="shared" si="25"/>
        <v>0.49780000000000002</v>
      </c>
      <c r="H213" s="430">
        <f t="shared" si="21"/>
        <v>253670.07481500311</v>
      </c>
      <c r="N213" s="467"/>
    </row>
    <row r="214" spans="1:14">
      <c r="A214" s="1154">
        <f t="shared" si="26"/>
        <v>200</v>
      </c>
      <c r="B214" s="707">
        <v>39909</v>
      </c>
      <c r="C214" s="88" t="s">
        <v>1560</v>
      </c>
      <c r="D214" s="346">
        <f>[4]Reserve!$BK35</f>
        <v>0</v>
      </c>
      <c r="E214" s="466">
        <v>1</v>
      </c>
      <c r="F214" s="467">
        <f t="shared" si="24"/>
        <v>0.104</v>
      </c>
      <c r="G214" s="467">
        <f t="shared" si="25"/>
        <v>0.49780000000000002</v>
      </c>
      <c r="H214" s="430">
        <f t="shared" si="21"/>
        <v>0</v>
      </c>
      <c r="N214" s="467"/>
    </row>
    <row r="215" spans="1:14">
      <c r="A215" s="1154">
        <f t="shared" si="26"/>
        <v>201</v>
      </c>
      <c r="B215" s="707">
        <v>39921</v>
      </c>
      <c r="C215" s="88" t="s">
        <v>1509</v>
      </c>
      <c r="D215" s="346">
        <f>[4]Reserve!$BK36</f>
        <v>154419.71146799999</v>
      </c>
      <c r="E215" s="466">
        <v>1</v>
      </c>
      <c r="F215" s="467">
        <v>1</v>
      </c>
      <c r="G215" s="467">
        <f>Allocation!$E$22</f>
        <v>6.3622429999999994E-2</v>
      </c>
      <c r="H215" s="430">
        <f t="shared" si="21"/>
        <v>9824.5572834930263</v>
      </c>
      <c r="N215" s="467"/>
    </row>
    <row r="216" spans="1:14">
      <c r="A216" s="1154">
        <f t="shared" si="26"/>
        <v>202</v>
      </c>
      <c r="B216" s="707">
        <v>39922</v>
      </c>
      <c r="C216" s="88" t="s">
        <v>1510</v>
      </c>
      <c r="D216" s="346">
        <f>[4]Reserve!$BK37</f>
        <v>85840.128651999985</v>
      </c>
      <c r="E216" s="466">
        <v>1</v>
      </c>
      <c r="F216" s="467">
        <v>1</v>
      </c>
      <c r="G216" s="467">
        <f>Allocation!$E$22</f>
        <v>6.3622429999999994E-2</v>
      </c>
      <c r="H216" s="430">
        <f t="shared" si="21"/>
        <v>5461.3575763528625</v>
      </c>
      <c r="N216" s="467"/>
    </row>
    <row r="217" spans="1:14">
      <c r="A217" s="1154">
        <f t="shared" si="26"/>
        <v>203</v>
      </c>
      <c r="B217" s="707">
        <v>39923</v>
      </c>
      <c r="C217" s="88" t="s">
        <v>1511</v>
      </c>
      <c r="D217" s="346">
        <f>[4]Reserve!$BK38</f>
        <v>4205.9081639999995</v>
      </c>
      <c r="E217" s="466">
        <v>1</v>
      </c>
      <c r="F217" s="467">
        <v>1</v>
      </c>
      <c r="G217" s="467">
        <f>Allocation!$E$22</f>
        <v>6.3622429999999994E-2</v>
      </c>
      <c r="H217" s="430">
        <f t="shared" si="21"/>
        <v>267.59009775051845</v>
      </c>
      <c r="N217" s="467"/>
    </row>
    <row r="218" spans="1:14">
      <c r="A218" s="1154">
        <f t="shared" si="26"/>
        <v>204</v>
      </c>
      <c r="B218" s="707">
        <v>39924</v>
      </c>
      <c r="C218" s="88" t="s">
        <v>1392</v>
      </c>
      <c r="D218" s="346">
        <f>[4]Reserve!$BK39</f>
        <v>0</v>
      </c>
      <c r="E218" s="466">
        <v>1</v>
      </c>
      <c r="F218" s="467">
        <f t="shared" si="24"/>
        <v>0.104</v>
      </c>
      <c r="G218" s="467">
        <f t="shared" si="25"/>
        <v>0.49780000000000002</v>
      </c>
      <c r="H218" s="430">
        <f t="shared" si="21"/>
        <v>0</v>
      </c>
      <c r="N218" s="467"/>
    </row>
    <row r="219" spans="1:14">
      <c r="A219" s="1154">
        <f t="shared" si="26"/>
        <v>205</v>
      </c>
      <c r="B219" s="707">
        <v>39926</v>
      </c>
      <c r="C219" s="88" t="s">
        <v>1520</v>
      </c>
      <c r="D219" s="346">
        <f>[4]Reserve!$BK40</f>
        <v>32978.401158000001</v>
      </c>
      <c r="E219" s="466">
        <v>1</v>
      </c>
      <c r="F219" s="467">
        <v>1</v>
      </c>
      <c r="G219" s="467">
        <f>Allocation!$E$22</f>
        <v>6.3622429999999994E-2</v>
      </c>
      <c r="H219" s="430">
        <f t="shared" si="21"/>
        <v>2098.1660191867736</v>
      </c>
      <c r="N219" s="467"/>
    </row>
    <row r="220" spans="1:14">
      <c r="A220" s="1154">
        <f t="shared" si="26"/>
        <v>206</v>
      </c>
      <c r="B220" s="707">
        <v>39928</v>
      </c>
      <c r="C220" s="88" t="s">
        <v>1521</v>
      </c>
      <c r="D220" s="346">
        <f>[4]Reserve!$BK41</f>
        <v>1353831.8564921373</v>
      </c>
      <c r="E220" s="466">
        <v>1</v>
      </c>
      <c r="F220" s="467">
        <v>1</v>
      </c>
      <c r="G220" s="467">
        <f>Allocation!$E$22</f>
        <v>6.3622429999999994E-2</v>
      </c>
      <c r="H220" s="430">
        <f t="shared" si="21"/>
        <v>86134.072521441049</v>
      </c>
      <c r="N220" s="467"/>
    </row>
    <row r="221" spans="1:14">
      <c r="A221" s="1154">
        <f t="shared" si="26"/>
        <v>207</v>
      </c>
      <c r="B221" s="707">
        <v>39931</v>
      </c>
      <c r="C221" s="88" t="s">
        <v>1522</v>
      </c>
      <c r="D221" s="346">
        <f>[4]Reserve!$BK42</f>
        <v>28180.874628000001</v>
      </c>
      <c r="E221" s="466">
        <v>1</v>
      </c>
      <c r="F221" s="467">
        <v>1</v>
      </c>
      <c r="G221" s="467">
        <f>Allocation!$E$23</f>
        <v>0</v>
      </c>
      <c r="H221" s="430">
        <f t="shared" si="21"/>
        <v>0</v>
      </c>
      <c r="N221" s="467"/>
    </row>
    <row r="222" spans="1:14">
      <c r="A222" s="1154">
        <f t="shared" si="26"/>
        <v>208</v>
      </c>
      <c r="B222" s="707">
        <v>39932</v>
      </c>
      <c r="C222" s="88" t="s">
        <v>1523</v>
      </c>
      <c r="D222" s="346">
        <f>[4]Reserve!$BK43</f>
        <v>30873.656851999996</v>
      </c>
      <c r="E222" s="466">
        <v>1</v>
      </c>
      <c r="F222" s="467">
        <v>1</v>
      </c>
      <c r="G222" s="467">
        <f>Allocation!$E$23</f>
        <v>0</v>
      </c>
      <c r="H222" s="430">
        <f t="shared" ref="H222:H223" si="27">D222*E222*F222*G222</f>
        <v>0</v>
      </c>
      <c r="N222" s="467"/>
    </row>
    <row r="223" spans="1:14">
      <c r="A223" s="1154">
        <f t="shared" si="26"/>
        <v>209</v>
      </c>
      <c r="B223" s="707">
        <v>39938</v>
      </c>
      <c r="C223" s="88" t="s">
        <v>1524</v>
      </c>
      <c r="D223" s="346">
        <f>[4]Reserve!$BK44</f>
        <v>1316546.1098785701</v>
      </c>
      <c r="E223" s="466">
        <v>1</v>
      </c>
      <c r="F223" s="467">
        <v>1</v>
      </c>
      <c r="G223" s="467">
        <f>Allocation!$E$23</f>
        <v>0</v>
      </c>
      <c r="H223" s="430">
        <f t="shared" si="27"/>
        <v>0</v>
      </c>
      <c r="N223" s="467"/>
    </row>
    <row r="224" spans="1:14">
      <c r="A224" s="1154">
        <f t="shared" si="26"/>
        <v>210</v>
      </c>
      <c r="B224" s="788"/>
      <c r="C224" s="832"/>
      <c r="D224" s="923"/>
      <c r="E224" s="383"/>
      <c r="F224" s="423"/>
      <c r="G224" s="423"/>
      <c r="H224" s="1043"/>
    </row>
    <row r="225" spans="1:14">
      <c r="A225" s="1154">
        <f t="shared" si="26"/>
        <v>211</v>
      </c>
      <c r="B225" s="390"/>
      <c r="C225" s="88"/>
      <c r="E225" s="1026"/>
    </row>
    <row r="226" spans="1:14" ht="15.75" thickBot="1">
      <c r="A226" s="1154">
        <f t="shared" si="26"/>
        <v>212</v>
      </c>
      <c r="B226" s="390"/>
      <c r="C226" s="88" t="s">
        <v>1332</v>
      </c>
      <c r="D226" s="329">
        <f>SUM(D186:D224)</f>
        <v>15930651.414294392</v>
      </c>
      <c r="E226" s="1066"/>
      <c r="H226" s="329">
        <f>SUM(H186:H224)</f>
        <v>762816.4758572937</v>
      </c>
      <c r="M226" s="671"/>
      <c r="N226" s="671"/>
    </row>
    <row r="227" spans="1:14" ht="15.75" thickTop="1">
      <c r="A227" s="1154">
        <f t="shared" si="26"/>
        <v>213</v>
      </c>
      <c r="B227" s="1039"/>
      <c r="D227" s="430"/>
      <c r="E227" s="1026"/>
    </row>
    <row r="228" spans="1:14" ht="15.75">
      <c r="A228" s="1154">
        <f t="shared" si="26"/>
        <v>214</v>
      </c>
      <c r="B228" s="1044" t="s">
        <v>9</v>
      </c>
      <c r="D228" s="430"/>
    </row>
    <row r="229" spans="1:14">
      <c r="A229" s="1154">
        <f t="shared" si="26"/>
        <v>215</v>
      </c>
      <c r="B229" s="1039"/>
      <c r="D229" s="430"/>
      <c r="K229" s="671"/>
    </row>
    <row r="230" spans="1:14">
      <c r="A230" s="1154">
        <f t="shared" si="26"/>
        <v>216</v>
      </c>
      <c r="B230" s="390"/>
      <c r="C230" s="620" t="s">
        <v>301</v>
      </c>
      <c r="D230" s="430"/>
    </row>
    <row r="231" spans="1:14">
      <c r="A231" s="1154">
        <f t="shared" si="26"/>
        <v>217</v>
      </c>
      <c r="B231" s="514">
        <v>38900</v>
      </c>
      <c r="C231" s="88" t="s">
        <v>1561</v>
      </c>
      <c r="D231" s="346">
        <f>[4]Reserve!$BK50</f>
        <v>0</v>
      </c>
      <c r="E231" s="466">
        <v>1</v>
      </c>
      <c r="F231" s="467">
        <f>Allocation!$C$15</f>
        <v>0.1095</v>
      </c>
      <c r="G231" s="467">
        <f>Allocation!$D$15</f>
        <v>0.51517972406888612</v>
      </c>
      <c r="H231" s="346">
        <f>D231*E231*F231*G231</f>
        <v>0</v>
      </c>
      <c r="J231" s="424"/>
      <c r="N231" s="467"/>
    </row>
    <row r="232" spans="1:14">
      <c r="A232" s="1154">
        <f t="shared" si="26"/>
        <v>218</v>
      </c>
      <c r="B232" s="514">
        <v>38910</v>
      </c>
      <c r="C232" s="88" t="s">
        <v>1562</v>
      </c>
      <c r="D232" s="346">
        <f>[4]Reserve!$BK51</f>
        <v>0</v>
      </c>
      <c r="E232" s="624">
        <v>1</v>
      </c>
      <c r="F232" s="467">
        <v>1</v>
      </c>
      <c r="G232" s="467">
        <f>Allocation!$E$21</f>
        <v>2.3186160000000001E-2</v>
      </c>
      <c r="H232" s="430">
        <f t="shared" ref="H232:H259" si="28">D232*E232*F232*G232</f>
        <v>0</v>
      </c>
      <c r="N232" s="467"/>
    </row>
    <row r="233" spans="1:14">
      <c r="A233" s="1154">
        <f t="shared" si="26"/>
        <v>219</v>
      </c>
      <c r="B233" s="514">
        <v>39000</v>
      </c>
      <c r="C233" s="88" t="s">
        <v>1527</v>
      </c>
      <c r="D233" s="346">
        <f>[4]Reserve!$BK52</f>
        <v>381336.97856099991</v>
      </c>
      <c r="E233" s="624">
        <v>1</v>
      </c>
      <c r="F233" s="467">
        <f>Allocation!$C$15</f>
        <v>0.1095</v>
      </c>
      <c r="G233" s="467">
        <f>Allocation!$D$15</f>
        <v>0.51517972406888612</v>
      </c>
      <c r="H233" s="430">
        <f t="shared" si="28"/>
        <v>21512.050193458894</v>
      </c>
      <c r="N233" s="467"/>
    </row>
    <row r="234" spans="1:14">
      <c r="A234" s="1154">
        <f t="shared" si="26"/>
        <v>220</v>
      </c>
      <c r="B234" s="514">
        <v>39009</v>
      </c>
      <c r="C234" s="88" t="s">
        <v>1531</v>
      </c>
      <c r="D234" s="346">
        <f>[4]Reserve!$BK53</f>
        <v>91669.940375000006</v>
      </c>
      <c r="E234" s="624">
        <v>1</v>
      </c>
      <c r="F234" s="467">
        <f>Allocation!$C$15</f>
        <v>0.1095</v>
      </c>
      <c r="G234" s="467">
        <f>Allocation!$D$15</f>
        <v>0.51517972406888612</v>
      </c>
      <c r="H234" s="430">
        <f t="shared" si="28"/>
        <v>5171.3011573645099</v>
      </c>
      <c r="N234" s="467"/>
    </row>
    <row r="235" spans="1:14">
      <c r="A235" s="1154">
        <f t="shared" si="26"/>
        <v>221</v>
      </c>
      <c r="B235" s="514">
        <v>39010</v>
      </c>
      <c r="C235" s="88" t="s">
        <v>1563</v>
      </c>
      <c r="D235" s="346">
        <f>[4]Reserve!$BK54</f>
        <v>370405.78399999993</v>
      </c>
      <c r="E235" s="624">
        <v>1</v>
      </c>
      <c r="F235" s="467">
        <v>1</v>
      </c>
      <c r="G235" s="467">
        <f>Allocation!$E$21</f>
        <v>2.3186160000000001E-2</v>
      </c>
      <c r="H235" s="430">
        <f t="shared" si="28"/>
        <v>8588.2877727494379</v>
      </c>
      <c r="N235" s="467"/>
    </row>
    <row r="236" spans="1:14">
      <c r="A236" s="1154">
        <f t="shared" si="26"/>
        <v>222</v>
      </c>
      <c r="B236" s="514">
        <v>39100</v>
      </c>
      <c r="C236" s="88" t="s">
        <v>1532</v>
      </c>
      <c r="D236" s="346">
        <f>[4]Reserve!$BK55</f>
        <v>100367.52508654985</v>
      </c>
      <c r="E236" s="624">
        <v>1</v>
      </c>
      <c r="F236" s="467">
        <f>Allocation!$C$15</f>
        <v>0.1095</v>
      </c>
      <c r="G236" s="467">
        <f>Allocation!$D$15</f>
        <v>0.51517972406888612</v>
      </c>
      <c r="H236" s="430">
        <f t="shared" si="28"/>
        <v>5661.9508698124509</v>
      </c>
      <c r="N236" s="467"/>
    </row>
    <row r="237" spans="1:14">
      <c r="A237" s="1154">
        <f t="shared" si="26"/>
        <v>223</v>
      </c>
      <c r="B237" s="514">
        <v>39101</v>
      </c>
      <c r="C237" s="88" t="s">
        <v>1502</v>
      </c>
      <c r="D237" s="346">
        <f>[4]Reserve!$BK56</f>
        <v>0</v>
      </c>
      <c r="E237" s="624">
        <v>1</v>
      </c>
      <c r="F237" s="467">
        <f>Allocation!$C$15</f>
        <v>0.1095</v>
      </c>
      <c r="G237" s="467">
        <f>Allocation!$D$15</f>
        <v>0.51517972406888612</v>
      </c>
      <c r="H237" s="430">
        <f t="shared" si="28"/>
        <v>0</v>
      </c>
      <c r="N237" s="467"/>
    </row>
    <row r="238" spans="1:14">
      <c r="A238" s="1154">
        <f t="shared" si="26"/>
        <v>224</v>
      </c>
      <c r="B238" s="514">
        <v>39102</v>
      </c>
      <c r="C238" s="88" t="s">
        <v>1512</v>
      </c>
      <c r="D238" s="346">
        <f>[4]Reserve!$BK57</f>
        <v>0</v>
      </c>
      <c r="E238" s="624">
        <v>1</v>
      </c>
      <c r="F238" s="467">
        <f>Allocation!$C$15</f>
        <v>0.1095</v>
      </c>
      <c r="G238" s="467">
        <f>Allocation!$D$15</f>
        <v>0.51517972406888612</v>
      </c>
      <c r="H238" s="430">
        <f t="shared" si="28"/>
        <v>0</v>
      </c>
      <c r="N238" s="467"/>
    </row>
    <row r="239" spans="1:14">
      <c r="A239" s="1154">
        <f t="shared" si="26"/>
        <v>225</v>
      </c>
      <c r="B239" s="514">
        <v>39103</v>
      </c>
      <c r="C239" s="88" t="s">
        <v>1323</v>
      </c>
      <c r="D239" s="346">
        <f>[4]Reserve!$BK58</f>
        <v>0</v>
      </c>
      <c r="E239" s="624">
        <v>1</v>
      </c>
      <c r="F239" s="467">
        <f>Allocation!$C$15</f>
        <v>0.1095</v>
      </c>
      <c r="G239" s="467">
        <f>Allocation!$D$15</f>
        <v>0.51517972406888612</v>
      </c>
      <c r="H239" s="430">
        <f t="shared" si="28"/>
        <v>0</v>
      </c>
      <c r="N239" s="467"/>
    </row>
    <row r="240" spans="1:14">
      <c r="A240" s="1154">
        <f t="shared" si="26"/>
        <v>226</v>
      </c>
      <c r="B240" s="514">
        <v>39110</v>
      </c>
      <c r="C240" s="88" t="s">
        <v>1513</v>
      </c>
      <c r="D240" s="346">
        <f>[4]Reserve!$BK59</f>
        <v>20583.335275661611</v>
      </c>
      <c r="E240" s="624">
        <v>1</v>
      </c>
      <c r="F240" s="467">
        <v>1</v>
      </c>
      <c r="G240" s="467">
        <f>Allocation!$E$21</f>
        <v>2.3186160000000001E-2</v>
      </c>
      <c r="H240" s="430">
        <f t="shared" si="28"/>
        <v>477.24850503513426</v>
      </c>
      <c r="N240" s="467"/>
    </row>
    <row r="241" spans="1:14">
      <c r="A241" s="1154">
        <f t="shared" si="26"/>
        <v>227</v>
      </c>
      <c r="B241" s="514">
        <v>39210</v>
      </c>
      <c r="C241" s="88" t="s">
        <v>1514</v>
      </c>
      <c r="D241" s="346">
        <f>[4]Reserve!$BK60</f>
        <v>0</v>
      </c>
      <c r="E241" s="624">
        <v>1</v>
      </c>
      <c r="F241" s="467">
        <v>1</v>
      </c>
      <c r="G241" s="467">
        <f>Allocation!$E$21</f>
        <v>2.3186160000000001E-2</v>
      </c>
      <c r="H241" s="430">
        <f t="shared" si="28"/>
        <v>0</v>
      </c>
      <c r="N241" s="467"/>
    </row>
    <row r="242" spans="1:14">
      <c r="A242" s="1154">
        <f t="shared" si="26"/>
        <v>228</v>
      </c>
      <c r="B242" s="514">
        <v>39410</v>
      </c>
      <c r="C242" s="88" t="s">
        <v>1515</v>
      </c>
      <c r="D242" s="346">
        <f>[4]Reserve!$BK61</f>
        <v>51366.695806878066</v>
      </c>
      <c r="E242" s="624">
        <v>1</v>
      </c>
      <c r="F242" s="467">
        <v>1</v>
      </c>
      <c r="G242" s="467">
        <f>Allocation!$E$21</f>
        <v>2.3186160000000001E-2</v>
      </c>
      <c r="H242" s="430">
        <f t="shared" si="28"/>
        <v>1190.9964276496039</v>
      </c>
      <c r="N242" s="467"/>
    </row>
    <row r="243" spans="1:14">
      <c r="A243" s="1154">
        <f t="shared" si="26"/>
        <v>229</v>
      </c>
      <c r="B243" s="514">
        <v>39510</v>
      </c>
      <c r="C243" s="88" t="s">
        <v>1516</v>
      </c>
      <c r="D243" s="346">
        <f>[4]Reserve!$BK62</f>
        <v>2375.0230350000002</v>
      </c>
      <c r="E243" s="624">
        <v>1</v>
      </c>
      <c r="F243" s="467">
        <v>1</v>
      </c>
      <c r="G243" s="467">
        <f>Allocation!$E$21</f>
        <v>2.3186160000000001E-2</v>
      </c>
      <c r="H243" s="430">
        <f t="shared" si="28"/>
        <v>55.067664093195603</v>
      </c>
      <c r="N243" s="467"/>
    </row>
    <row r="244" spans="1:14">
      <c r="A244" s="1154">
        <f t="shared" si="26"/>
        <v>230</v>
      </c>
      <c r="B244" s="514">
        <v>39700</v>
      </c>
      <c r="C244" s="88" t="s">
        <v>1539</v>
      </c>
      <c r="D244" s="346">
        <f>[4]Reserve!$BK63</f>
        <v>111917.35093500004</v>
      </c>
      <c r="E244" s="624">
        <v>1</v>
      </c>
      <c r="F244" s="467">
        <f>Allocation!$C$15</f>
        <v>0.1095</v>
      </c>
      <c r="G244" s="467">
        <f>Allocation!$D$15</f>
        <v>0.51517972406888612</v>
      </c>
      <c r="H244" s="430">
        <f t="shared" si="28"/>
        <v>6313.5017220669342</v>
      </c>
      <c r="N244" s="467"/>
    </row>
    <row r="245" spans="1:14">
      <c r="A245" s="1154">
        <f t="shared" si="26"/>
        <v>231</v>
      </c>
      <c r="B245" s="514">
        <v>39710</v>
      </c>
      <c r="C245" s="88" t="s">
        <v>1564</v>
      </c>
      <c r="D245" s="346">
        <f>[4]Reserve!$BK64</f>
        <v>17052.786270000004</v>
      </c>
      <c r="E245" s="624">
        <v>1</v>
      </c>
      <c r="F245" s="467">
        <v>1</v>
      </c>
      <c r="G245" s="467">
        <f>Allocation!$E$21</f>
        <v>2.3186160000000001E-2</v>
      </c>
      <c r="H245" s="430">
        <f t="shared" si="28"/>
        <v>395.38863090202329</v>
      </c>
      <c r="N245" s="467"/>
    </row>
    <row r="246" spans="1:14">
      <c r="A246" s="1154">
        <f t="shared" si="26"/>
        <v>232</v>
      </c>
      <c r="B246" s="514">
        <v>39800</v>
      </c>
      <c r="C246" s="88" t="s">
        <v>1541</v>
      </c>
      <c r="D246" s="346">
        <f>[4]Reserve!$BK65</f>
        <v>3703.8284140000001</v>
      </c>
      <c r="E246" s="624">
        <v>1</v>
      </c>
      <c r="F246" s="467">
        <f>Allocation!$C$15</f>
        <v>0.1095</v>
      </c>
      <c r="G246" s="467">
        <f>Allocation!$D$15</f>
        <v>0.51517972406888612</v>
      </c>
      <c r="H246" s="430">
        <f t="shared" si="28"/>
        <v>208.9410343853707</v>
      </c>
      <c r="N246" s="467"/>
    </row>
    <row r="247" spans="1:14">
      <c r="A247" s="1154">
        <f t="shared" si="26"/>
        <v>233</v>
      </c>
      <c r="B247" s="707">
        <v>39810</v>
      </c>
      <c r="C247" s="88" t="s">
        <v>1517</v>
      </c>
      <c r="D247" s="346">
        <f>[4]Reserve!$BK66</f>
        <v>26941.062764999999</v>
      </c>
      <c r="E247" s="624">
        <v>1</v>
      </c>
      <c r="F247" s="467">
        <v>1</v>
      </c>
      <c r="G247" s="467">
        <f>Allocation!$E$21</f>
        <v>2.3186160000000001E-2</v>
      </c>
      <c r="H247" s="430">
        <f t="shared" si="28"/>
        <v>624.65979183933234</v>
      </c>
      <c r="N247" s="467"/>
    </row>
    <row r="248" spans="1:14">
      <c r="A248" s="1154">
        <f t="shared" si="26"/>
        <v>234</v>
      </c>
      <c r="B248" s="707">
        <v>39900</v>
      </c>
      <c r="C248" s="88" t="s">
        <v>1549</v>
      </c>
      <c r="D248" s="346">
        <f>[4]Reserve!$BK67</f>
        <v>82169.139675999992</v>
      </c>
      <c r="E248" s="624">
        <v>1</v>
      </c>
      <c r="F248" s="467">
        <f>Allocation!$C$15</f>
        <v>0.1095</v>
      </c>
      <c r="G248" s="467">
        <f>Allocation!$D$15</f>
        <v>0.51517972406888612</v>
      </c>
      <c r="H248" s="430">
        <f t="shared" si="28"/>
        <v>4635.3402802259088</v>
      </c>
      <c r="N248" s="467"/>
    </row>
    <row r="249" spans="1:14">
      <c r="A249" s="1154">
        <f t="shared" si="26"/>
        <v>235</v>
      </c>
      <c r="B249" s="707">
        <v>39901</v>
      </c>
      <c r="C249" s="88" t="s">
        <v>1550</v>
      </c>
      <c r="D249" s="346">
        <f>[4]Reserve!$BK68</f>
        <v>980539.97107199987</v>
      </c>
      <c r="E249" s="624">
        <v>1</v>
      </c>
      <c r="F249" s="467">
        <f>Allocation!$C$15</f>
        <v>0.1095</v>
      </c>
      <c r="G249" s="467">
        <f>Allocation!$D$15</f>
        <v>0.51517972406888612</v>
      </c>
      <c r="H249" s="430">
        <f t="shared" si="28"/>
        <v>55314.397135024825</v>
      </c>
      <c r="N249" s="467"/>
    </row>
    <row r="250" spans="1:14">
      <c r="A250" s="1154">
        <f t="shared" si="26"/>
        <v>236</v>
      </c>
      <c r="B250" s="707">
        <v>39902</v>
      </c>
      <c r="C250" s="88" t="s">
        <v>1551</v>
      </c>
      <c r="D250" s="346">
        <f>[4]Reserve!$BK69</f>
        <v>180737.52498499994</v>
      </c>
      <c r="E250" s="624">
        <v>1</v>
      </c>
      <c r="F250" s="467">
        <f>Allocation!$C$15</f>
        <v>0.1095</v>
      </c>
      <c r="G250" s="467">
        <f>Allocation!$D$15</f>
        <v>0.51517972406888612</v>
      </c>
      <c r="H250" s="430">
        <f t="shared" si="28"/>
        <v>10195.797753447892</v>
      </c>
      <c r="N250" s="467"/>
    </row>
    <row r="251" spans="1:14">
      <c r="A251" s="1154">
        <f t="shared" si="26"/>
        <v>237</v>
      </c>
      <c r="B251" s="707">
        <v>39903</v>
      </c>
      <c r="C251" s="88" t="s">
        <v>1542</v>
      </c>
      <c r="D251" s="346">
        <f>[4]Reserve!$BK70</f>
        <v>43982.870837999995</v>
      </c>
      <c r="E251" s="624">
        <v>1</v>
      </c>
      <c r="F251" s="467">
        <f>Allocation!$C$15</f>
        <v>0.1095</v>
      </c>
      <c r="G251" s="467">
        <f>Allocation!$D$15</f>
        <v>0.51517972406888612</v>
      </c>
      <c r="H251" s="430">
        <f t="shared" si="28"/>
        <v>2481.1696171975732</v>
      </c>
      <c r="N251" s="467"/>
    </row>
    <row r="252" spans="1:14">
      <c r="A252" s="1154">
        <f t="shared" si="26"/>
        <v>238</v>
      </c>
      <c r="B252" s="707">
        <v>39906</v>
      </c>
      <c r="C252" s="88" t="s">
        <v>1543</v>
      </c>
      <c r="D252" s="346">
        <f>[4]Reserve!$BK71</f>
        <v>109947.11531251865</v>
      </c>
      <c r="E252" s="624">
        <v>1</v>
      </c>
      <c r="F252" s="467">
        <f>Allocation!$C$15</f>
        <v>0.1095</v>
      </c>
      <c r="G252" s="467">
        <f>Allocation!$D$15</f>
        <v>0.51517972406888612</v>
      </c>
      <c r="H252" s="430">
        <f t="shared" si="28"/>
        <v>6202.3564359116335</v>
      </c>
      <c r="N252" s="467"/>
    </row>
    <row r="253" spans="1:14">
      <c r="A253" s="1154">
        <f t="shared" si="26"/>
        <v>239</v>
      </c>
      <c r="B253" s="707">
        <v>39907</v>
      </c>
      <c r="C253" s="88" t="s">
        <v>1544</v>
      </c>
      <c r="D253" s="346">
        <f>[4]Reserve!$BK72</f>
        <v>12613.374110999996</v>
      </c>
      <c r="E253" s="624">
        <v>1</v>
      </c>
      <c r="F253" s="467">
        <f>Allocation!$C$15</f>
        <v>0.1095</v>
      </c>
      <c r="G253" s="467">
        <f>Allocation!$D$15</f>
        <v>0.51517972406888612</v>
      </c>
      <c r="H253" s="430">
        <f t="shared" si="28"/>
        <v>711.54792805204579</v>
      </c>
      <c r="N253" s="467"/>
    </row>
    <row r="254" spans="1:14">
      <c r="A254" s="1154">
        <f t="shared" si="26"/>
        <v>240</v>
      </c>
      <c r="B254" s="707">
        <v>39908</v>
      </c>
      <c r="C254" s="88" t="s">
        <v>1545</v>
      </c>
      <c r="D254" s="346">
        <f>[4]Reserve!$BK73</f>
        <v>6071828.5696497187</v>
      </c>
      <c r="E254" s="624">
        <v>1</v>
      </c>
      <c r="F254" s="467">
        <f>Allocation!$C$15</f>
        <v>0.1095</v>
      </c>
      <c r="G254" s="467">
        <f>Allocation!$D$15</f>
        <v>0.51517972406888612</v>
      </c>
      <c r="H254" s="430">
        <f t="shared" si="28"/>
        <v>342525.08489807649</v>
      </c>
      <c r="N254" s="467"/>
    </row>
    <row r="255" spans="1:14">
      <c r="A255" s="1154">
        <f t="shared" si="26"/>
        <v>241</v>
      </c>
      <c r="B255" s="707">
        <v>39910</v>
      </c>
      <c r="C255" s="88" t="s">
        <v>1565</v>
      </c>
      <c r="D255" s="346">
        <f>[4]Reserve!$BK74</f>
        <v>44359.299537999999</v>
      </c>
      <c r="E255" s="624">
        <v>1</v>
      </c>
      <c r="F255" s="467">
        <v>1</v>
      </c>
      <c r="G255" s="467">
        <f>Allocation!$E$21</f>
        <v>2.3186160000000001E-2</v>
      </c>
      <c r="H255" s="430">
        <f t="shared" si="28"/>
        <v>1028.5218165759941</v>
      </c>
      <c r="N255" s="467"/>
    </row>
    <row r="256" spans="1:14">
      <c r="A256" s="1154">
        <f t="shared" si="26"/>
        <v>242</v>
      </c>
      <c r="B256" s="707">
        <v>39916</v>
      </c>
      <c r="C256" s="88" t="s">
        <v>1566</v>
      </c>
      <c r="D256" s="346">
        <f>[4]Reserve!$BK75</f>
        <v>47730.09565948118</v>
      </c>
      <c r="E256" s="624">
        <v>1</v>
      </c>
      <c r="F256" s="467">
        <v>1</v>
      </c>
      <c r="G256" s="467">
        <f>Allocation!$E$21</f>
        <v>2.3186160000000001E-2</v>
      </c>
      <c r="H256" s="430">
        <f t="shared" si="28"/>
        <v>1106.6776347760363</v>
      </c>
      <c r="N256" s="467"/>
    </row>
    <row r="257" spans="1:14">
      <c r="A257" s="1154">
        <f t="shared" si="26"/>
        <v>243</v>
      </c>
      <c r="B257" s="707">
        <v>39917</v>
      </c>
      <c r="C257" s="88" t="s">
        <v>1567</v>
      </c>
      <c r="D257" s="346">
        <f>[4]Reserve!$BK76</f>
        <v>6888.0250139999998</v>
      </c>
      <c r="E257" s="624">
        <v>1</v>
      </c>
      <c r="F257" s="467">
        <v>1</v>
      </c>
      <c r="G257" s="467">
        <f>Allocation!$E$21</f>
        <v>2.3186160000000001E-2</v>
      </c>
      <c r="H257" s="430">
        <f t="shared" si="28"/>
        <v>159.70685005860625</v>
      </c>
      <c r="N257" s="467"/>
    </row>
    <row r="258" spans="1:14">
      <c r="A258" s="1154">
        <f t="shared" si="26"/>
        <v>244</v>
      </c>
      <c r="B258" s="707">
        <v>39918</v>
      </c>
      <c r="C258" s="88" t="s">
        <v>1518</v>
      </c>
      <c r="D258" s="346">
        <f>[4]Reserve!$BK77</f>
        <v>1340.522432</v>
      </c>
      <c r="E258" s="624">
        <v>1</v>
      </c>
      <c r="F258" s="467">
        <v>1</v>
      </c>
      <c r="G258" s="467">
        <f>Allocation!$E$21</f>
        <v>2.3186160000000001E-2</v>
      </c>
      <c r="H258" s="430">
        <f t="shared" si="28"/>
        <v>31.08156759194112</v>
      </c>
      <c r="N258" s="467"/>
    </row>
    <row r="259" spans="1:14">
      <c r="A259" s="1154">
        <f t="shared" si="26"/>
        <v>245</v>
      </c>
      <c r="B259" s="707">
        <v>39924</v>
      </c>
      <c r="C259" s="88" t="s">
        <v>1519</v>
      </c>
      <c r="D259" s="346">
        <f>[4]Reserve!$BK78</f>
        <v>0</v>
      </c>
      <c r="E259" s="624">
        <v>1</v>
      </c>
      <c r="F259" s="467">
        <f>Allocation!$C$15</f>
        <v>0.1095</v>
      </c>
      <c r="G259" s="467">
        <f>Allocation!$D$15</f>
        <v>0.51517972406888612</v>
      </c>
      <c r="H259" s="430">
        <f t="shared" si="28"/>
        <v>0</v>
      </c>
      <c r="N259" s="467"/>
    </row>
    <row r="260" spans="1:14">
      <c r="A260" s="1154">
        <f t="shared" si="26"/>
        <v>246</v>
      </c>
      <c r="B260" s="707"/>
      <c r="C260" s="88"/>
      <c r="D260" s="1043"/>
      <c r="E260" s="1067"/>
      <c r="F260" s="467"/>
      <c r="G260" s="467"/>
      <c r="H260" s="1043"/>
    </row>
    <row r="261" spans="1:14">
      <c r="A261" s="1154">
        <f t="shared" si="26"/>
        <v>247</v>
      </c>
      <c r="B261" s="81"/>
      <c r="C261" s="88"/>
      <c r="D261" s="430"/>
      <c r="E261" s="1026"/>
    </row>
    <row r="262" spans="1:14" ht="15.75" thickBot="1">
      <c r="A262" s="1154">
        <f t="shared" si="26"/>
        <v>248</v>
      </c>
      <c r="B262" s="81"/>
      <c r="C262" s="88" t="s">
        <v>1333</v>
      </c>
      <c r="D262" s="468">
        <f>SUM(D231:D261)</f>
        <v>8759856.8188118059</v>
      </c>
      <c r="E262" s="1066"/>
      <c r="H262" s="468">
        <f>SUM(H231:H261)</f>
        <v>474591.07568629587</v>
      </c>
    </row>
    <row r="263" spans="1:14" ht="15.75" thickTop="1">
      <c r="A263" s="1154">
        <f t="shared" si="26"/>
        <v>249</v>
      </c>
      <c r="E263" s="1026"/>
    </row>
    <row r="264" spans="1:14" ht="30.75" thickBot="1">
      <c r="A264" s="1154">
        <f t="shared" si="26"/>
        <v>250</v>
      </c>
      <c r="C264" s="615" t="s">
        <v>1145</v>
      </c>
      <c r="D264" s="468">
        <f>D262+D226+D181+D118</f>
        <v>39381775.559675075</v>
      </c>
      <c r="E264" s="1066"/>
      <c r="H264" s="468">
        <f>H262+H226+H181+H118</f>
        <v>15749357.71476143</v>
      </c>
    </row>
    <row r="265" spans="1:14" ht="15.75" thickTop="1"/>
    <row r="266" spans="1:14">
      <c r="C266" s="80" t="s">
        <v>684</v>
      </c>
      <c r="D266" s="424"/>
    </row>
    <row r="267" spans="1:14">
      <c r="C267" s="80" t="s">
        <v>1699</v>
      </c>
    </row>
  </sheetData>
  <mergeCells count="4">
    <mergeCell ref="A1:I1"/>
    <mergeCell ref="A2:I2"/>
    <mergeCell ref="A3:I3"/>
    <mergeCell ref="A4:I4"/>
  </mergeCells>
  <phoneticPr fontId="22" type="noConversion"/>
  <printOptions horizontalCentered="1"/>
  <pageMargins left="0.75" right="0.49" top="0.78" bottom="1" header="0.5" footer="0.33"/>
  <pageSetup scale="16" fitToHeight="15" orientation="portrait" r:id="rId1"/>
  <headerFooter alignWithMargins="0"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22" style="40" customWidth="1"/>
    <col min="6" max="6" width="11.88671875" style="40" customWidth="1"/>
    <col min="7" max="16384" width="8.44140625" style="40"/>
  </cols>
  <sheetData>
    <row r="1" spans="1:7" s="1" customFormat="1">
      <c r="A1" s="1202" t="str">
        <f>'Table of Contents'!A1:C1</f>
        <v>Atmos Energy Corporation, Kentucky/Mid-States Division</v>
      </c>
      <c r="B1" s="1202"/>
      <c r="C1" s="1202"/>
      <c r="D1" s="1202"/>
      <c r="E1" s="1202"/>
    </row>
    <row r="2" spans="1:7" s="1" customFormat="1">
      <c r="A2" s="1202" t="str">
        <f>'Table of Contents'!A2:C2</f>
        <v>Kentucky Jurisdiction Case No. 2018-00281</v>
      </c>
      <c r="B2" s="1202"/>
      <c r="C2" s="1202"/>
      <c r="D2" s="1202"/>
      <c r="E2" s="1202"/>
    </row>
    <row r="3" spans="1:7" s="1" customFormat="1">
      <c r="A3" s="1202" t="s">
        <v>431</v>
      </c>
      <c r="B3" s="1202"/>
      <c r="C3" s="1202"/>
      <c r="D3" s="1202"/>
      <c r="E3" s="1202"/>
    </row>
    <row r="4" spans="1:7" s="1" customFormat="1">
      <c r="A4" s="1202" t="str">
        <f>'B.1 B'!A4</f>
        <v>as of December 31, 2018</v>
      </c>
      <c r="B4" s="1202"/>
      <c r="C4" s="1202"/>
      <c r="D4" s="1202"/>
      <c r="E4" s="1202"/>
    </row>
    <row r="5" spans="1:7" s="1" customFormat="1">
      <c r="A5" s="81"/>
    </row>
    <row r="6" spans="1:7" s="1" customFormat="1">
      <c r="A6" s="4" t="str">
        <f>'B.1 B'!A6</f>
        <v>Data:__X___Base Period______Forecasted Period</v>
      </c>
      <c r="E6" s="1" t="s">
        <v>1421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701</v>
      </c>
    </row>
    <row r="8" spans="1:7" s="1" customFormat="1">
      <c r="A8" s="51" t="str">
        <f>'B.1 B'!A8</f>
        <v>Workpaper Reference No(s).</v>
      </c>
      <c r="B8" s="6"/>
      <c r="C8" s="6"/>
      <c r="D8" s="6"/>
      <c r="E8" s="5" t="s">
        <v>1706</v>
      </c>
    </row>
    <row r="9" spans="1:7" s="1" customFormat="1">
      <c r="C9" s="2" t="s">
        <v>699</v>
      </c>
    </row>
    <row r="10" spans="1:7" s="1" customFormat="1">
      <c r="A10" s="2" t="s">
        <v>93</v>
      </c>
      <c r="B10" s="4" t="s">
        <v>785</v>
      </c>
      <c r="C10" s="2" t="s">
        <v>700</v>
      </c>
      <c r="D10" s="2" t="s">
        <v>95</v>
      </c>
      <c r="E10" s="2" t="s">
        <v>96</v>
      </c>
    </row>
    <row r="11" spans="1:7" s="1" customFormat="1">
      <c r="A11" s="9" t="s">
        <v>99</v>
      </c>
      <c r="B11" s="5" t="s">
        <v>1189</v>
      </c>
      <c r="C11" s="9" t="s">
        <v>560</v>
      </c>
      <c r="D11" s="9" t="s">
        <v>528</v>
      </c>
      <c r="E11" s="9" t="s">
        <v>102</v>
      </c>
    </row>
    <row r="12" spans="1:7" s="1" customFormat="1">
      <c r="E12" s="2"/>
    </row>
    <row r="14" spans="1:7" s="1" customFormat="1">
      <c r="A14" s="2" t="s">
        <v>1095</v>
      </c>
      <c r="B14" s="88" t="s">
        <v>784</v>
      </c>
      <c r="C14" s="88" t="s">
        <v>1705</v>
      </c>
      <c r="D14" s="117"/>
      <c r="E14" s="306">
        <f>'[6]ATO-CWC1B'!$N$53</f>
        <v>2678216.8007644988</v>
      </c>
      <c r="F14" s="81"/>
      <c r="G14" s="81"/>
    </row>
    <row r="15" spans="1:7" s="1" customFormat="1">
      <c r="D15" s="11"/>
      <c r="E15" s="73"/>
      <c r="F15" s="81"/>
      <c r="G15" s="81"/>
    </row>
    <row r="16" spans="1:7" s="1" customFormat="1">
      <c r="A16" s="2">
        <v>2</v>
      </c>
      <c r="B16" s="4" t="s">
        <v>791</v>
      </c>
      <c r="C16" s="4" t="s">
        <v>83</v>
      </c>
      <c r="D16" s="2" t="s">
        <v>82</v>
      </c>
      <c r="E16" s="356">
        <f>'B.4.1 B'!K21</f>
        <v>115932.44513255006</v>
      </c>
      <c r="F16" s="81"/>
      <c r="G16" s="81"/>
    </row>
    <row r="17" spans="1:7" s="1" customFormat="1">
      <c r="D17" s="11"/>
      <c r="E17" s="356"/>
      <c r="F17" s="81"/>
      <c r="G17" s="81"/>
    </row>
    <row r="18" spans="1:7" s="1" customFormat="1">
      <c r="A18" s="2">
        <v>3</v>
      </c>
      <c r="B18" s="4" t="s">
        <v>1087</v>
      </c>
      <c r="C18" s="4" t="s">
        <v>83</v>
      </c>
      <c r="D18" s="2" t="s">
        <v>82</v>
      </c>
      <c r="E18" s="356">
        <f>'B.4.1 B'!K28</f>
        <v>13215223.380295962</v>
      </c>
      <c r="F18" s="81"/>
      <c r="G18" s="81"/>
    </row>
    <row r="19" spans="1:7" s="1" customFormat="1">
      <c r="D19" s="11"/>
      <c r="E19" s="356"/>
      <c r="F19" s="81"/>
      <c r="G19" s="81"/>
    </row>
    <row r="20" spans="1:7" s="1" customFormat="1">
      <c r="A20" s="2">
        <v>4</v>
      </c>
      <c r="B20" s="4" t="s">
        <v>790</v>
      </c>
      <c r="C20" s="4" t="s">
        <v>83</v>
      </c>
      <c r="D20" s="2" t="s">
        <v>82</v>
      </c>
      <c r="E20" s="431">
        <f>'B.4.1 B'!K35</f>
        <v>0</v>
      </c>
      <c r="F20" s="81"/>
      <c r="G20" s="81"/>
    </row>
    <row r="21" spans="1:7" s="1" customFormat="1">
      <c r="D21" s="11"/>
      <c r="E21" s="10"/>
      <c r="F21" s="81"/>
      <c r="G21" s="81"/>
    </row>
    <row r="22" spans="1:7" ht="15.75" thickBot="1">
      <c r="A22" s="2">
        <v>5</v>
      </c>
      <c r="B22" s="4" t="s">
        <v>490</v>
      </c>
      <c r="C22" s="1"/>
      <c r="D22" s="1"/>
      <c r="E22" s="308">
        <f>SUM(E14:E20)</f>
        <v>16009372.626193011</v>
      </c>
      <c r="F22" s="195"/>
      <c r="G22" s="195"/>
    </row>
    <row r="23" spans="1:7" ht="15.75" thickTop="1">
      <c r="D23" s="227"/>
      <c r="E23" s="187"/>
      <c r="F23" s="195"/>
      <c r="G23" s="195"/>
    </row>
    <row r="24" spans="1:7">
      <c r="E24" s="187"/>
      <c r="F24" s="195"/>
      <c r="G24" s="195"/>
    </row>
    <row r="25" spans="1:7">
      <c r="D25" s="227"/>
      <c r="E25" s="187"/>
      <c r="F25" s="195"/>
      <c r="G25" s="195"/>
    </row>
    <row r="26" spans="1:7">
      <c r="E26" s="187"/>
      <c r="F26" s="195"/>
      <c r="G26" s="195"/>
    </row>
    <row r="27" spans="1:7">
      <c r="D27" s="227"/>
      <c r="E27" s="187"/>
      <c r="F27" s="195"/>
      <c r="G27" s="195"/>
    </row>
    <row r="28" spans="1:7">
      <c r="E28" s="187"/>
      <c r="F28" s="195"/>
      <c r="G28" s="195"/>
    </row>
    <row r="29" spans="1:7">
      <c r="D29" s="227"/>
      <c r="E29" s="187"/>
    </row>
    <row r="30" spans="1:7">
      <c r="E30" s="187"/>
    </row>
    <row r="31" spans="1:7">
      <c r="E31" s="187"/>
    </row>
    <row r="32" spans="1:7">
      <c r="E32" s="187"/>
    </row>
    <row r="33" spans="5:5">
      <c r="E33" s="187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90" zoomScaleNormal="100" zoomScaleSheetLayoutView="9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20.21875" style="40" customWidth="1"/>
    <col min="6" max="6" width="11.88671875" style="40" customWidth="1"/>
    <col min="7" max="16384" width="8.44140625" style="40"/>
  </cols>
  <sheetData>
    <row r="1" spans="1:6" s="1" customFormat="1">
      <c r="A1" s="1202" t="str">
        <f>'Table of Contents'!A1:C1</f>
        <v>Atmos Energy Corporation, Kentucky/Mid-States Division</v>
      </c>
      <c r="B1" s="1202"/>
      <c r="C1" s="1202"/>
      <c r="D1" s="1202"/>
      <c r="E1" s="1202"/>
    </row>
    <row r="2" spans="1:6" s="1" customFormat="1">
      <c r="A2" s="1202" t="str">
        <f>'Table of Contents'!A2:C2</f>
        <v>Kentucky Jurisdiction Case No. 2018-00281</v>
      </c>
      <c r="B2" s="1202"/>
      <c r="C2" s="1202"/>
      <c r="D2" s="1202"/>
      <c r="E2" s="1202"/>
    </row>
    <row r="3" spans="1:6" s="1" customFormat="1">
      <c r="A3" s="1202" t="s">
        <v>431</v>
      </c>
      <c r="B3" s="1202"/>
      <c r="C3" s="1202"/>
      <c r="D3" s="1202"/>
      <c r="E3" s="1202"/>
    </row>
    <row r="4" spans="1:6" s="1" customFormat="1">
      <c r="A4" s="1202" t="str">
        <f>'B.1 F '!A4</f>
        <v>as of March 31, 2020</v>
      </c>
      <c r="B4" s="1202"/>
      <c r="C4" s="1202"/>
      <c r="D4" s="1202"/>
      <c r="E4" s="1202"/>
    </row>
    <row r="5" spans="1:6" s="1" customFormat="1">
      <c r="A5" s="81"/>
    </row>
    <row r="6" spans="1:6" s="1" customFormat="1">
      <c r="A6" s="4" t="str">
        <f>'B.1 F '!A6</f>
        <v>Data:______Base Period__X___Forecasted Period</v>
      </c>
      <c r="E6" s="1" t="s">
        <v>1421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702</v>
      </c>
    </row>
    <row r="8" spans="1:6" s="1" customFormat="1">
      <c r="A8" s="51" t="str">
        <f>'B.1 F '!A8</f>
        <v>Workpaper Reference No(s).</v>
      </c>
      <c r="B8" s="6"/>
      <c r="C8" s="6"/>
      <c r="D8" s="6"/>
      <c r="E8" s="5" t="str">
        <f>'B.4 B'!E8</f>
        <v>Witness: Waller, Christian</v>
      </c>
    </row>
    <row r="9" spans="1:6" s="1" customFormat="1">
      <c r="C9" s="2" t="s">
        <v>699</v>
      </c>
    </row>
    <row r="10" spans="1:6" s="1" customFormat="1">
      <c r="A10" s="2" t="s">
        <v>93</v>
      </c>
      <c r="B10" s="4" t="s">
        <v>785</v>
      </c>
      <c r="C10" s="2" t="s">
        <v>700</v>
      </c>
      <c r="D10" s="2" t="s">
        <v>95</v>
      </c>
      <c r="E10" s="2" t="s">
        <v>96</v>
      </c>
    </row>
    <row r="11" spans="1:6" s="1" customFormat="1">
      <c r="A11" s="9" t="s">
        <v>99</v>
      </c>
      <c r="B11" s="5" t="s">
        <v>1189</v>
      </c>
      <c r="C11" s="9" t="s">
        <v>560</v>
      </c>
      <c r="D11" s="9" t="s">
        <v>528</v>
      </c>
      <c r="E11" s="9" t="s">
        <v>102</v>
      </c>
    </row>
    <row r="12" spans="1:6" s="1" customFormat="1">
      <c r="E12" s="2"/>
    </row>
    <row r="14" spans="1:6" s="1" customFormat="1">
      <c r="A14" s="2">
        <v>1</v>
      </c>
      <c r="B14" s="4" t="s">
        <v>784</v>
      </c>
      <c r="C14" s="4" t="s">
        <v>1705</v>
      </c>
      <c r="D14" s="2"/>
      <c r="E14" s="306">
        <f>'[6]ATO-CWC1A'!$N$53</f>
        <v>2692758.7072114237</v>
      </c>
      <c r="F14" s="81"/>
    </row>
    <row r="15" spans="1:6" s="1" customFormat="1">
      <c r="D15" s="11"/>
      <c r="E15" s="73"/>
      <c r="F15" s="81"/>
    </row>
    <row r="16" spans="1:6" s="1" customFormat="1">
      <c r="A16" s="2">
        <v>2</v>
      </c>
      <c r="B16" s="4" t="s">
        <v>791</v>
      </c>
      <c r="C16" s="4" t="s">
        <v>83</v>
      </c>
      <c r="D16" s="2" t="s">
        <v>82</v>
      </c>
      <c r="E16" s="73">
        <f>'B.4.1 F'!K21</f>
        <v>117865.99729495458</v>
      </c>
      <c r="F16" s="81"/>
    </row>
    <row r="17" spans="1:6" s="1" customFormat="1">
      <c r="D17" s="11"/>
      <c r="E17" s="73"/>
      <c r="F17" s="81"/>
    </row>
    <row r="18" spans="1:6" s="1" customFormat="1">
      <c r="A18" s="2">
        <v>3</v>
      </c>
      <c r="B18" s="4" t="s">
        <v>1087</v>
      </c>
      <c r="C18" s="4" t="s">
        <v>83</v>
      </c>
      <c r="D18" s="2" t="s">
        <v>82</v>
      </c>
      <c r="E18" s="73">
        <f>'B.4.1 F'!K28</f>
        <v>8905991.3794295546</v>
      </c>
      <c r="F18" s="81"/>
    </row>
    <row r="19" spans="1:6" s="1" customFormat="1">
      <c r="D19" s="11"/>
      <c r="E19" s="73"/>
      <c r="F19" s="81"/>
    </row>
    <row r="20" spans="1:6" s="1" customFormat="1">
      <c r="A20" s="2">
        <v>4</v>
      </c>
      <c r="B20" s="4" t="s">
        <v>790</v>
      </c>
      <c r="C20" s="4" t="s">
        <v>83</v>
      </c>
      <c r="D20" s="2" t="s">
        <v>82</v>
      </c>
      <c r="E20" s="85">
        <f>'B.4.1 F'!K35</f>
        <v>0</v>
      </c>
      <c r="F20" s="81"/>
    </row>
    <row r="21" spans="1:6" s="1" customFormat="1">
      <c r="D21" s="2"/>
      <c r="E21" s="10"/>
      <c r="F21" s="81"/>
    </row>
    <row r="22" spans="1:6" ht="15.75" thickBot="1">
      <c r="A22" s="2">
        <v>5</v>
      </c>
      <c r="B22" s="4" t="s">
        <v>490</v>
      </c>
      <c r="C22" s="1"/>
      <c r="D22" s="1"/>
      <c r="E22" s="308">
        <f>SUM(E14:E20)</f>
        <v>11716616.083935933</v>
      </c>
      <c r="F22" s="195"/>
    </row>
    <row r="23" spans="1:6" ht="15.75" thickTop="1">
      <c r="E23" s="187"/>
      <c r="F23" s="195"/>
    </row>
    <row r="24" spans="1:6">
      <c r="D24" s="227"/>
      <c r="E24" s="187"/>
      <c r="F24" s="195"/>
    </row>
    <row r="25" spans="1:6">
      <c r="E25" s="187"/>
      <c r="F25" s="195"/>
    </row>
    <row r="26" spans="1:6">
      <c r="D26" s="227"/>
      <c r="E26" s="187"/>
      <c r="F26" s="195"/>
    </row>
    <row r="27" spans="1:6">
      <c r="E27" s="187"/>
      <c r="F27" s="195"/>
    </row>
    <row r="28" spans="1:6">
      <c r="D28" s="227"/>
      <c r="E28" s="187"/>
      <c r="F28" s="195"/>
    </row>
    <row r="29" spans="1:6">
      <c r="E29" s="187"/>
      <c r="F29" s="195"/>
    </row>
    <row r="30" spans="1:6">
      <c r="E30" s="187"/>
      <c r="F30" s="195"/>
    </row>
    <row r="31" spans="1:6">
      <c r="E31" s="187"/>
    </row>
    <row r="32" spans="1:6">
      <c r="A32" s="180"/>
      <c r="B32" s="180"/>
      <c r="E32" s="187"/>
    </row>
    <row r="33" spans="2:5">
      <c r="B33" s="180"/>
      <c r="E33" s="187"/>
    </row>
    <row r="34" spans="2:5">
      <c r="B34" s="180"/>
      <c r="E34" s="187"/>
    </row>
    <row r="35" spans="2:5">
      <c r="B35" s="180"/>
      <c r="E35" s="187"/>
    </row>
    <row r="36" spans="2:5">
      <c r="E36" s="187"/>
    </row>
    <row r="37" spans="2:5">
      <c r="E37" s="187"/>
    </row>
    <row r="38" spans="2:5">
      <c r="E38" s="187"/>
    </row>
    <row r="39" spans="2:5">
      <c r="E39" s="187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70" zoomScaleNormal="80" zoomScaleSheetLayoutView="70" workbookViewId="0">
      <selection sqref="A1:K1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4.109375" style="62" customWidth="1"/>
    <col min="4" max="4" width="13.5546875" style="62" customWidth="1"/>
    <col min="5" max="5" width="11.77734375" style="62" customWidth="1"/>
    <col min="6" max="6" width="12.5546875" style="62" customWidth="1"/>
    <col min="7" max="7" width="2.88671875" style="94" customWidth="1"/>
    <col min="8" max="8" width="13.33203125" style="62" bestFit="1" customWidth="1"/>
    <col min="9" max="9" width="12.6640625" style="62" customWidth="1"/>
    <col min="10" max="10" width="10.77734375" style="62" customWidth="1"/>
    <col min="11" max="11" width="11.6640625" style="62" customWidth="1"/>
    <col min="12" max="16384" width="8.44140625" style="62"/>
  </cols>
  <sheetData>
    <row r="1" spans="1:11">
      <c r="A1" s="1209" t="str">
        <f>Allocation!A1</f>
        <v>Atmos Energy Corporation, Kentucky/Mid-States Division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</row>
    <row r="2" spans="1:11">
      <c r="A2" s="1209" t="str">
        <f>Allocation!A2</f>
        <v>Kentucky Jurisdiction Case No. 2018-00281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</row>
    <row r="3" spans="1:11">
      <c r="A3" s="1209" t="s">
        <v>975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</row>
    <row r="4" spans="1:11">
      <c r="A4" s="1209" t="str">
        <f>'B.1 B'!A4</f>
        <v>as of December 31, 2018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</row>
    <row r="7" spans="1:11">
      <c r="A7" s="66" t="str">
        <f>'B.1 B'!A6</f>
        <v>Data:__X___Base Period______Forecasted Period</v>
      </c>
      <c r="K7" s="497" t="s">
        <v>1422</v>
      </c>
    </row>
    <row r="8" spans="1:11">
      <c r="A8" s="66" t="str">
        <f>'B.1 B'!A7</f>
        <v>Type of Filing:___X____Original________Updated ________Revised</v>
      </c>
      <c r="B8" s="4"/>
      <c r="K8" s="696" t="s">
        <v>703</v>
      </c>
    </row>
    <row r="9" spans="1:11">
      <c r="A9" s="470" t="str">
        <f>'B.1 B'!A8</f>
        <v>Workpaper Reference No(s).</v>
      </c>
      <c r="B9" s="94"/>
      <c r="C9" s="94"/>
      <c r="D9" s="94"/>
      <c r="E9" s="94"/>
      <c r="F9" s="94"/>
      <c r="H9" s="94"/>
      <c r="I9" s="94"/>
      <c r="K9" s="697" t="str">
        <f>'B.2 B'!N8</f>
        <v>Witness: Waller</v>
      </c>
    </row>
    <row r="10" spans="1:11">
      <c r="A10" s="341"/>
      <c r="B10" s="342"/>
      <c r="C10" s="1203" t="s">
        <v>1170</v>
      </c>
      <c r="D10" s="1204"/>
      <c r="E10" s="1204"/>
      <c r="F10" s="1205"/>
      <c r="H10" s="1206" t="s">
        <v>512</v>
      </c>
      <c r="I10" s="1207"/>
      <c r="J10" s="1207"/>
      <c r="K10" s="1208"/>
    </row>
    <row r="11" spans="1:11">
      <c r="A11" s="471"/>
      <c r="B11" s="472"/>
      <c r="C11" s="341"/>
      <c r="D11" s="338" t="s">
        <v>13</v>
      </c>
      <c r="E11" s="339" t="s">
        <v>11</v>
      </c>
      <c r="F11" s="342"/>
      <c r="H11" s="341"/>
      <c r="I11" s="338" t="s">
        <v>13</v>
      </c>
      <c r="J11" s="339" t="s">
        <v>11</v>
      </c>
      <c r="K11" s="342"/>
    </row>
    <row r="12" spans="1:11">
      <c r="A12" s="473" t="s">
        <v>93</v>
      </c>
      <c r="B12" s="472"/>
      <c r="C12" s="595">
        <f>'B.2 B'!D10</f>
        <v>43465</v>
      </c>
      <c r="D12" s="34" t="s">
        <v>14</v>
      </c>
      <c r="E12" s="75" t="s">
        <v>594</v>
      </c>
      <c r="F12" s="343" t="s">
        <v>12</v>
      </c>
      <c r="G12" s="242"/>
      <c r="H12" s="595">
        <f>C12</f>
        <v>43465</v>
      </c>
      <c r="I12" s="34" t="s">
        <v>14</v>
      </c>
      <c r="J12" s="75" t="s">
        <v>594</v>
      </c>
      <c r="K12" s="343" t="s">
        <v>12</v>
      </c>
    </row>
    <row r="13" spans="1:11">
      <c r="A13" s="474" t="s">
        <v>99</v>
      </c>
      <c r="B13" s="475" t="s">
        <v>985</v>
      </c>
      <c r="C13" s="332" t="s">
        <v>317</v>
      </c>
      <c r="D13" s="185" t="s">
        <v>627</v>
      </c>
      <c r="E13" s="185" t="s">
        <v>627</v>
      </c>
      <c r="F13" s="344" t="s">
        <v>104</v>
      </c>
      <c r="G13" s="242"/>
      <c r="H13" s="332" t="s">
        <v>380</v>
      </c>
      <c r="I13" s="185" t="s">
        <v>627</v>
      </c>
      <c r="J13" s="185" t="s">
        <v>627</v>
      </c>
      <c r="K13" s="344" t="s">
        <v>104</v>
      </c>
    </row>
    <row r="14" spans="1:11">
      <c r="C14" s="241"/>
      <c r="F14" s="241"/>
      <c r="G14" s="242"/>
      <c r="H14" s="241"/>
      <c r="I14" s="241"/>
      <c r="K14" s="241"/>
    </row>
    <row r="16" spans="1:11">
      <c r="A16" s="241">
        <v>1</v>
      </c>
      <c r="B16" s="66" t="s">
        <v>519</v>
      </c>
      <c r="C16" s="86"/>
      <c r="D16" s="241"/>
      <c r="E16" s="241"/>
      <c r="F16" s="63"/>
      <c r="G16" s="84"/>
      <c r="H16" s="86"/>
      <c r="I16" s="86"/>
      <c r="J16" s="241"/>
      <c r="K16" s="63"/>
    </row>
    <row r="17" spans="1:11">
      <c r="A17" s="241">
        <v>2</v>
      </c>
      <c r="B17" s="320" t="s">
        <v>1171</v>
      </c>
      <c r="C17" s="340">
        <f>'WP B.4.1B'!O15</f>
        <v>-402123.55499999999</v>
      </c>
      <c r="D17" s="358">
        <v>1</v>
      </c>
      <c r="E17" s="358">
        <v>1</v>
      </c>
      <c r="F17" s="351">
        <f>C17*D17*E17</f>
        <v>-402123.55499999999</v>
      </c>
      <c r="G17" s="84"/>
      <c r="H17" s="340">
        <f>'WP B.4.1B'!P15</f>
        <v>-391974.56923076924</v>
      </c>
      <c r="I17" s="345">
        <f t="shared" ref="I17:J20" si="0">D17</f>
        <v>1</v>
      </c>
      <c r="J17" s="345">
        <f t="shared" si="0"/>
        <v>1</v>
      </c>
      <c r="K17" s="351">
        <f>H17*I17*J17</f>
        <v>-391974.56923076924</v>
      </c>
    </row>
    <row r="18" spans="1:11">
      <c r="A18" s="241">
        <v>3</v>
      </c>
      <c r="B18" s="320" t="s">
        <v>1172</v>
      </c>
      <c r="C18" s="353">
        <f>'WP B.4.1B'!O20</f>
        <v>1044575.2366666667</v>
      </c>
      <c r="D18" s="358">
        <v>1</v>
      </c>
      <c r="E18" s="359">
        <f>Allocation!H17</f>
        <v>0.49780000000000002</v>
      </c>
      <c r="F18" s="352">
        <f>C18*D18*E18</f>
        <v>519989.55281266669</v>
      </c>
      <c r="G18" s="357"/>
      <c r="H18" s="353">
        <f>'WP B.4.1B'!P20</f>
        <v>1020303.3638461536</v>
      </c>
      <c r="I18" s="345">
        <f t="shared" si="0"/>
        <v>1</v>
      </c>
      <c r="J18" s="70">
        <f t="shared" si="0"/>
        <v>0.49780000000000002</v>
      </c>
      <c r="K18" s="352">
        <f>H18*I18*J18</f>
        <v>507907.0145226153</v>
      </c>
    </row>
    <row r="19" spans="1:11">
      <c r="A19" s="241">
        <v>4</v>
      </c>
      <c r="B19" s="320" t="s">
        <v>1173</v>
      </c>
      <c r="C19" s="353">
        <f>'WP B.4.1B'!O25</f>
        <v>-0.01</v>
      </c>
      <c r="D19" s="359">
        <f>Allocation!C14</f>
        <v>0.104</v>
      </c>
      <c r="E19" s="359">
        <f>Allocation!H14</f>
        <v>0.49780000000000002</v>
      </c>
      <c r="F19" s="352">
        <f>C19*D19*E19</f>
        <v>-5.1771199999999992E-4</v>
      </c>
      <c r="G19" s="357"/>
      <c r="H19" s="353">
        <f>'WP B.4.1B'!P25</f>
        <v>-3.0769230735474529E-3</v>
      </c>
      <c r="I19" s="70">
        <f t="shared" si="0"/>
        <v>0.104</v>
      </c>
      <c r="J19" s="70">
        <f t="shared" si="0"/>
        <v>0.49780000000000002</v>
      </c>
      <c r="K19" s="352">
        <f>H19*I19*J19</f>
        <v>-1.5929599982523991E-4</v>
      </c>
    </row>
    <row r="20" spans="1:11">
      <c r="A20" s="241">
        <v>5</v>
      </c>
      <c r="B20" s="320" t="s">
        <v>1174</v>
      </c>
      <c r="C20" s="354">
        <f>'WP B.4.1B'!O30</f>
        <v>0</v>
      </c>
      <c r="D20" s="359">
        <f>Allocation!C15</f>
        <v>0.1095</v>
      </c>
      <c r="E20" s="359">
        <f>Allocation!H15</f>
        <v>0.51517972406888612</v>
      </c>
      <c r="F20" s="355">
        <f>C20*D20*E20</f>
        <v>0</v>
      </c>
      <c r="G20" s="357"/>
      <c r="H20" s="354">
        <f>'WP B.4.1B'!P30</f>
        <v>0</v>
      </c>
      <c r="I20" s="70">
        <f t="shared" si="0"/>
        <v>0.1095</v>
      </c>
      <c r="J20" s="70">
        <f t="shared" si="0"/>
        <v>0.51517972406888612</v>
      </c>
      <c r="K20" s="355">
        <f>H20*I20*J20</f>
        <v>0</v>
      </c>
    </row>
    <row r="21" spans="1:11">
      <c r="A21" s="241">
        <v>6</v>
      </c>
      <c r="B21" s="288" t="s">
        <v>96</v>
      </c>
      <c r="C21" s="340">
        <f>SUM(C17:C20)</f>
        <v>642451.67166666663</v>
      </c>
      <c r="D21" s="181"/>
      <c r="E21" s="241"/>
      <c r="F21" s="340">
        <f>SUM(F17:F20)</f>
        <v>117865.99729495469</v>
      </c>
      <c r="G21" s="84"/>
      <c r="H21" s="340">
        <f>SUM(H17:H20)</f>
        <v>628328.79153846134</v>
      </c>
      <c r="I21" s="86"/>
      <c r="J21" s="241"/>
      <c r="K21" s="340">
        <f>SUM(K17:K20)</f>
        <v>115932.44513255006</v>
      </c>
    </row>
    <row r="22" spans="1:11">
      <c r="A22" s="241">
        <v>7</v>
      </c>
      <c r="C22" s="96"/>
      <c r="F22" s="63"/>
      <c r="G22" s="84"/>
      <c r="H22" s="86"/>
      <c r="I22" s="86"/>
      <c r="K22" s="63"/>
    </row>
    <row r="23" spans="1:11">
      <c r="A23" s="241">
        <v>8</v>
      </c>
      <c r="B23" s="66" t="s">
        <v>520</v>
      </c>
      <c r="C23" s="86"/>
      <c r="D23" s="241"/>
      <c r="E23" s="241"/>
      <c r="F23" s="63"/>
      <c r="G23" s="84"/>
      <c r="H23" s="86"/>
      <c r="I23" s="86"/>
      <c r="J23" s="241"/>
      <c r="K23" s="63"/>
    </row>
    <row r="24" spans="1:11">
      <c r="A24" s="241">
        <v>9</v>
      </c>
      <c r="B24" s="320" t="s">
        <v>1171</v>
      </c>
      <c r="C24" s="340">
        <f>'WP B.4.1B'!O34</f>
        <v>13798752.500585802</v>
      </c>
      <c r="D24" s="345">
        <f>D17</f>
        <v>1</v>
      </c>
      <c r="E24" s="345">
        <f>E17</f>
        <v>1</v>
      </c>
      <c r="F24" s="351">
        <f>C24*D24*E24</f>
        <v>13798752.500585802</v>
      </c>
      <c r="G24" s="84"/>
      <c r="H24" s="340">
        <f>'WP B.4.1B'!P34</f>
        <v>13215223.380295962</v>
      </c>
      <c r="I24" s="345">
        <f>I17</f>
        <v>1</v>
      </c>
      <c r="J24" s="345">
        <f>J17</f>
        <v>1</v>
      </c>
      <c r="K24" s="351">
        <f>H24*I24*J24</f>
        <v>13215223.380295962</v>
      </c>
    </row>
    <row r="25" spans="1:11">
      <c r="A25" s="241">
        <v>10</v>
      </c>
      <c r="B25" s="320" t="s">
        <v>1172</v>
      </c>
      <c r="C25" s="349">
        <f>'WP B.4.1B'!O36</f>
        <v>0</v>
      </c>
      <c r="D25" s="345">
        <f t="shared" ref="D25:E27" si="1">D18</f>
        <v>1</v>
      </c>
      <c r="E25" s="70">
        <f t="shared" si="1"/>
        <v>0.49780000000000002</v>
      </c>
      <c r="F25" s="352">
        <f>C25*D25*E25</f>
        <v>0</v>
      </c>
      <c r="G25" s="357"/>
      <c r="H25" s="353">
        <f>'WP B.4.1B'!P36</f>
        <v>0</v>
      </c>
      <c r="I25" s="345">
        <f t="shared" ref="I25:J27" si="2">I18</f>
        <v>1</v>
      </c>
      <c r="J25" s="70">
        <f t="shared" si="2"/>
        <v>0.49780000000000002</v>
      </c>
      <c r="K25" s="352">
        <f>H25*I25*J25</f>
        <v>0</v>
      </c>
    </row>
    <row r="26" spans="1:11">
      <c r="A26" s="241">
        <v>11</v>
      </c>
      <c r="B26" s="320" t="s">
        <v>1173</v>
      </c>
      <c r="C26" s="349">
        <f>'WP B.4.1B'!O38</f>
        <v>0</v>
      </c>
      <c r="D26" s="70">
        <f t="shared" si="1"/>
        <v>0.104</v>
      </c>
      <c r="E26" s="70">
        <f t="shared" si="1"/>
        <v>0.49780000000000002</v>
      </c>
      <c r="F26" s="352">
        <f>C26*D26*E26</f>
        <v>0</v>
      </c>
      <c r="G26" s="357"/>
      <c r="H26" s="353">
        <f>'WP B.4.1B'!P38</f>
        <v>0</v>
      </c>
      <c r="I26" s="70">
        <f t="shared" si="2"/>
        <v>0.104</v>
      </c>
      <c r="J26" s="70">
        <f t="shared" si="2"/>
        <v>0.49780000000000002</v>
      </c>
      <c r="K26" s="352">
        <f>H26*I26*J26</f>
        <v>0</v>
      </c>
    </row>
    <row r="27" spans="1:11">
      <c r="A27" s="241">
        <v>12</v>
      </c>
      <c r="B27" s="320" t="s">
        <v>1174</v>
      </c>
      <c r="C27" s="350">
        <f>'WP B.4.1B'!O40</f>
        <v>0</v>
      </c>
      <c r="D27" s="70">
        <f t="shared" si="1"/>
        <v>0.1095</v>
      </c>
      <c r="E27" s="70">
        <f t="shared" si="1"/>
        <v>0.51517972406888612</v>
      </c>
      <c r="F27" s="355">
        <f>C27*D27*E27</f>
        <v>0</v>
      </c>
      <c r="G27" s="357"/>
      <c r="H27" s="354">
        <f>'WP B.4.1B'!P40</f>
        <v>0</v>
      </c>
      <c r="I27" s="70">
        <f t="shared" si="2"/>
        <v>0.1095</v>
      </c>
      <c r="J27" s="70">
        <f t="shared" si="2"/>
        <v>0.51517972406888612</v>
      </c>
      <c r="K27" s="355">
        <f>H27*I27*J27</f>
        <v>0</v>
      </c>
    </row>
    <row r="28" spans="1:11">
      <c r="A28" s="241">
        <v>13</v>
      </c>
      <c r="B28" s="288" t="s">
        <v>96</v>
      </c>
      <c r="C28" s="340">
        <f>SUM(C24:C27)</f>
        <v>13798752.500585802</v>
      </c>
      <c r="D28" s="241"/>
      <c r="E28" s="241"/>
      <c r="F28" s="340">
        <f>SUM(F24:F27)</f>
        <v>13798752.500585802</v>
      </c>
      <c r="G28" s="84"/>
      <c r="H28" s="340">
        <f>SUM(H24:H27)</f>
        <v>13215223.380295962</v>
      </c>
      <c r="I28" s="86"/>
      <c r="J28" s="241"/>
      <c r="K28" s="340">
        <f>SUM(K24:K27)</f>
        <v>13215223.380295962</v>
      </c>
    </row>
    <row r="29" spans="1:11">
      <c r="A29" s="241">
        <v>14</v>
      </c>
      <c r="B29" s="288"/>
      <c r="C29" s="107"/>
      <c r="D29" s="243"/>
      <c r="E29" s="243"/>
      <c r="F29" s="84"/>
      <c r="G29" s="84"/>
      <c r="H29" s="87"/>
      <c r="I29" s="87"/>
      <c r="J29" s="242"/>
      <c r="K29" s="63"/>
    </row>
    <row r="30" spans="1:11">
      <c r="A30" s="241">
        <v>15</v>
      </c>
      <c r="B30" s="66" t="s">
        <v>521</v>
      </c>
      <c r="C30" s="87"/>
      <c r="D30" s="241"/>
      <c r="E30" s="241"/>
      <c r="F30" s="84"/>
      <c r="G30" s="84"/>
      <c r="H30" s="87"/>
      <c r="I30" s="87"/>
      <c r="J30" s="241"/>
      <c r="K30" s="84"/>
    </row>
    <row r="31" spans="1:11">
      <c r="A31" s="241">
        <v>16</v>
      </c>
      <c r="B31" s="320" t="s">
        <v>1171</v>
      </c>
      <c r="C31" s="340">
        <f>'WP B.4.1B'!O44</f>
        <v>0</v>
      </c>
      <c r="D31" s="345">
        <f>D17</f>
        <v>1</v>
      </c>
      <c r="E31" s="345">
        <f>E17</f>
        <v>1</v>
      </c>
      <c r="F31" s="351">
        <f>C31*D31*E31</f>
        <v>0</v>
      </c>
      <c r="G31" s="84"/>
      <c r="H31" s="340">
        <f>'WP B.4.1B'!P44</f>
        <v>0</v>
      </c>
      <c r="I31" s="345">
        <f>I17</f>
        <v>1</v>
      </c>
      <c r="J31" s="345">
        <f>J17</f>
        <v>1</v>
      </c>
      <c r="K31" s="351">
        <f>H31*I31*J31</f>
        <v>0</v>
      </c>
    </row>
    <row r="32" spans="1:11">
      <c r="A32" s="241">
        <v>17</v>
      </c>
      <c r="B32" s="320" t="s">
        <v>1172</v>
      </c>
      <c r="C32" s="353">
        <f>'WP B.4.1B'!O46</f>
        <v>0</v>
      </c>
      <c r="D32" s="345">
        <f t="shared" ref="D32:E34" si="3">D18</f>
        <v>1</v>
      </c>
      <c r="E32" s="70">
        <f t="shared" si="3"/>
        <v>0.49780000000000002</v>
      </c>
      <c r="F32" s="352">
        <f>C32*D32*E32</f>
        <v>0</v>
      </c>
      <c r="G32" s="84"/>
      <c r="H32" s="353">
        <f>'WP B.4.1B'!P46</f>
        <v>0</v>
      </c>
      <c r="I32" s="345">
        <f t="shared" ref="I32:J34" si="4">I18</f>
        <v>1</v>
      </c>
      <c r="J32" s="70">
        <f t="shared" si="4"/>
        <v>0.49780000000000002</v>
      </c>
      <c r="K32" s="352">
        <f>H32*I32*J32</f>
        <v>0</v>
      </c>
    </row>
    <row r="33" spans="1:11">
      <c r="A33" s="241">
        <v>18</v>
      </c>
      <c r="B33" s="320" t="s">
        <v>1173</v>
      </c>
      <c r="C33" s="353">
        <f>'WP B.4.1B'!O48</f>
        <v>0</v>
      </c>
      <c r="D33" s="70">
        <f t="shared" si="3"/>
        <v>0.104</v>
      </c>
      <c r="E33" s="70">
        <f t="shared" si="3"/>
        <v>0.49780000000000002</v>
      </c>
      <c r="F33" s="352">
        <f>C33*D33*E33</f>
        <v>0</v>
      </c>
      <c r="G33" s="84"/>
      <c r="H33" s="353">
        <f>'WP B.4.1B'!P48</f>
        <v>0</v>
      </c>
      <c r="I33" s="70">
        <f t="shared" si="4"/>
        <v>0.104</v>
      </c>
      <c r="J33" s="70">
        <f t="shared" si="4"/>
        <v>0.49780000000000002</v>
      </c>
      <c r="K33" s="352">
        <f>H33*I33*J33</f>
        <v>0</v>
      </c>
    </row>
    <row r="34" spans="1:11">
      <c r="A34" s="241">
        <v>19</v>
      </c>
      <c r="B34" s="320" t="s">
        <v>1174</v>
      </c>
      <c r="C34" s="354">
        <f>'WP B.4.1B'!O50</f>
        <v>0</v>
      </c>
      <c r="D34" s="70">
        <f t="shared" si="3"/>
        <v>0.1095</v>
      </c>
      <c r="E34" s="70">
        <f t="shared" si="3"/>
        <v>0.51517972406888612</v>
      </c>
      <c r="F34" s="355">
        <f>C34*D34*E34</f>
        <v>0</v>
      </c>
      <c r="G34" s="84"/>
      <c r="H34" s="354">
        <f>'WP B.4.1B'!P50</f>
        <v>0</v>
      </c>
      <c r="I34" s="70">
        <f t="shared" si="4"/>
        <v>0.1095</v>
      </c>
      <c r="J34" s="70">
        <f t="shared" si="4"/>
        <v>0.51517972406888612</v>
      </c>
      <c r="K34" s="355">
        <f>H34*I34*J34</f>
        <v>0</v>
      </c>
    </row>
    <row r="35" spans="1:11">
      <c r="A35" s="241">
        <v>20</v>
      </c>
      <c r="B35" s="288" t="s">
        <v>96</v>
      </c>
      <c r="C35" s="340">
        <f>SUM(C31:C34)</f>
        <v>0</v>
      </c>
      <c r="D35" s="241"/>
      <c r="E35" s="241"/>
      <c r="F35" s="340">
        <f>SUM(F31:F34)</f>
        <v>0</v>
      </c>
      <c r="G35" s="84"/>
      <c r="H35" s="340">
        <f>SUM(H31:H34)</f>
        <v>0</v>
      </c>
      <c r="I35" s="86"/>
      <c r="J35" s="241"/>
      <c r="K35" s="340">
        <f>SUM(K31:K34)</f>
        <v>0</v>
      </c>
    </row>
    <row r="36" spans="1:11">
      <c r="A36" s="241">
        <v>21</v>
      </c>
      <c r="B36" s="288"/>
      <c r="D36" s="244"/>
      <c r="E36" s="244"/>
      <c r="F36" s="63"/>
      <c r="G36" s="84"/>
      <c r="H36" s="63"/>
      <c r="I36" s="63"/>
      <c r="K36" s="63"/>
    </row>
    <row r="37" spans="1:11" ht="15.75" thickBot="1">
      <c r="A37" s="241">
        <v>22</v>
      </c>
      <c r="B37" s="66" t="s">
        <v>489</v>
      </c>
      <c r="C37" s="347">
        <f>C35+C28+C21</f>
        <v>14441204.172252469</v>
      </c>
      <c r="F37" s="347">
        <f>F35+F28+F21</f>
        <v>13916618.497880757</v>
      </c>
      <c r="G37" s="84"/>
      <c r="H37" s="347">
        <f>H35+H28+H21</f>
        <v>13843552.171834424</v>
      </c>
      <c r="I37" s="84"/>
      <c r="K37" s="347">
        <f>K35+K28+K21</f>
        <v>13331155.825428512</v>
      </c>
    </row>
    <row r="38" spans="1:11" ht="15.75" thickTop="1">
      <c r="D38" s="244"/>
      <c r="E38" s="244"/>
      <c r="F38" s="63"/>
      <c r="G38" s="84"/>
      <c r="H38" s="63"/>
      <c r="I38" s="63"/>
    </row>
    <row r="39" spans="1:11">
      <c r="A39" s="241"/>
      <c r="F39" s="63"/>
      <c r="G39" s="84"/>
      <c r="H39" s="63"/>
      <c r="I39" s="63"/>
    </row>
    <row r="40" spans="1:11">
      <c r="D40" s="244"/>
      <c r="E40" s="244"/>
      <c r="F40" s="63"/>
      <c r="G40" s="84"/>
    </row>
    <row r="41" spans="1:11">
      <c r="C41" s="63"/>
      <c r="F41" s="63"/>
      <c r="G41" s="84"/>
    </row>
    <row r="42" spans="1:11">
      <c r="D42" s="244"/>
      <c r="E42" s="244"/>
      <c r="F42" s="63"/>
      <c r="G42" s="84"/>
    </row>
    <row r="43" spans="1:11">
      <c r="F43" s="63"/>
      <c r="G43" s="84"/>
    </row>
    <row r="44" spans="1:11">
      <c r="D44" s="244"/>
      <c r="E44" s="244"/>
      <c r="F44" s="63"/>
      <c r="G44" s="84"/>
    </row>
    <row r="45" spans="1:11">
      <c r="F45" s="63"/>
      <c r="G45" s="84"/>
    </row>
    <row r="46" spans="1:11">
      <c r="D46" s="244"/>
      <c r="E46" s="244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zoomScale="60" zoomScaleNormal="80" workbookViewId="0">
      <selection sqref="A1:K1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3.88671875" style="62" customWidth="1"/>
    <col min="4" max="4" width="13.6640625" style="62" customWidth="1"/>
    <col min="5" max="5" width="11.6640625" style="62" customWidth="1"/>
    <col min="6" max="6" width="13.5546875" style="62" customWidth="1"/>
    <col min="7" max="7" width="2.88671875" style="94" customWidth="1"/>
    <col min="8" max="8" width="13.33203125" style="62" bestFit="1" customWidth="1"/>
    <col min="9" max="9" width="13.109375" style="62" bestFit="1" customWidth="1"/>
    <col min="10" max="10" width="10.44140625" style="62" customWidth="1"/>
    <col min="11" max="11" width="13.33203125" style="62" customWidth="1"/>
    <col min="12" max="16384" width="8.44140625" style="62"/>
  </cols>
  <sheetData>
    <row r="1" spans="1:11">
      <c r="A1" s="1209" t="str">
        <f>Allocation!A1</f>
        <v>Atmos Energy Corporation, Kentucky/Mid-States Division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</row>
    <row r="2" spans="1:11">
      <c r="A2" s="1209" t="str">
        <f>Allocation!A2</f>
        <v>Kentucky Jurisdiction Case No. 2018-00281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</row>
    <row r="3" spans="1:11">
      <c r="A3" s="1209" t="s">
        <v>975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</row>
    <row r="4" spans="1:11">
      <c r="A4" s="1209" t="str">
        <f>'B.1 F '!A4</f>
        <v>as of March 31, 2020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</row>
    <row r="7" spans="1:11">
      <c r="A7" s="66" t="str">
        <f>'B.1 F '!A6</f>
        <v>Data:______Base Period__X___Forecasted Period</v>
      </c>
      <c r="K7" s="497" t="s">
        <v>1422</v>
      </c>
    </row>
    <row r="8" spans="1:11">
      <c r="A8" s="66" t="str">
        <f>'B.1 F '!A7</f>
        <v>Type of Filing:___X____Original________Updated ________Revised</v>
      </c>
      <c r="B8" s="4"/>
      <c r="K8" s="696" t="s">
        <v>704</v>
      </c>
    </row>
    <row r="9" spans="1:11">
      <c r="A9" s="470" t="str">
        <f>'B.1 F '!A8</f>
        <v>Workpaper Reference No(s).</v>
      </c>
      <c r="B9" s="94"/>
      <c r="C9" s="94"/>
      <c r="D9" s="94"/>
      <c r="E9" s="94"/>
      <c r="F9" s="94"/>
      <c r="H9" s="94"/>
      <c r="I9" s="94"/>
      <c r="K9" s="697" t="str">
        <f>'B.4.1 B'!K9</f>
        <v>Witness: Waller</v>
      </c>
    </row>
    <row r="10" spans="1:11">
      <c r="A10" s="341"/>
      <c r="B10" s="342"/>
      <c r="C10" s="1203" t="s">
        <v>160</v>
      </c>
      <c r="D10" s="1204"/>
      <c r="E10" s="1204"/>
      <c r="F10" s="1205"/>
      <c r="H10" s="1206" t="s">
        <v>512</v>
      </c>
      <c r="I10" s="1207"/>
      <c r="J10" s="1207"/>
      <c r="K10" s="1208"/>
    </row>
    <row r="11" spans="1:11">
      <c r="A11" s="471"/>
      <c r="B11" s="472"/>
      <c r="C11" s="341"/>
      <c r="D11" s="338" t="s">
        <v>13</v>
      </c>
      <c r="E11" s="339" t="s">
        <v>11</v>
      </c>
      <c r="F11" s="342"/>
      <c r="H11" s="341"/>
      <c r="I11" s="338" t="s">
        <v>13</v>
      </c>
      <c r="J11" s="339" t="s">
        <v>11</v>
      </c>
      <c r="K11" s="342"/>
    </row>
    <row r="12" spans="1:11">
      <c r="A12" s="473" t="s">
        <v>93</v>
      </c>
      <c r="B12" s="472"/>
      <c r="C12" s="595">
        <f>'B.2 F'!D10</f>
        <v>43921</v>
      </c>
      <c r="D12" s="34" t="s">
        <v>14</v>
      </c>
      <c r="E12" s="75" t="s">
        <v>594</v>
      </c>
      <c r="F12" s="343" t="s">
        <v>12</v>
      </c>
      <c r="G12" s="242"/>
      <c r="H12" s="595">
        <f>C12</f>
        <v>43921</v>
      </c>
      <c r="I12" s="34" t="s">
        <v>14</v>
      </c>
      <c r="J12" s="75" t="s">
        <v>594</v>
      </c>
      <c r="K12" s="343" t="s">
        <v>12</v>
      </c>
    </row>
    <row r="13" spans="1:11">
      <c r="A13" s="474" t="s">
        <v>99</v>
      </c>
      <c r="B13" s="475" t="s">
        <v>985</v>
      </c>
      <c r="C13" s="332" t="s">
        <v>317</v>
      </c>
      <c r="D13" s="185" t="s">
        <v>627</v>
      </c>
      <c r="E13" s="185" t="s">
        <v>627</v>
      </c>
      <c r="F13" s="344" t="s">
        <v>104</v>
      </c>
      <c r="G13" s="242"/>
      <c r="H13" s="332" t="s">
        <v>380</v>
      </c>
      <c r="I13" s="185" t="s">
        <v>627</v>
      </c>
      <c r="J13" s="185" t="s">
        <v>627</v>
      </c>
      <c r="K13" s="344" t="s">
        <v>104</v>
      </c>
    </row>
    <row r="14" spans="1:11">
      <c r="C14" s="241"/>
      <c r="F14" s="241"/>
      <c r="G14" s="242"/>
      <c r="H14" s="241"/>
      <c r="I14" s="241"/>
      <c r="K14" s="241"/>
    </row>
    <row r="16" spans="1:11">
      <c r="A16" s="241">
        <v>1</v>
      </c>
      <c r="B16" s="66" t="s">
        <v>519</v>
      </c>
      <c r="C16" s="86"/>
      <c r="D16" s="241"/>
      <c r="E16" s="241"/>
      <c r="F16" s="63"/>
      <c r="G16" s="84"/>
      <c r="H16" s="86"/>
      <c r="I16" s="86"/>
      <c r="J16" s="241"/>
      <c r="K16" s="63"/>
    </row>
    <row r="17" spans="1:11">
      <c r="A17" s="241">
        <v>2</v>
      </c>
      <c r="B17" s="320" t="s">
        <v>1171</v>
      </c>
      <c r="C17" s="340">
        <f>'WP B.4.1F'!O15</f>
        <v>-402123.55499999999</v>
      </c>
      <c r="D17" s="358">
        <v>1</v>
      </c>
      <c r="E17" s="358">
        <v>1</v>
      </c>
      <c r="F17" s="351">
        <f>C17*D17*E17</f>
        <v>-402123.55499999999</v>
      </c>
      <c r="G17" s="84"/>
      <c r="H17" s="340">
        <f>'WP B.4.1F'!P15</f>
        <v>-402123.55499999999</v>
      </c>
      <c r="I17" s="345">
        <f t="shared" ref="I17:J20" si="0">D17</f>
        <v>1</v>
      </c>
      <c r="J17" s="345">
        <f t="shared" si="0"/>
        <v>1</v>
      </c>
      <c r="K17" s="351">
        <f>H17*I17*J17</f>
        <v>-402123.55499999999</v>
      </c>
    </row>
    <row r="18" spans="1:11">
      <c r="A18" s="241">
        <v>3</v>
      </c>
      <c r="B18" s="320" t="s">
        <v>1172</v>
      </c>
      <c r="C18" s="353">
        <f>'WP B.4.1F'!O20</f>
        <v>1044575.2366666667</v>
      </c>
      <c r="D18" s="358">
        <v>1</v>
      </c>
      <c r="E18" s="359">
        <f>Allocation!D17</f>
        <v>0.49780000000000002</v>
      </c>
      <c r="F18" s="352">
        <f>C18*D18*E18</f>
        <v>519989.55281266669</v>
      </c>
      <c r="G18" s="84"/>
      <c r="H18" s="353">
        <f>'WP B.4.1F'!P20</f>
        <v>1044575.2366666665</v>
      </c>
      <c r="I18" s="345">
        <f t="shared" si="0"/>
        <v>1</v>
      </c>
      <c r="J18" s="70">
        <f t="shared" si="0"/>
        <v>0.49780000000000002</v>
      </c>
      <c r="K18" s="352">
        <f>H18*I18*J18</f>
        <v>519989.55281266657</v>
      </c>
    </row>
    <row r="19" spans="1:11">
      <c r="A19" s="241">
        <v>4</v>
      </c>
      <c r="B19" s="320" t="s">
        <v>1173</v>
      </c>
      <c r="C19" s="353">
        <f>'WP B.4.1F'!O25</f>
        <v>-0.01</v>
      </c>
      <c r="D19" s="359">
        <f>Allocation!C14</f>
        <v>0.104</v>
      </c>
      <c r="E19" s="359">
        <f>Allocation!D14</f>
        <v>0.49780000000000002</v>
      </c>
      <c r="F19" s="352">
        <f>C19*D19*E19</f>
        <v>-5.1771199999999992E-4</v>
      </c>
      <c r="G19" s="84"/>
      <c r="H19" s="353">
        <f>'WP B.4.1F'!P25</f>
        <v>-9.9999999999999985E-3</v>
      </c>
      <c r="I19" s="70">
        <f t="shared" si="0"/>
        <v>0.104</v>
      </c>
      <c r="J19" s="70">
        <f t="shared" si="0"/>
        <v>0.49780000000000002</v>
      </c>
      <c r="K19" s="352">
        <f>H19*I19*J19</f>
        <v>-5.1771199999999982E-4</v>
      </c>
    </row>
    <row r="20" spans="1:11">
      <c r="A20" s="241">
        <v>5</v>
      </c>
      <c r="B20" s="320" t="s">
        <v>1174</v>
      </c>
      <c r="C20" s="354">
        <f>'WP B.4.1F'!O30</f>
        <v>0</v>
      </c>
      <c r="D20" s="359">
        <f>Allocation!C15</f>
        <v>0.1095</v>
      </c>
      <c r="E20" s="359">
        <f>Allocation!D15</f>
        <v>0.51517972406888612</v>
      </c>
      <c r="F20" s="355">
        <f>C20*D20*E20</f>
        <v>0</v>
      </c>
      <c r="G20" s="84"/>
      <c r="H20" s="354">
        <f>'WP B.4.1F'!T30</f>
        <v>0</v>
      </c>
      <c r="I20" s="70">
        <f t="shared" si="0"/>
        <v>0.1095</v>
      </c>
      <c r="J20" s="70">
        <f t="shared" si="0"/>
        <v>0.51517972406888612</v>
      </c>
      <c r="K20" s="355">
        <f>H20*I20*J20</f>
        <v>0</v>
      </c>
    </row>
    <row r="21" spans="1:11">
      <c r="A21" s="241">
        <v>6</v>
      </c>
      <c r="B21" s="288" t="s">
        <v>96</v>
      </c>
      <c r="C21" s="340">
        <f>SUM(C17:C20)</f>
        <v>642451.67166666663</v>
      </c>
      <c r="D21" s="181"/>
      <c r="E21" s="241"/>
      <c r="F21" s="340">
        <f>SUM(F17:F20)</f>
        <v>117865.99729495469</v>
      </c>
      <c r="G21" s="84"/>
      <c r="H21" s="340">
        <f>SUM(H17:H20)</f>
        <v>642451.6716666664</v>
      </c>
      <c r="I21" s="86"/>
      <c r="J21" s="241"/>
      <c r="K21" s="340">
        <f>SUM(K17:K20)</f>
        <v>117865.99729495458</v>
      </c>
    </row>
    <row r="22" spans="1:11">
      <c r="A22" s="241">
        <v>7</v>
      </c>
      <c r="C22" s="96"/>
      <c r="F22" s="63"/>
      <c r="G22" s="84"/>
      <c r="H22" s="96"/>
      <c r="I22" s="86"/>
      <c r="K22" s="63"/>
    </row>
    <row r="23" spans="1:11">
      <c r="A23" s="241">
        <v>8</v>
      </c>
      <c r="B23" s="66" t="s">
        <v>520</v>
      </c>
      <c r="C23" s="86"/>
      <c r="D23" s="241"/>
      <c r="E23" s="241"/>
      <c r="F23" s="63"/>
      <c r="G23" s="84"/>
      <c r="H23" s="86"/>
      <c r="I23" s="86"/>
      <c r="J23" s="241"/>
      <c r="K23" s="63"/>
    </row>
    <row r="24" spans="1:11">
      <c r="A24" s="241">
        <v>9</v>
      </c>
      <c r="B24" s="320" t="s">
        <v>1171</v>
      </c>
      <c r="C24" s="340">
        <f>'WP B.4.1F'!O34</f>
        <v>-1769904.1334066335</v>
      </c>
      <c r="D24" s="345">
        <f t="shared" ref="D24:E27" si="1">D17</f>
        <v>1</v>
      </c>
      <c r="E24" s="345">
        <f t="shared" si="1"/>
        <v>1</v>
      </c>
      <c r="F24" s="351">
        <f>C24*D24*E24</f>
        <v>-1769904.1334066335</v>
      </c>
      <c r="G24" s="84"/>
      <c r="H24" s="340">
        <f>'WP B.4.1F'!P34</f>
        <v>8905991.3794295546</v>
      </c>
      <c r="I24" s="345">
        <f t="shared" ref="I24:J27" si="2">I17</f>
        <v>1</v>
      </c>
      <c r="J24" s="345">
        <f t="shared" si="2"/>
        <v>1</v>
      </c>
      <c r="K24" s="351">
        <f>H24*I24*J24</f>
        <v>8905991.3794295546</v>
      </c>
    </row>
    <row r="25" spans="1:11">
      <c r="A25" s="241">
        <v>10</v>
      </c>
      <c r="B25" s="320" t="s">
        <v>1172</v>
      </c>
      <c r="C25" s="349">
        <f>'WP B.4.1F'!O36</f>
        <v>0</v>
      </c>
      <c r="D25" s="345">
        <f t="shared" si="1"/>
        <v>1</v>
      </c>
      <c r="E25" s="70">
        <f t="shared" si="1"/>
        <v>0.49780000000000002</v>
      </c>
      <c r="F25" s="352">
        <f>C25*D25*E25</f>
        <v>0</v>
      </c>
      <c r="G25" s="84"/>
      <c r="H25" s="349">
        <f>'WP B.4.1F'!P36</f>
        <v>0</v>
      </c>
      <c r="I25" s="345">
        <f t="shared" si="2"/>
        <v>1</v>
      </c>
      <c r="J25" s="70">
        <f t="shared" si="2"/>
        <v>0.49780000000000002</v>
      </c>
      <c r="K25" s="352">
        <f>H25*I25*J25</f>
        <v>0</v>
      </c>
    </row>
    <row r="26" spans="1:11">
      <c r="A26" s="241">
        <v>11</v>
      </c>
      <c r="B26" s="320" t="s">
        <v>1173</v>
      </c>
      <c r="C26" s="349">
        <f>'WP B.4.1F'!O38</f>
        <v>0</v>
      </c>
      <c r="D26" s="70">
        <f t="shared" si="1"/>
        <v>0.104</v>
      </c>
      <c r="E26" s="70">
        <f t="shared" si="1"/>
        <v>0.49780000000000002</v>
      </c>
      <c r="F26" s="352">
        <f>C26*D26*E26</f>
        <v>0</v>
      </c>
      <c r="G26" s="84"/>
      <c r="H26" s="349">
        <f>'WP B.4.1F'!P38</f>
        <v>0</v>
      </c>
      <c r="I26" s="70">
        <f t="shared" si="2"/>
        <v>0.104</v>
      </c>
      <c r="J26" s="70">
        <f t="shared" si="2"/>
        <v>0.49780000000000002</v>
      </c>
      <c r="K26" s="352">
        <f>H26*I26*J26</f>
        <v>0</v>
      </c>
    </row>
    <row r="27" spans="1:11">
      <c r="A27" s="241">
        <v>12</v>
      </c>
      <c r="B27" s="320" t="s">
        <v>1174</v>
      </c>
      <c r="C27" s="350">
        <f>'WP B.4.1F'!O40</f>
        <v>0</v>
      </c>
      <c r="D27" s="70">
        <f t="shared" si="1"/>
        <v>0.1095</v>
      </c>
      <c r="E27" s="70">
        <f t="shared" si="1"/>
        <v>0.51517972406888612</v>
      </c>
      <c r="F27" s="355">
        <f>C27*D27*E27</f>
        <v>0</v>
      </c>
      <c r="G27" s="84"/>
      <c r="H27" s="350">
        <f>'WP B.4.1F'!P40</f>
        <v>0</v>
      </c>
      <c r="I27" s="70">
        <f t="shared" si="2"/>
        <v>0.1095</v>
      </c>
      <c r="J27" s="70">
        <f t="shared" si="2"/>
        <v>0.51517972406888612</v>
      </c>
      <c r="K27" s="355">
        <f>H27*I27*J27</f>
        <v>0</v>
      </c>
    </row>
    <row r="28" spans="1:11">
      <c r="A28" s="241">
        <v>13</v>
      </c>
      <c r="B28" s="288" t="s">
        <v>96</v>
      </c>
      <c r="C28" s="340">
        <f>SUM(C24:C27)</f>
        <v>-1769904.1334066335</v>
      </c>
      <c r="D28" s="241"/>
      <c r="E28" s="241"/>
      <c r="F28" s="340">
        <f>SUM(F24:F27)</f>
        <v>-1769904.1334066335</v>
      </c>
      <c r="G28" s="84"/>
      <c r="H28" s="340">
        <f>SUM(H24:H27)</f>
        <v>8905991.3794295546</v>
      </c>
      <c r="I28" s="86"/>
      <c r="J28" s="241"/>
      <c r="K28" s="340">
        <f>SUM(K24:K27)</f>
        <v>8905991.3794295546</v>
      </c>
    </row>
    <row r="29" spans="1:11">
      <c r="A29" s="241">
        <v>14</v>
      </c>
      <c r="B29" s="288"/>
      <c r="C29" s="107"/>
      <c r="D29" s="243"/>
      <c r="E29" s="243"/>
      <c r="F29" s="84"/>
      <c r="G29" s="84"/>
      <c r="H29" s="107"/>
      <c r="I29" s="87"/>
      <c r="J29" s="242"/>
      <c r="K29" s="63"/>
    </row>
    <row r="30" spans="1:11">
      <c r="A30" s="241">
        <v>15</v>
      </c>
      <c r="B30" s="66" t="s">
        <v>521</v>
      </c>
      <c r="C30" s="87"/>
      <c r="D30" s="241"/>
      <c r="E30" s="241"/>
      <c r="F30" s="84"/>
      <c r="G30" s="84"/>
      <c r="H30" s="87"/>
      <c r="I30" s="87"/>
      <c r="J30" s="241"/>
      <c r="K30" s="84"/>
    </row>
    <row r="31" spans="1:11">
      <c r="A31" s="241">
        <v>16</v>
      </c>
      <c r="B31" s="320" t="s">
        <v>1171</v>
      </c>
      <c r="C31" s="340">
        <f>'WP B.4.1F'!O44</f>
        <v>0</v>
      </c>
      <c r="D31" s="345">
        <f t="shared" ref="D31:E34" si="3">D17</f>
        <v>1</v>
      </c>
      <c r="E31" s="345">
        <f t="shared" si="3"/>
        <v>1</v>
      </c>
      <c r="F31" s="351">
        <f>C31*D31*E31</f>
        <v>0</v>
      </c>
      <c r="G31" s="84"/>
      <c r="H31" s="340">
        <f>'WP B.4.1F'!P44</f>
        <v>0</v>
      </c>
      <c r="I31" s="345">
        <f t="shared" ref="I31:J34" si="4">I17</f>
        <v>1</v>
      </c>
      <c r="J31" s="345">
        <f t="shared" si="4"/>
        <v>1</v>
      </c>
      <c r="K31" s="351">
        <f>H31*I31*J31</f>
        <v>0</v>
      </c>
    </row>
    <row r="32" spans="1:11">
      <c r="A32" s="241">
        <v>17</v>
      </c>
      <c r="B32" s="320" t="s">
        <v>1172</v>
      </c>
      <c r="C32" s="353">
        <f>'WP B.4.1F'!O46</f>
        <v>0</v>
      </c>
      <c r="D32" s="345">
        <f t="shared" si="3"/>
        <v>1</v>
      </c>
      <c r="E32" s="70">
        <f t="shared" si="3"/>
        <v>0.49780000000000002</v>
      </c>
      <c r="F32" s="352">
        <f>C32*D32*E32</f>
        <v>0</v>
      </c>
      <c r="G32" s="84"/>
      <c r="H32" s="353">
        <f>'WP B.4.1F'!P46</f>
        <v>0</v>
      </c>
      <c r="I32" s="345">
        <f t="shared" si="4"/>
        <v>1</v>
      </c>
      <c r="J32" s="70">
        <f t="shared" si="4"/>
        <v>0.49780000000000002</v>
      </c>
      <c r="K32" s="352">
        <f>H32*I32*J32</f>
        <v>0</v>
      </c>
    </row>
    <row r="33" spans="1:11">
      <c r="A33" s="241">
        <v>18</v>
      </c>
      <c r="B33" s="320" t="s">
        <v>1173</v>
      </c>
      <c r="C33" s="353">
        <f>'WP B.4.1F'!O48</f>
        <v>0</v>
      </c>
      <c r="D33" s="70">
        <f t="shared" si="3"/>
        <v>0.104</v>
      </c>
      <c r="E33" s="70">
        <f t="shared" si="3"/>
        <v>0.49780000000000002</v>
      </c>
      <c r="F33" s="352">
        <f>C33*D33*E33</f>
        <v>0</v>
      </c>
      <c r="G33" s="84"/>
      <c r="H33" s="353">
        <f>'WP B.4.1F'!P48</f>
        <v>0</v>
      </c>
      <c r="I33" s="70">
        <f t="shared" si="4"/>
        <v>0.104</v>
      </c>
      <c r="J33" s="70">
        <f t="shared" si="4"/>
        <v>0.49780000000000002</v>
      </c>
      <c r="K33" s="352">
        <f>H33*I33*J33</f>
        <v>0</v>
      </c>
    </row>
    <row r="34" spans="1:11">
      <c r="A34" s="241">
        <v>19</v>
      </c>
      <c r="B34" s="320" t="s">
        <v>1174</v>
      </c>
      <c r="C34" s="354">
        <f>'WP B.4.1F'!O50</f>
        <v>0</v>
      </c>
      <c r="D34" s="70">
        <f t="shared" si="3"/>
        <v>0.1095</v>
      </c>
      <c r="E34" s="70">
        <f t="shared" si="3"/>
        <v>0.51517972406888612</v>
      </c>
      <c r="F34" s="355">
        <f>C34*D34*E34</f>
        <v>0</v>
      </c>
      <c r="G34" s="84"/>
      <c r="H34" s="354">
        <f>'WP B.4.1F'!P50</f>
        <v>0</v>
      </c>
      <c r="I34" s="70">
        <f t="shared" si="4"/>
        <v>0.1095</v>
      </c>
      <c r="J34" s="70">
        <f t="shared" si="4"/>
        <v>0.51517972406888612</v>
      </c>
      <c r="K34" s="355">
        <f>H34*I34*J34</f>
        <v>0</v>
      </c>
    </row>
    <row r="35" spans="1:11">
      <c r="A35" s="241">
        <v>20</v>
      </c>
      <c r="B35" s="288" t="s">
        <v>96</v>
      </c>
      <c r="C35" s="340">
        <f>SUM(C31:C34)</f>
        <v>0</v>
      </c>
      <c r="D35" s="241"/>
      <c r="E35" s="241"/>
      <c r="F35" s="340">
        <f>SUM(F31:F34)</f>
        <v>0</v>
      </c>
      <c r="G35" s="84"/>
      <c r="H35" s="340">
        <f>SUM(H31:H34)</f>
        <v>0</v>
      </c>
      <c r="I35" s="86"/>
      <c r="J35" s="241"/>
      <c r="K35" s="340">
        <f>SUM(K31:K34)</f>
        <v>0</v>
      </c>
    </row>
    <row r="36" spans="1:11">
      <c r="A36" s="241">
        <v>21</v>
      </c>
      <c r="B36" s="288"/>
      <c r="D36" s="244"/>
      <c r="E36" s="244"/>
      <c r="F36" s="63"/>
      <c r="G36" s="84"/>
      <c r="H36" s="63"/>
      <c r="I36" s="63"/>
      <c r="K36" s="63"/>
    </row>
    <row r="37" spans="1:11" ht="15.75" thickBot="1">
      <c r="A37" s="241">
        <v>22</v>
      </c>
      <c r="B37" s="66" t="s">
        <v>489</v>
      </c>
      <c r="C37" s="347">
        <f>C35+C28+C21</f>
        <v>-1127452.4617399669</v>
      </c>
      <c r="F37" s="347">
        <f>F35+F28+F21</f>
        <v>-1652038.1361116788</v>
      </c>
      <c r="G37" s="84"/>
      <c r="H37" s="347">
        <f>H35+H28+H21</f>
        <v>9548443.0510962214</v>
      </c>
      <c r="I37" s="84"/>
      <c r="K37" s="347">
        <f>K21+K28+K35</f>
        <v>9023857.3767245095</v>
      </c>
    </row>
    <row r="38" spans="1:11" ht="15.75" thickTop="1">
      <c r="D38" s="244"/>
      <c r="E38" s="244"/>
      <c r="F38" s="63"/>
      <c r="G38" s="84"/>
      <c r="H38" s="63"/>
      <c r="I38" s="63"/>
    </row>
    <row r="39" spans="1:11">
      <c r="A39" s="241"/>
      <c r="F39" s="63"/>
      <c r="G39" s="84"/>
      <c r="H39" s="63"/>
      <c r="I39" s="63"/>
    </row>
    <row r="40" spans="1:11">
      <c r="D40" s="244"/>
      <c r="E40" s="244"/>
      <c r="F40" s="63"/>
      <c r="G40" s="84"/>
    </row>
    <row r="41" spans="1:11">
      <c r="C41" s="63"/>
      <c r="F41" s="63"/>
      <c r="G41" s="84"/>
    </row>
    <row r="42" spans="1:11">
      <c r="D42" s="244"/>
      <c r="E42" s="244"/>
      <c r="F42" s="63"/>
      <c r="G42" s="84"/>
    </row>
    <row r="43" spans="1:11">
      <c r="F43" s="63"/>
      <c r="G43" s="84"/>
    </row>
    <row r="44" spans="1:11">
      <c r="D44" s="244"/>
      <c r="E44" s="244"/>
      <c r="F44" s="63"/>
      <c r="G44" s="84"/>
    </row>
    <row r="45" spans="1:11">
      <c r="F45" s="63"/>
      <c r="G45" s="84"/>
    </row>
    <row r="46" spans="1:11">
      <c r="D46" s="244"/>
      <c r="E46" s="244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60" zoomScaleNormal="90" workbookViewId="0">
      <selection sqref="A1:H1"/>
    </sheetView>
  </sheetViews>
  <sheetFormatPr defaultColWidth="8.44140625" defaultRowHeight="15"/>
  <cols>
    <col min="1" max="1" width="6.6640625" style="40" customWidth="1"/>
    <col min="2" max="2" width="34.109375" style="40" customWidth="1"/>
    <col min="3" max="3" width="3.88671875" style="40" customWidth="1"/>
    <col min="4" max="4" width="13.109375" style="40" customWidth="1"/>
    <col min="5" max="5" width="4.33203125" style="40" customWidth="1"/>
    <col min="6" max="6" width="14.44140625" style="40" customWidth="1"/>
    <col min="7" max="7" width="3.88671875" style="40" customWidth="1"/>
    <col min="8" max="8" width="13.109375" style="40" customWidth="1"/>
    <col min="9" max="9" width="6.6640625" style="40" customWidth="1"/>
    <col min="10" max="10" width="7.5546875" style="40" customWidth="1"/>
    <col min="11" max="11" width="3.33203125" style="40" customWidth="1"/>
    <col min="12" max="12" width="11.88671875" style="40" customWidth="1"/>
    <col min="13" max="13" width="3.33203125" style="40" customWidth="1"/>
    <col min="14" max="14" width="14.44140625" style="40" customWidth="1"/>
    <col min="15" max="16384" width="8.44140625" style="40"/>
  </cols>
  <sheetData>
    <row r="1" spans="1:11" s="1" customFormat="1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</row>
    <row r="2" spans="1:11" s="1" customFormat="1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</row>
    <row r="3" spans="1:11" s="1" customFormat="1">
      <c r="A3" s="1210" t="s">
        <v>1165</v>
      </c>
      <c r="B3" s="1210"/>
      <c r="C3" s="1210"/>
      <c r="D3" s="1210"/>
      <c r="E3" s="1210"/>
      <c r="F3" s="1210"/>
      <c r="G3" s="1210"/>
      <c r="H3" s="1210"/>
    </row>
    <row r="4" spans="1:11">
      <c r="A4" s="1210" t="str">
        <f>'B.1 B'!A4</f>
        <v>as of December 31, 2018</v>
      </c>
      <c r="B4" s="1210"/>
      <c r="C4" s="1210"/>
      <c r="D4" s="1210"/>
      <c r="E4" s="1210"/>
      <c r="F4" s="1210"/>
      <c r="G4" s="1210"/>
      <c r="H4" s="1210"/>
    </row>
    <row r="7" spans="1:11">
      <c r="A7" s="180" t="str">
        <f>'B.1 B'!A6</f>
        <v>Data:__X___Base Period______Forecasted Period</v>
      </c>
      <c r="H7" s="511" t="s">
        <v>1423</v>
      </c>
    </row>
    <row r="8" spans="1:11">
      <c r="A8" s="180" t="str">
        <f>'B.1 B'!A7</f>
        <v>Type of Filing:___X____Original________Updated ________Revised</v>
      </c>
      <c r="B8" s="4"/>
      <c r="H8" s="678" t="s">
        <v>705</v>
      </c>
    </row>
    <row r="9" spans="1:11">
      <c r="A9" s="193" t="str">
        <f>'B.1 B'!A8</f>
        <v>Workpaper Reference No(s).</v>
      </c>
      <c r="B9" s="190"/>
      <c r="C9" s="190"/>
      <c r="D9" s="190"/>
      <c r="E9" s="190"/>
      <c r="F9" s="190"/>
      <c r="G9" s="190"/>
      <c r="H9" s="679" t="str">
        <f>'B.4 B'!E8</f>
        <v>Witness: Waller, Christian</v>
      </c>
      <c r="I9" s="191"/>
    </row>
    <row r="10" spans="1:11">
      <c r="A10" s="188" t="s">
        <v>93</v>
      </c>
      <c r="D10" s="188" t="s">
        <v>488</v>
      </c>
      <c r="F10" s="188" t="s">
        <v>32</v>
      </c>
      <c r="H10" s="188" t="s">
        <v>97</v>
      </c>
      <c r="I10" s="191"/>
    </row>
    <row r="11" spans="1:11">
      <c r="A11" s="228" t="s">
        <v>99</v>
      </c>
      <c r="B11" s="228" t="s">
        <v>985</v>
      </c>
      <c r="C11" s="190"/>
      <c r="D11" s="228" t="s">
        <v>102</v>
      </c>
      <c r="E11" s="190"/>
      <c r="F11" s="228" t="s">
        <v>103</v>
      </c>
      <c r="G11" s="190"/>
      <c r="H11" s="228" t="s">
        <v>104</v>
      </c>
      <c r="I11" s="191"/>
    </row>
    <row r="12" spans="1:11">
      <c r="D12" s="188" t="s">
        <v>1092</v>
      </c>
      <c r="F12" s="188" t="s">
        <v>1093</v>
      </c>
      <c r="H12" s="188" t="s">
        <v>1094</v>
      </c>
      <c r="I12" s="191"/>
    </row>
    <row r="14" spans="1:11">
      <c r="A14" s="78">
        <v>1</v>
      </c>
      <c r="B14" s="180" t="s">
        <v>784</v>
      </c>
      <c r="D14" s="187"/>
      <c r="F14" s="300"/>
      <c r="H14" s="187"/>
      <c r="K14" s="187"/>
    </row>
    <row r="15" spans="1:11">
      <c r="A15" s="78"/>
      <c r="E15" s="187"/>
      <c r="F15" s="227"/>
      <c r="G15" s="187"/>
      <c r="H15" s="187"/>
      <c r="I15" s="187"/>
      <c r="K15" s="187"/>
    </row>
    <row r="16" spans="1:11">
      <c r="A16" s="78">
        <f>1+A14</f>
        <v>2</v>
      </c>
      <c r="B16" s="245" t="str">
        <f>+'C.2'!C18</f>
        <v>Production O&amp;M Expense</v>
      </c>
      <c r="D16" s="476">
        <f>+'C.2'!D18</f>
        <v>0</v>
      </c>
      <c r="F16" s="188" t="s">
        <v>1096</v>
      </c>
      <c r="H16" s="476">
        <f>(D16*0.125)</f>
        <v>0</v>
      </c>
      <c r="K16" s="187"/>
    </row>
    <row r="17" spans="1:11">
      <c r="A17" s="78"/>
      <c r="B17" s="246"/>
      <c r="K17" s="187"/>
    </row>
    <row r="18" spans="1:11">
      <c r="A18" s="78">
        <f>1+A16</f>
        <v>3</v>
      </c>
      <c r="B18" s="245" t="str">
        <f>+'C.2'!C19</f>
        <v>Storage O&amp;M Expense</v>
      </c>
      <c r="D18" s="187">
        <f>+'C.2'!D19</f>
        <v>539682.66478999029</v>
      </c>
      <c r="E18" s="187"/>
      <c r="F18" s="188" t="s">
        <v>1096</v>
      </c>
      <c r="G18" s="187"/>
      <c r="H18" s="187">
        <f>(D18*0.125)</f>
        <v>67460.333098748786</v>
      </c>
      <c r="I18" s="187"/>
      <c r="K18" s="187"/>
    </row>
    <row r="19" spans="1:11">
      <c r="A19" s="78"/>
      <c r="B19" s="246"/>
      <c r="E19" s="187"/>
      <c r="H19" s="187"/>
      <c r="I19" s="187"/>
      <c r="K19" s="187"/>
    </row>
    <row r="20" spans="1:11">
      <c r="A20" s="78">
        <f>1+A18</f>
        <v>4</v>
      </c>
      <c r="B20" s="245" t="str">
        <f>+'C.2'!C20</f>
        <v>Transmission O&amp;M Expense</v>
      </c>
      <c r="D20" s="187">
        <f>+'C.2'!D20</f>
        <v>441600.8811526646</v>
      </c>
      <c r="E20" s="187"/>
      <c r="F20" s="188" t="s">
        <v>1096</v>
      </c>
      <c r="G20" s="187"/>
      <c r="H20" s="187">
        <f>(D20*0.125)</f>
        <v>55200.110144083075</v>
      </c>
      <c r="K20" s="187"/>
    </row>
    <row r="21" spans="1:11">
      <c r="A21" s="78"/>
      <c r="B21" s="246"/>
      <c r="E21" s="187"/>
      <c r="F21" s="227"/>
      <c r="G21" s="187"/>
      <c r="H21" s="187"/>
      <c r="I21" s="187"/>
      <c r="K21" s="187"/>
    </row>
    <row r="22" spans="1:11">
      <c r="A22" s="78">
        <f>1+A20</f>
        <v>5</v>
      </c>
      <c r="B22" s="245" t="str">
        <f>+'C.2'!C21</f>
        <v>Distribution O&amp;M Expense</v>
      </c>
      <c r="D22" s="187">
        <f>+'C.2'!D21</f>
        <v>8276854.1339959856</v>
      </c>
      <c r="E22" s="187"/>
      <c r="F22" s="188" t="s">
        <v>1096</v>
      </c>
      <c r="G22" s="187"/>
      <c r="H22" s="187">
        <f>(D22*0.125)</f>
        <v>1034606.7667494982</v>
      </c>
      <c r="I22" s="187"/>
      <c r="K22" s="187"/>
    </row>
    <row r="23" spans="1:11">
      <c r="A23" s="78"/>
      <c r="B23" s="246"/>
      <c r="E23" s="187"/>
      <c r="F23" s="227"/>
      <c r="G23" s="187"/>
      <c r="H23" s="187"/>
      <c r="I23" s="187"/>
      <c r="K23" s="187"/>
    </row>
    <row r="24" spans="1:11">
      <c r="A24" s="78">
        <f>1+A22</f>
        <v>6</v>
      </c>
      <c r="B24" s="246" t="str">
        <f>+'C.2'!C22</f>
        <v>Customer Accting. &amp; Collection</v>
      </c>
      <c r="D24" s="40">
        <f>+'C.2'!D22</f>
        <v>2960696.6046877503</v>
      </c>
      <c r="E24" s="187"/>
      <c r="F24" s="188" t="s">
        <v>1096</v>
      </c>
      <c r="G24" s="187"/>
      <c r="H24" s="187">
        <f>(D24*0.125)</f>
        <v>370087.07558596879</v>
      </c>
      <c r="I24" s="187"/>
      <c r="K24" s="187"/>
    </row>
    <row r="25" spans="1:11">
      <c r="A25" s="78"/>
      <c r="B25" s="246"/>
      <c r="E25" s="187"/>
      <c r="F25" s="227"/>
      <c r="G25" s="187"/>
      <c r="H25" s="187"/>
      <c r="I25" s="187"/>
      <c r="K25" s="187"/>
    </row>
    <row r="26" spans="1:11">
      <c r="A26" s="78">
        <f>1+A24</f>
        <v>7</v>
      </c>
      <c r="B26" s="245" t="str">
        <f>+'C.2'!C23</f>
        <v>Customer Service &amp; Information</v>
      </c>
      <c r="D26" s="187">
        <f>+'C.2'!D23</f>
        <v>129522.85695117761</v>
      </c>
      <c r="E26" s="187"/>
      <c r="F26" s="188" t="s">
        <v>1096</v>
      </c>
      <c r="G26" s="187"/>
      <c r="H26" s="187">
        <f>(D26*0.125)</f>
        <v>16190.357118897202</v>
      </c>
      <c r="I26" s="187"/>
      <c r="K26" s="187"/>
    </row>
    <row r="27" spans="1:11">
      <c r="A27" s="78"/>
      <c r="B27" s="246"/>
      <c r="D27" s="187"/>
      <c r="E27" s="187"/>
      <c r="F27" s="227"/>
      <c r="G27" s="187"/>
      <c r="H27" s="187"/>
      <c r="I27" s="187"/>
      <c r="K27" s="187"/>
    </row>
    <row r="28" spans="1:11">
      <c r="A28" s="78">
        <f>1+A26</f>
        <v>8</v>
      </c>
      <c r="B28" s="245" t="str">
        <f>+'C.2'!C24</f>
        <v>Sales Expense</v>
      </c>
      <c r="D28" s="187">
        <f>+'C.2'!D24</f>
        <v>440891.9991608829</v>
      </c>
      <c r="E28" s="187"/>
      <c r="F28" s="188" t="s">
        <v>1096</v>
      </c>
      <c r="G28" s="187"/>
      <c r="H28" s="187">
        <f>(D28*0.125)</f>
        <v>55111.499895110363</v>
      </c>
      <c r="I28" s="187"/>
      <c r="K28" s="187"/>
    </row>
    <row r="29" spans="1:11">
      <c r="A29" s="78"/>
      <c r="B29" s="246"/>
      <c r="D29" s="187"/>
      <c r="E29" s="187"/>
      <c r="F29" s="227"/>
      <c r="G29" s="187"/>
      <c r="H29" s="187"/>
      <c r="I29" s="187"/>
      <c r="K29" s="187"/>
    </row>
    <row r="30" spans="1:11">
      <c r="A30" s="78">
        <f>1+A28</f>
        <v>9</v>
      </c>
      <c r="B30" s="245" t="str">
        <f>+'C.2'!C25</f>
        <v>Admin. &amp; General Expense</v>
      </c>
      <c r="D30" s="192">
        <f>+'C.2'!D25</f>
        <v>15741887.407442484</v>
      </c>
      <c r="E30" s="187"/>
      <c r="F30" s="188" t="s">
        <v>1096</v>
      </c>
      <c r="G30" s="187"/>
      <c r="H30" s="192">
        <f>(D30*0.125)</f>
        <v>1967735.9259303105</v>
      </c>
      <c r="I30" s="187"/>
      <c r="K30" s="187"/>
    </row>
    <row r="31" spans="1:11">
      <c r="A31" s="78"/>
      <c r="D31" s="187"/>
      <c r="E31" s="187"/>
      <c r="F31" s="227"/>
      <c r="G31" s="187"/>
      <c r="H31" s="187"/>
      <c r="I31" s="187"/>
      <c r="K31" s="187"/>
    </row>
    <row r="32" spans="1:11" ht="15.75" thickBot="1">
      <c r="A32" s="78">
        <f>1+A30</f>
        <v>10</v>
      </c>
      <c r="B32" s="180" t="s">
        <v>134</v>
      </c>
      <c r="C32" s="195"/>
      <c r="D32" s="477">
        <f>SUM(D16:D30)</f>
        <v>28531136.548180934</v>
      </c>
      <c r="E32" s="187"/>
      <c r="G32" s="195"/>
      <c r="H32" s="477">
        <f>+D32*0.125</f>
        <v>3566392.0685226168</v>
      </c>
      <c r="I32" s="187"/>
      <c r="J32" s="40">
        <f>SUM(H16:H30)-H32</f>
        <v>0</v>
      </c>
      <c r="K32" s="187"/>
    </row>
    <row r="33" spans="2:11" ht="15.75" thickTop="1">
      <c r="E33" s="187"/>
      <c r="F33" s="227"/>
      <c r="G33" s="187"/>
      <c r="H33" s="187"/>
      <c r="I33" s="187"/>
      <c r="K33" s="187"/>
    </row>
    <row r="34" spans="2:11">
      <c r="E34" s="187"/>
      <c r="G34" s="187"/>
      <c r="H34" s="187"/>
      <c r="I34" s="187"/>
    </row>
    <row r="35" spans="2:11">
      <c r="B35" s="180"/>
      <c r="G35" s="187"/>
      <c r="H35" s="187"/>
      <c r="I35" s="187"/>
    </row>
    <row r="36" spans="2:11">
      <c r="B36" s="180"/>
      <c r="G36" s="187"/>
      <c r="H36" s="187"/>
      <c r="I36" s="187"/>
    </row>
    <row r="37" spans="2:11">
      <c r="B37" s="180"/>
      <c r="G37" s="187"/>
      <c r="H37" s="187"/>
      <c r="I37" s="187"/>
    </row>
    <row r="38" spans="2:11">
      <c r="G38" s="187"/>
      <c r="H38" s="187"/>
      <c r="I38" s="187"/>
    </row>
    <row r="39" spans="2:11">
      <c r="G39" s="187"/>
      <c r="H39" s="187"/>
      <c r="I39" s="187"/>
    </row>
    <row r="40" spans="2:11">
      <c r="G40" s="187"/>
      <c r="H40" s="187"/>
      <c r="I40" s="187"/>
    </row>
    <row r="41" spans="2:11">
      <c r="G41" s="187"/>
      <c r="H41" s="187"/>
      <c r="I41" s="187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70" zoomScaleNormal="90" zoomScaleSheetLayoutView="70" workbookViewId="0">
      <selection sqref="A1:H1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</row>
    <row r="2" spans="1:11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</row>
    <row r="3" spans="1:11">
      <c r="A3" s="1210" t="s">
        <v>1165</v>
      </c>
      <c r="B3" s="1210"/>
      <c r="C3" s="1210"/>
      <c r="D3" s="1210"/>
      <c r="E3" s="1210"/>
      <c r="F3" s="1210"/>
      <c r="G3" s="1210"/>
      <c r="H3" s="1210"/>
    </row>
    <row r="4" spans="1:11">
      <c r="A4" s="1210" t="str">
        <f>'B.1 F '!A4</f>
        <v>as of March 31, 2020</v>
      </c>
      <c r="B4" s="1210"/>
      <c r="C4" s="1210"/>
      <c r="D4" s="1210"/>
      <c r="E4" s="1210"/>
      <c r="F4" s="1210"/>
      <c r="G4" s="1210"/>
      <c r="H4" s="1210"/>
    </row>
    <row r="5" spans="1:11">
      <c r="A5" s="169"/>
      <c r="B5" s="169"/>
      <c r="C5" s="169"/>
      <c r="D5" s="169"/>
      <c r="E5" s="169"/>
      <c r="F5" s="169"/>
      <c r="G5" s="169"/>
      <c r="H5" s="169"/>
    </row>
    <row r="7" spans="1:11">
      <c r="A7" s="4" t="str">
        <f>'B.1 F '!A6</f>
        <v>Data:______Base Period__X___Forecasted Period</v>
      </c>
      <c r="H7" s="376" t="s">
        <v>1423</v>
      </c>
    </row>
    <row r="8" spans="1:11">
      <c r="A8" s="4" t="str">
        <f>'B.1 F '!A7</f>
        <v>Type of Filing:___X____Original________Updated ________Revised</v>
      </c>
      <c r="B8" s="4"/>
      <c r="H8" s="489" t="s">
        <v>706</v>
      </c>
    </row>
    <row r="9" spans="1:11">
      <c r="A9" s="51" t="str">
        <f>'B.1 F '!A8</f>
        <v>Workpaper Reference No(s).</v>
      </c>
      <c r="B9" s="6"/>
      <c r="C9" s="6"/>
      <c r="D9" s="6"/>
      <c r="E9" s="6"/>
      <c r="F9" s="6"/>
      <c r="G9" s="6"/>
      <c r="H9" s="490" t="str">
        <f>'B.4.2 B'!H9</f>
        <v>Witness: Waller, Christian</v>
      </c>
      <c r="I9" s="35"/>
    </row>
    <row r="10" spans="1:11">
      <c r="A10" s="2" t="s">
        <v>93</v>
      </c>
      <c r="D10" s="2" t="s">
        <v>488</v>
      </c>
      <c r="F10" s="2" t="s">
        <v>32</v>
      </c>
      <c r="H10" s="2" t="s">
        <v>97</v>
      </c>
      <c r="I10" s="35"/>
    </row>
    <row r="11" spans="1:11">
      <c r="A11" s="32" t="s">
        <v>99</v>
      </c>
      <c r="B11" s="32" t="s">
        <v>985</v>
      </c>
      <c r="C11" s="33"/>
      <c r="D11" s="32" t="s">
        <v>102</v>
      </c>
      <c r="E11" s="33"/>
      <c r="F11" s="32" t="s">
        <v>103</v>
      </c>
      <c r="G11" s="33"/>
      <c r="H11" s="32" t="s">
        <v>104</v>
      </c>
      <c r="I11" s="35"/>
    </row>
    <row r="12" spans="1:11">
      <c r="A12" s="34"/>
      <c r="B12" s="34"/>
      <c r="C12" s="35"/>
      <c r="D12" s="34" t="s">
        <v>1092</v>
      </c>
      <c r="E12" s="35"/>
      <c r="F12" s="34" t="s">
        <v>1093</v>
      </c>
      <c r="G12" s="35"/>
      <c r="H12" s="34" t="s">
        <v>1094</v>
      </c>
      <c r="I12" s="35"/>
    </row>
    <row r="13" spans="1:11">
      <c r="I13" s="35"/>
    </row>
    <row r="14" spans="1:11">
      <c r="A14" s="54">
        <v>1</v>
      </c>
      <c r="B14" s="4" t="s">
        <v>784</v>
      </c>
      <c r="D14" s="10"/>
      <c r="H14" s="10"/>
      <c r="I14" s="35"/>
      <c r="K14" s="10"/>
    </row>
    <row r="15" spans="1:11">
      <c r="A15" s="54"/>
      <c r="E15" s="10"/>
      <c r="F15" s="11"/>
      <c r="G15" s="10"/>
      <c r="H15" s="10"/>
      <c r="I15" s="42"/>
      <c r="K15" s="10"/>
    </row>
    <row r="16" spans="1:11">
      <c r="A16" s="54">
        <f>1+A14</f>
        <v>2</v>
      </c>
      <c r="B16" s="165" t="str">
        <f>+'C.2'!C18</f>
        <v>Production O&amp;M Expense</v>
      </c>
      <c r="D16" s="469">
        <f>+'C.2'!O18</f>
        <v>0</v>
      </c>
      <c r="F16" s="2" t="s">
        <v>1096</v>
      </c>
      <c r="H16" s="469">
        <f>(D16*0.125)</f>
        <v>0</v>
      </c>
    </row>
    <row r="17" spans="1:11">
      <c r="A17" s="54"/>
      <c r="B17" s="156"/>
    </row>
    <row r="18" spans="1:11">
      <c r="A18" s="54">
        <f>1+A16</f>
        <v>3</v>
      </c>
      <c r="B18" s="165" t="str">
        <f>+'C.2'!C19</f>
        <v>Storage O&amp;M Expense</v>
      </c>
      <c r="D18" s="10">
        <f>+'C.2'!O19</f>
        <v>488914.10970909288</v>
      </c>
      <c r="E18" s="10"/>
      <c r="F18" s="2" t="s">
        <v>1096</v>
      </c>
      <c r="G18" s="10"/>
      <c r="H18" s="10">
        <f>(D18*0.125)</f>
        <v>61114.26371363661</v>
      </c>
      <c r="I18" s="10"/>
      <c r="K18" s="10"/>
    </row>
    <row r="19" spans="1:11">
      <c r="A19" s="54"/>
      <c r="B19" s="156"/>
      <c r="E19" s="10"/>
      <c r="H19" s="10"/>
      <c r="I19" s="10"/>
      <c r="K19" s="10"/>
    </row>
    <row r="20" spans="1:11">
      <c r="A20" s="54">
        <f>1+A18</f>
        <v>4</v>
      </c>
      <c r="B20" s="165" t="str">
        <f>+'C.2'!C20</f>
        <v>Transmission O&amp;M Expense</v>
      </c>
      <c r="D20" s="10">
        <f>+'C.2'!O20</f>
        <v>410103.04958446958</v>
      </c>
      <c r="E20" s="10"/>
      <c r="F20" s="2" t="s">
        <v>1096</v>
      </c>
      <c r="G20" s="10"/>
      <c r="H20" s="10">
        <f>(D20*0.125)</f>
        <v>51262.881198058698</v>
      </c>
      <c r="K20" s="10"/>
    </row>
    <row r="21" spans="1:11">
      <c r="A21" s="54"/>
      <c r="B21" s="156"/>
      <c r="E21" s="10"/>
      <c r="F21" s="11"/>
      <c r="G21" s="10"/>
      <c r="H21" s="10"/>
      <c r="I21" s="10"/>
      <c r="K21" s="10"/>
    </row>
    <row r="22" spans="1:11">
      <c r="A22" s="54">
        <f>1+A20</f>
        <v>5</v>
      </c>
      <c r="B22" s="165" t="str">
        <f>+'C.2'!C21</f>
        <v>Distribution O&amp;M Expense</v>
      </c>
      <c r="D22" s="10">
        <f>+'C.2'!O21</f>
        <v>7342105.8008699305</v>
      </c>
      <c r="E22" s="10"/>
      <c r="F22" s="2" t="s">
        <v>1096</v>
      </c>
      <c r="G22" s="10"/>
      <c r="H22" s="10">
        <f>(D22*0.125)</f>
        <v>917763.22510874132</v>
      </c>
      <c r="I22" s="10"/>
      <c r="K22" s="10"/>
    </row>
    <row r="23" spans="1:11">
      <c r="A23" s="54"/>
      <c r="B23" s="156"/>
      <c r="E23" s="10"/>
      <c r="F23" s="11"/>
      <c r="G23" s="10"/>
      <c r="H23" s="10"/>
      <c r="I23" s="10"/>
      <c r="K23" s="10"/>
    </row>
    <row r="24" spans="1:11">
      <c r="A24" s="54">
        <f>1+A22</f>
        <v>6</v>
      </c>
      <c r="B24" s="156" t="str">
        <f>+'C.2'!C22</f>
        <v>Customer Accting. &amp; Collection</v>
      </c>
      <c r="D24" s="1">
        <f>+'C.2'!O22</f>
        <v>2646899.916810086</v>
      </c>
      <c r="E24" s="10"/>
      <c r="F24" s="2" t="s">
        <v>1096</v>
      </c>
      <c r="G24" s="10"/>
      <c r="H24" s="10">
        <f>(D24*0.125)</f>
        <v>330862.48960126075</v>
      </c>
      <c r="I24" s="10"/>
      <c r="K24" s="10"/>
    </row>
    <row r="25" spans="1:11">
      <c r="A25" s="54"/>
      <c r="B25" s="156"/>
      <c r="E25" s="10"/>
      <c r="F25" s="11"/>
      <c r="G25" s="10"/>
      <c r="H25" s="10"/>
      <c r="I25" s="10"/>
      <c r="K25" s="10"/>
    </row>
    <row r="26" spans="1:11">
      <c r="A26" s="54">
        <f>1+A24</f>
        <v>7</v>
      </c>
      <c r="B26" s="165" t="str">
        <f>+'C.2'!C23</f>
        <v>Customer Service &amp; Information</v>
      </c>
      <c r="D26" s="10">
        <f>+'C.2'!O23</f>
        <v>128271.64717990512</v>
      </c>
      <c r="E26" s="10"/>
      <c r="F26" s="2" t="s">
        <v>1096</v>
      </c>
      <c r="G26" s="10"/>
      <c r="H26" s="10">
        <f>(D26*0.125)</f>
        <v>16033.95589748814</v>
      </c>
      <c r="I26" s="10"/>
      <c r="K26" s="10"/>
    </row>
    <row r="27" spans="1:11">
      <c r="A27" s="54"/>
      <c r="B27" s="156"/>
      <c r="D27" s="10"/>
      <c r="E27" s="10"/>
      <c r="F27" s="11"/>
      <c r="G27" s="10"/>
      <c r="H27" s="10"/>
      <c r="I27" s="10"/>
      <c r="K27" s="10"/>
    </row>
    <row r="28" spans="1:11">
      <c r="A28" s="54">
        <f>1+A26</f>
        <v>8</v>
      </c>
      <c r="B28" s="165" t="str">
        <f>+'C.2'!C24</f>
        <v>Sales Expense</v>
      </c>
      <c r="D28" s="10">
        <f>+'C.2'!O24</f>
        <v>208277.70350632601</v>
      </c>
      <c r="E28" s="10"/>
      <c r="F28" s="2" t="s">
        <v>1096</v>
      </c>
      <c r="G28" s="10"/>
      <c r="H28" s="10">
        <f>(D28*0.125)</f>
        <v>26034.712938290751</v>
      </c>
      <c r="I28" s="10"/>
      <c r="K28" s="10"/>
    </row>
    <row r="29" spans="1:11">
      <c r="A29" s="54"/>
      <c r="B29" s="156"/>
      <c r="D29" s="10"/>
      <c r="E29" s="10"/>
      <c r="F29" s="11"/>
      <c r="G29" s="10"/>
      <c r="H29" s="10"/>
      <c r="I29" s="10"/>
      <c r="K29" s="10"/>
    </row>
    <row r="30" spans="1:11">
      <c r="A30" s="54">
        <f>1+A28</f>
        <v>9</v>
      </c>
      <c r="B30" s="165" t="str">
        <f>+'C.2'!C25</f>
        <v>Admin. &amp; General Expense</v>
      </c>
      <c r="D30" s="17">
        <f>+'C.2'!O25</f>
        <v>15996974.126131296</v>
      </c>
      <c r="E30" s="10"/>
      <c r="F30" s="2" t="s">
        <v>1096</v>
      </c>
      <c r="G30" s="10"/>
      <c r="H30" s="17">
        <f>(D30*0.125)</f>
        <v>1999621.765766412</v>
      </c>
      <c r="I30" s="10"/>
      <c r="K30" s="10"/>
    </row>
    <row r="31" spans="1:11">
      <c r="A31" s="54"/>
      <c r="D31" s="10"/>
      <c r="E31" s="10"/>
      <c r="F31" s="11"/>
      <c r="G31" s="10"/>
      <c r="H31" s="10"/>
      <c r="I31" s="10"/>
      <c r="K31" s="10"/>
    </row>
    <row r="32" spans="1:11" ht="15.75" thickBot="1">
      <c r="A32" s="54">
        <f>1+A30</f>
        <v>10</v>
      </c>
      <c r="B32" s="4" t="s">
        <v>134</v>
      </c>
      <c r="C32" s="81"/>
      <c r="D32" s="308">
        <f>SUM(D16:D30)</f>
        <v>27221546.353791106</v>
      </c>
      <c r="E32" s="10"/>
      <c r="G32" s="81"/>
      <c r="H32" s="308">
        <f>+D32*0.125</f>
        <v>3402693.2942238883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73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4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70" zoomScaleNormal="70" zoomScaleSheetLayoutView="70" workbookViewId="0">
      <pane ySplit="11" topLeftCell="A42" activePane="bottomLeft" state="frozen"/>
      <selection activeCell="B6" sqref="B6"/>
      <selection pane="bottomLeft" sqref="A1:L1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54" bestFit="1" customWidth="1"/>
    <col min="6" max="6" width="11.77734375" style="54" customWidth="1"/>
    <col min="7" max="7" width="14" style="1" customWidth="1"/>
    <col min="8" max="8" width="4.33203125" style="74" customWidth="1"/>
    <col min="9" max="9" width="13.109375" style="1" customWidth="1"/>
    <col min="10" max="11" width="11.88671875" style="54" customWidth="1"/>
    <col min="12" max="12" width="18.33203125" style="1" customWidth="1"/>
    <col min="13" max="16384" width="8.44140625" style="1"/>
  </cols>
  <sheetData>
    <row r="1" spans="1:12">
      <c r="A1" s="1200" t="str">
        <f>Allocation!A1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</row>
    <row r="2" spans="1:12">
      <c r="A2" s="1200" t="str">
        <f>Allocation!A2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</row>
    <row r="3" spans="1:12">
      <c r="A3" s="1200" t="s">
        <v>510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</row>
    <row r="4" spans="1:12">
      <c r="A4" s="1200" t="str">
        <f>'B.1 B'!A4</f>
        <v>as of December 31, 2018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</row>
    <row r="5" spans="1:12">
      <c r="A5" s="31"/>
      <c r="B5" s="30"/>
      <c r="C5" s="30"/>
      <c r="D5" s="30"/>
      <c r="G5" s="30"/>
      <c r="H5" s="371"/>
      <c r="I5" s="30"/>
    </row>
    <row r="6" spans="1:12" ht="15.75">
      <c r="A6" s="48" t="s">
        <v>788</v>
      </c>
      <c r="B6" s="48"/>
      <c r="C6" s="35"/>
      <c r="D6" s="593"/>
      <c r="L6" s="1" t="s">
        <v>1424</v>
      </c>
    </row>
    <row r="7" spans="1:12">
      <c r="A7" s="48" t="s">
        <v>1121</v>
      </c>
      <c r="B7" s="35"/>
      <c r="C7" s="48"/>
      <c r="L7" s="1" t="s">
        <v>707</v>
      </c>
    </row>
    <row r="8" spans="1:12">
      <c r="A8" s="48" t="s">
        <v>426</v>
      </c>
      <c r="B8" s="35"/>
      <c r="C8" s="35"/>
      <c r="D8" s="35"/>
      <c r="E8" s="221"/>
      <c r="F8" s="221"/>
      <c r="G8" s="35"/>
      <c r="I8" s="35"/>
      <c r="J8" s="221"/>
      <c r="K8" s="221"/>
      <c r="L8" s="35" t="s">
        <v>1708</v>
      </c>
    </row>
    <row r="9" spans="1:12">
      <c r="A9" s="248"/>
      <c r="B9" s="59"/>
      <c r="C9" s="59"/>
      <c r="D9" s="482"/>
      <c r="E9" s="338" t="s">
        <v>13</v>
      </c>
      <c r="F9" s="339" t="s">
        <v>11</v>
      </c>
      <c r="G9" s="483" t="s">
        <v>97</v>
      </c>
      <c r="H9" s="75"/>
      <c r="I9" s="485"/>
      <c r="J9" s="338" t="s">
        <v>13</v>
      </c>
      <c r="K9" s="339" t="s">
        <v>11</v>
      </c>
      <c r="L9" s="389"/>
    </row>
    <row r="10" spans="1:12">
      <c r="A10" s="334" t="s">
        <v>93</v>
      </c>
      <c r="B10" s="34"/>
      <c r="C10" s="35"/>
      <c r="D10" s="335"/>
      <c r="E10" s="34" t="s">
        <v>14</v>
      </c>
      <c r="F10" s="75" t="s">
        <v>594</v>
      </c>
      <c r="G10" s="331" t="s">
        <v>1166</v>
      </c>
      <c r="H10" s="75"/>
      <c r="I10" s="334" t="s">
        <v>92</v>
      </c>
      <c r="J10" s="34" t="s">
        <v>14</v>
      </c>
      <c r="K10" s="75" t="s">
        <v>594</v>
      </c>
      <c r="L10" s="486" t="s">
        <v>12</v>
      </c>
    </row>
    <row r="11" spans="1:12">
      <c r="A11" s="332" t="s">
        <v>99</v>
      </c>
      <c r="B11" s="32"/>
      <c r="C11" s="56" t="s">
        <v>338</v>
      </c>
      <c r="D11" s="484" t="s">
        <v>1056</v>
      </c>
      <c r="E11" s="185" t="s">
        <v>627</v>
      </c>
      <c r="F11" s="185" t="s">
        <v>627</v>
      </c>
      <c r="G11" s="333" t="s">
        <v>105</v>
      </c>
      <c r="H11" s="75"/>
      <c r="I11" s="332" t="s">
        <v>98</v>
      </c>
      <c r="J11" s="185" t="s">
        <v>627</v>
      </c>
      <c r="K11" s="185" t="s">
        <v>627</v>
      </c>
      <c r="L11" s="487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C13" s="16" t="s">
        <v>773</v>
      </c>
      <c r="D13" s="306">
        <f>'WP B.5 B'!P13</f>
        <v>8860407.5035127029</v>
      </c>
      <c r="E13" s="478">
        <v>1</v>
      </c>
      <c r="F13" s="478">
        <v>1</v>
      </c>
      <c r="G13" s="306">
        <f>D13*E13*F13</f>
        <v>8860407.5035127029</v>
      </c>
      <c r="H13" s="77"/>
      <c r="I13" s="306">
        <f>'WP B.5 B'!Q13</f>
        <v>9320491.5561177712</v>
      </c>
      <c r="J13" s="478">
        <v>1</v>
      </c>
      <c r="K13" s="478">
        <v>1</v>
      </c>
      <c r="L13" s="306">
        <f>I13*J13*K13</f>
        <v>9320491.5561177712</v>
      </c>
    </row>
    <row r="14" spans="1:12" ht="14.25" customHeight="1">
      <c r="A14" s="2">
        <v>2</v>
      </c>
      <c r="B14" s="374"/>
      <c r="C14" s="4"/>
      <c r="D14" s="77"/>
      <c r="E14" s="478"/>
      <c r="F14" s="478"/>
      <c r="G14" s="77"/>
      <c r="H14" s="77"/>
      <c r="I14" s="77"/>
      <c r="J14" s="480"/>
      <c r="K14" s="480"/>
      <c r="L14" s="77"/>
    </row>
    <row r="15" spans="1:12">
      <c r="A15" s="2">
        <v>3</v>
      </c>
      <c r="C15" s="16" t="s">
        <v>674</v>
      </c>
      <c r="D15" s="73">
        <f>'WP B.5 B'!P15</f>
        <v>-80791089.958195508</v>
      </c>
      <c r="E15" s="478">
        <f>$E$13</f>
        <v>1</v>
      </c>
      <c r="F15" s="478">
        <f>$E$13</f>
        <v>1</v>
      </c>
      <c r="G15" s="73">
        <f>D15*E15*F15</f>
        <v>-80791089.958195508</v>
      </c>
      <c r="H15" s="77"/>
      <c r="I15" s="73">
        <f>'WP B.5 B'!Q15</f>
        <v>-73111194.575578928</v>
      </c>
      <c r="J15" s="478">
        <f>$E$13</f>
        <v>1</v>
      </c>
      <c r="K15" s="478">
        <f>$E$13</f>
        <v>1</v>
      </c>
      <c r="L15" s="73">
        <f>I15*J15*K15</f>
        <v>-73111194.575578928</v>
      </c>
    </row>
    <row r="16" spans="1:12" ht="14.25" customHeight="1">
      <c r="A16" s="2">
        <v>4</v>
      </c>
      <c r="B16" s="374"/>
      <c r="C16" s="4"/>
      <c r="D16" s="77"/>
      <c r="E16" s="478"/>
      <c r="F16" s="478"/>
      <c r="G16" s="77"/>
      <c r="H16" s="77"/>
      <c r="I16" s="77"/>
      <c r="J16" s="480"/>
      <c r="K16" s="480"/>
      <c r="L16" s="77"/>
    </row>
    <row r="17" spans="1:17">
      <c r="A17" s="2">
        <v>5</v>
      </c>
      <c r="C17" s="16" t="s">
        <v>675</v>
      </c>
      <c r="D17" s="73">
        <f>'WP B.5 B'!P17</f>
        <v>-47285</v>
      </c>
      <c r="E17" s="478">
        <f>$E$13</f>
        <v>1</v>
      </c>
      <c r="F17" s="478">
        <f>$E$13</f>
        <v>1</v>
      </c>
      <c r="G17" s="73">
        <f>D17*E17*F17</f>
        <v>-47285</v>
      </c>
      <c r="H17" s="77"/>
      <c r="I17" s="73">
        <f>'WP B.5 B'!Q17</f>
        <v>-29053.76923076923</v>
      </c>
      <c r="J17" s="478">
        <f>$E$13</f>
        <v>1</v>
      </c>
      <c r="K17" s="478">
        <f>$E$13</f>
        <v>1</v>
      </c>
      <c r="L17" s="73">
        <f>I17*J17*K17</f>
        <v>-29053.76923076923</v>
      </c>
    </row>
    <row r="18" spans="1:17" ht="14.25" customHeight="1">
      <c r="A18" s="2">
        <v>6</v>
      </c>
      <c r="B18" s="374"/>
      <c r="C18" s="4"/>
      <c r="D18" s="77"/>
      <c r="E18" s="21"/>
      <c r="F18" s="21"/>
      <c r="G18" s="77"/>
      <c r="H18" s="77"/>
      <c r="I18" s="77"/>
      <c r="J18" s="76"/>
      <c r="K18" s="76"/>
      <c r="L18" s="77"/>
    </row>
    <row r="19" spans="1:17">
      <c r="A19" s="2">
        <v>7</v>
      </c>
      <c r="C19" s="22" t="s">
        <v>31</v>
      </c>
      <c r="D19" s="575">
        <f>SUM(D13:D17)</f>
        <v>-71977967.454682797</v>
      </c>
      <c r="E19" s="21"/>
      <c r="F19" s="21"/>
      <c r="G19" s="575">
        <f>SUM(G13:G17)</f>
        <v>-71977967.454682797</v>
      </c>
      <c r="I19" s="575">
        <f>SUM(I13:I17)</f>
        <v>-63819756.788691923</v>
      </c>
      <c r="J19" s="221"/>
      <c r="K19" s="221"/>
      <c r="L19" s="575">
        <f>SUM(L13:L17)</f>
        <v>-63819756.788691923</v>
      </c>
    </row>
    <row r="20" spans="1:17" ht="14.25" customHeight="1">
      <c r="A20" s="2">
        <v>8</v>
      </c>
      <c r="B20" s="374"/>
      <c r="C20" s="4"/>
      <c r="D20" s="77"/>
      <c r="E20" s="21"/>
      <c r="F20" s="21"/>
      <c r="G20" s="77"/>
      <c r="H20" s="77"/>
      <c r="I20" s="77"/>
      <c r="J20" s="76"/>
      <c r="K20" s="76"/>
      <c r="L20" s="77"/>
    </row>
    <row r="21" spans="1:17" ht="15.75">
      <c r="A21" s="2">
        <v>9</v>
      </c>
      <c r="B21" s="12" t="s">
        <v>214</v>
      </c>
    </row>
    <row r="22" spans="1:17">
      <c r="A22" s="2">
        <v>10</v>
      </c>
      <c r="C22" s="16" t="s">
        <v>673</v>
      </c>
      <c r="D22" s="306">
        <f>'WP B.5 B'!P22</f>
        <v>437021385</v>
      </c>
      <c r="E22" s="399">
        <f>Allocation!G14</f>
        <v>0.104</v>
      </c>
      <c r="F22" s="399">
        <f>Allocation!H14</f>
        <v>0.49780000000000002</v>
      </c>
      <c r="G22" s="306">
        <f>D22*E22*F22</f>
        <v>22625121.527112</v>
      </c>
      <c r="H22" s="77"/>
      <c r="I22" s="306">
        <f>'WP B.5 B'!Q22</f>
        <v>453425661.69230771</v>
      </c>
      <c r="J22" s="423">
        <f>E22</f>
        <v>0.104</v>
      </c>
      <c r="K22" s="423">
        <f>F22</f>
        <v>0.49780000000000002</v>
      </c>
      <c r="L22" s="306">
        <f>I22*J22*K22</f>
        <v>23474390.616604801</v>
      </c>
      <c r="P22" s="818">
        <f>E22*F22</f>
        <v>5.1771199999999996E-2</v>
      </c>
      <c r="Q22" s="818">
        <f>J22*K22</f>
        <v>5.1771199999999996E-2</v>
      </c>
    </row>
    <row r="23" spans="1:17" ht="14.25" customHeight="1">
      <c r="A23" s="2">
        <v>11</v>
      </c>
      <c r="B23" s="374"/>
      <c r="C23" s="4"/>
      <c r="D23" s="77"/>
      <c r="E23" s="21"/>
      <c r="F23" s="21"/>
      <c r="G23" s="77"/>
      <c r="H23" s="77"/>
      <c r="I23" s="77"/>
      <c r="J23" s="76"/>
      <c r="K23" s="76"/>
      <c r="L23" s="77"/>
      <c r="P23" s="818"/>
      <c r="Q23" s="819"/>
    </row>
    <row r="24" spans="1:17">
      <c r="A24" s="2">
        <v>12</v>
      </c>
      <c r="C24" s="16" t="s">
        <v>674</v>
      </c>
      <c r="D24" s="73">
        <f>'WP B.5 B'!P24</f>
        <v>-18970283.831520461</v>
      </c>
      <c r="E24" s="399">
        <f>$E$22</f>
        <v>0.104</v>
      </c>
      <c r="F24" s="399">
        <f>$F$22</f>
        <v>0.49780000000000002</v>
      </c>
      <c r="G24" s="73">
        <f>D24*E24*F24</f>
        <v>-982114.35829841206</v>
      </c>
      <c r="H24" s="77"/>
      <c r="I24" s="73">
        <f>'WP B.5 B'!Q24</f>
        <v>-18034767.147787075</v>
      </c>
      <c r="J24" s="423">
        <f>E24</f>
        <v>0.104</v>
      </c>
      <c r="K24" s="423">
        <f>F24</f>
        <v>0.49780000000000002</v>
      </c>
      <c r="L24" s="73">
        <f>I24*J24*K24</f>
        <v>-933681.53696151427</v>
      </c>
      <c r="P24" s="818">
        <f>E24*F24</f>
        <v>5.1771199999999996E-2</v>
      </c>
      <c r="Q24" s="818">
        <f>J24*K24</f>
        <v>5.1771199999999996E-2</v>
      </c>
    </row>
    <row r="25" spans="1:17" ht="14.25" customHeight="1">
      <c r="A25" s="2">
        <v>13</v>
      </c>
      <c r="B25" s="374"/>
      <c r="C25" s="4"/>
      <c r="D25" s="77"/>
      <c r="E25" s="21"/>
      <c r="F25" s="21"/>
      <c r="G25" s="77"/>
      <c r="H25" s="77"/>
      <c r="I25" s="77"/>
      <c r="J25" s="76"/>
      <c r="K25" s="76"/>
      <c r="L25" s="77"/>
      <c r="P25" s="818"/>
      <c r="Q25" s="819"/>
    </row>
    <row r="26" spans="1:17">
      <c r="A26" s="2">
        <v>14</v>
      </c>
      <c r="C26" s="16" t="s">
        <v>675</v>
      </c>
      <c r="D26" s="73">
        <f>'WP B.5 B'!P26</f>
        <v>24564903.601925977</v>
      </c>
      <c r="E26" s="399">
        <f>$E$22</f>
        <v>0.104</v>
      </c>
      <c r="F26" s="399">
        <f>$F$22</f>
        <v>0.49780000000000002</v>
      </c>
      <c r="G26" s="73">
        <f>D26*E26*F26</f>
        <v>1271754.5373560302</v>
      </c>
      <c r="H26" s="77"/>
      <c r="I26" s="73">
        <f>'WP B.5 B'!Q26</f>
        <v>24541784.132492598</v>
      </c>
      <c r="J26" s="423">
        <f>E26</f>
        <v>0.104</v>
      </c>
      <c r="K26" s="423">
        <f>F26</f>
        <v>0.49780000000000002</v>
      </c>
      <c r="L26" s="73">
        <f>I26*J26*K26</f>
        <v>1270557.6146801009</v>
      </c>
      <c r="P26" s="818">
        <f>E26*F26</f>
        <v>5.1771199999999996E-2</v>
      </c>
      <c r="Q26" s="818">
        <f>J26*K26</f>
        <v>5.1771199999999996E-2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1"/>
      <c r="K27" s="481"/>
      <c r="L27" s="73"/>
      <c r="P27" s="819"/>
      <c r="Q27" s="819"/>
    </row>
    <row r="28" spans="1:17">
      <c r="A28" s="2">
        <v>16</v>
      </c>
      <c r="C28" s="22" t="s">
        <v>68</v>
      </c>
      <c r="D28" s="575">
        <f>SUM(D22:D26)</f>
        <v>442616004.77040553</v>
      </c>
      <c r="E28" s="21"/>
      <c r="F28" s="21"/>
      <c r="G28" s="575">
        <f>SUM(G22:G26)</f>
        <v>22914761.706169616</v>
      </c>
      <c r="I28" s="575">
        <f>SUM(I22:I26)</f>
        <v>459932678.67701322</v>
      </c>
      <c r="J28" s="76"/>
      <c r="K28" s="76"/>
      <c r="L28" s="575">
        <f>SUM(L22:L26)</f>
        <v>23811266.694323387</v>
      </c>
      <c r="P28" s="819"/>
      <c r="Q28" s="819"/>
    </row>
    <row r="29" spans="1:17" ht="15.75">
      <c r="A29" s="2">
        <v>17</v>
      </c>
      <c r="B29" s="12" t="s">
        <v>1116</v>
      </c>
      <c r="P29" s="819"/>
      <c r="Q29" s="819"/>
    </row>
    <row r="30" spans="1:17">
      <c r="A30" s="2">
        <v>18</v>
      </c>
      <c r="C30" s="16" t="s">
        <v>673</v>
      </c>
      <c r="D30" s="306">
        <f>'WP B.5 B'!P30</f>
        <v>68526</v>
      </c>
      <c r="E30" s="399">
        <f>Allocation!G15</f>
        <v>0.1095</v>
      </c>
      <c r="F30" s="399">
        <f>Allocation!H15</f>
        <v>0.51517972406888612</v>
      </c>
      <c r="G30" s="306">
        <f>D30*E30*F30</f>
        <v>3865.7010319841215</v>
      </c>
      <c r="H30" s="77"/>
      <c r="I30" s="306">
        <f>'WP B.5 B'!Q30</f>
        <v>40821</v>
      </c>
      <c r="J30" s="423">
        <f>E30</f>
        <v>0.1095</v>
      </c>
      <c r="K30" s="423">
        <f>F30</f>
        <v>0.51517972406888612</v>
      </c>
      <c r="L30" s="306">
        <f>I30*J30*K30</f>
        <v>2302.8015910256522</v>
      </c>
      <c r="P30" s="818">
        <f>E30*F30</f>
        <v>5.6412179785543033E-2</v>
      </c>
      <c r="Q30" s="818">
        <f>J30*K30</f>
        <v>5.6412179785543033E-2</v>
      </c>
    </row>
    <row r="31" spans="1:17">
      <c r="A31" s="2">
        <v>19</v>
      </c>
      <c r="D31" s="73"/>
      <c r="E31" s="21"/>
      <c r="F31" s="21"/>
      <c r="G31" s="73"/>
      <c r="H31" s="77"/>
      <c r="I31" s="73"/>
      <c r="J31" s="481"/>
      <c r="K31" s="481"/>
      <c r="L31" s="73"/>
      <c r="P31" s="818"/>
      <c r="Q31" s="819"/>
    </row>
    <row r="32" spans="1:17">
      <c r="A32" s="2">
        <v>20</v>
      </c>
      <c r="C32" s="16" t="s">
        <v>674</v>
      </c>
      <c r="D32" s="73">
        <f>'WP B.5 B'!P32</f>
        <v>-16037375.511528807</v>
      </c>
      <c r="E32" s="399">
        <f>$E$30</f>
        <v>0.1095</v>
      </c>
      <c r="F32" s="399">
        <f>$F$30</f>
        <v>0.51517972406888612</v>
      </c>
      <c r="G32" s="73">
        <f>D32*E32*F32</f>
        <v>-904703.31064462825</v>
      </c>
      <c r="H32" s="77"/>
      <c r="I32" s="73">
        <f>'WP B.5 B'!Q32</f>
        <v>-16714664.486796411</v>
      </c>
      <c r="J32" s="423">
        <f>E32</f>
        <v>0.1095</v>
      </c>
      <c r="K32" s="423">
        <f>F32</f>
        <v>0.51517972406888612</v>
      </c>
      <c r="L32" s="73">
        <f>I32*J32*K32</f>
        <v>-942910.65808419045</v>
      </c>
      <c r="P32" s="818">
        <f>E32*F32</f>
        <v>5.6412179785543033E-2</v>
      </c>
      <c r="Q32" s="818">
        <f>J32*K32</f>
        <v>5.6412179785543033E-2</v>
      </c>
    </row>
    <row r="33" spans="1:17">
      <c r="A33" s="2">
        <v>21</v>
      </c>
      <c r="B33" s="374"/>
      <c r="C33" s="4"/>
      <c r="D33" s="77"/>
      <c r="E33" s="21"/>
      <c r="F33" s="21"/>
      <c r="G33" s="77"/>
      <c r="H33" s="77"/>
      <c r="I33" s="77"/>
      <c r="J33" s="76"/>
      <c r="K33" s="76"/>
      <c r="L33" s="77"/>
      <c r="P33" s="818"/>
      <c r="Q33" s="819"/>
    </row>
    <row r="34" spans="1:17">
      <c r="A34" s="2">
        <v>22</v>
      </c>
      <c r="C34" s="16" t="s">
        <v>675</v>
      </c>
      <c r="D34" s="73">
        <f>'WP B.5 B'!P34</f>
        <v>0</v>
      </c>
      <c r="E34" s="399">
        <f>$E$30</f>
        <v>0.1095</v>
      </c>
      <c r="F34" s="399">
        <f>$F$30</f>
        <v>0.51517972406888612</v>
      </c>
      <c r="G34" s="73">
        <f>D34*E34*F34</f>
        <v>0</v>
      </c>
      <c r="H34" s="77"/>
      <c r="I34" s="73">
        <f>'WP B.5 B'!Q34</f>
        <v>0</v>
      </c>
      <c r="J34" s="423">
        <f>E34</f>
        <v>0.1095</v>
      </c>
      <c r="K34" s="423">
        <f>F34</f>
        <v>0.51517972406888612</v>
      </c>
      <c r="L34" s="73">
        <f>I34*J34*K34</f>
        <v>0</v>
      </c>
      <c r="P34" s="818">
        <f>E34*F34</f>
        <v>5.6412179785543033E-2</v>
      </c>
      <c r="Q34" s="818">
        <f>J34*K34</f>
        <v>5.6412179785543033E-2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1"/>
      <c r="K35" s="481"/>
      <c r="L35" s="73"/>
      <c r="P35" s="819"/>
      <c r="Q35" s="819"/>
    </row>
    <row r="36" spans="1:17">
      <c r="A36" s="2">
        <v>24</v>
      </c>
      <c r="C36" s="22" t="s">
        <v>718</v>
      </c>
      <c r="D36" s="575">
        <f>SUM(D30:D34)</f>
        <v>-15968849.511528807</v>
      </c>
      <c r="E36" s="21"/>
      <c r="F36" s="21"/>
      <c r="G36" s="575">
        <f>SUM(G30:G34)</f>
        <v>-900837.60961264407</v>
      </c>
      <c r="I36" s="575">
        <f>SUM(I30:I34)</f>
        <v>-16673843.486796411</v>
      </c>
      <c r="J36" s="76"/>
      <c r="K36" s="76"/>
      <c r="L36" s="575">
        <f>SUM(L30:L34)</f>
        <v>-940607.85649316479</v>
      </c>
      <c r="P36" s="819"/>
      <c r="Q36" s="819"/>
    </row>
    <row r="37" spans="1:17" ht="15.75">
      <c r="A37" s="2">
        <v>25</v>
      </c>
      <c r="B37" s="12" t="s">
        <v>676</v>
      </c>
      <c r="P37" s="819"/>
      <c r="Q37" s="819"/>
    </row>
    <row r="38" spans="1:17" ht="15.75">
      <c r="A38" s="2">
        <v>26</v>
      </c>
      <c r="B38" s="12"/>
      <c r="P38" s="819"/>
      <c r="Q38" s="819"/>
    </row>
    <row r="39" spans="1:17">
      <c r="A39" s="2">
        <v>27</v>
      </c>
      <c r="C39" s="16" t="s">
        <v>673</v>
      </c>
      <c r="D39" s="306">
        <f>'WP B.5 B'!P39</f>
        <v>1746795</v>
      </c>
      <c r="E39" s="479">
        <v>1</v>
      </c>
      <c r="F39" s="399">
        <f>Allocation!H17</f>
        <v>0.49780000000000002</v>
      </c>
      <c r="G39" s="306">
        <f>D39*$E$39*F39</f>
        <v>869554.55099999998</v>
      </c>
      <c r="H39" s="77"/>
      <c r="I39" s="306">
        <f>'WP B.5 B'!Q39</f>
        <v>1631264.3076923077</v>
      </c>
      <c r="J39" s="479">
        <f>E39</f>
        <v>1</v>
      </c>
      <c r="K39" s="399">
        <f>F39</f>
        <v>0.49780000000000002</v>
      </c>
      <c r="L39" s="306">
        <f>I39*$E$39*K39</f>
        <v>812043.37236923084</v>
      </c>
      <c r="P39" s="818">
        <f>E39*F39</f>
        <v>0.49780000000000002</v>
      </c>
      <c r="Q39" s="818">
        <f>J39*K39</f>
        <v>0.49780000000000002</v>
      </c>
    </row>
    <row r="40" spans="1:17">
      <c r="A40" s="2">
        <v>28</v>
      </c>
      <c r="D40" s="73"/>
      <c r="E40" s="21"/>
      <c r="F40" s="21"/>
      <c r="G40" s="73"/>
      <c r="H40" s="77"/>
      <c r="I40" s="73"/>
      <c r="J40" s="481"/>
      <c r="K40" s="481"/>
      <c r="L40" s="73"/>
      <c r="P40" s="818"/>
      <c r="Q40" s="819"/>
    </row>
    <row r="41" spans="1:17">
      <c r="A41" s="2">
        <v>29</v>
      </c>
      <c r="C41" s="16" t="s">
        <v>439</v>
      </c>
      <c r="D41" s="73">
        <f>'WP B.5 B'!P45</f>
        <v>0</v>
      </c>
      <c r="E41" s="479">
        <f>$E$39</f>
        <v>1</v>
      </c>
      <c r="F41" s="399">
        <f>$F$39</f>
        <v>0.49780000000000002</v>
      </c>
      <c r="G41" s="73">
        <f>D41*E41*F41</f>
        <v>0</v>
      </c>
      <c r="H41" s="77"/>
      <c r="I41" s="73">
        <f>'WP B.5 B'!Q45</f>
        <v>0</v>
      </c>
      <c r="J41" s="479">
        <f>E41</f>
        <v>1</v>
      </c>
      <c r="K41" s="399">
        <f>F41</f>
        <v>0.49780000000000002</v>
      </c>
      <c r="L41" s="73">
        <f>I41*J41*K41</f>
        <v>0</v>
      </c>
      <c r="P41" s="818">
        <f>E41*F41</f>
        <v>0.49780000000000002</v>
      </c>
      <c r="Q41" s="818">
        <f>J41*K41</f>
        <v>0.49780000000000002</v>
      </c>
    </row>
    <row r="42" spans="1:17">
      <c r="A42" s="2">
        <v>30</v>
      </c>
      <c r="D42" s="73"/>
      <c r="E42" s="21"/>
      <c r="F42" s="21"/>
      <c r="G42" s="73"/>
      <c r="H42" s="77"/>
      <c r="I42" s="73"/>
      <c r="J42" s="481"/>
      <c r="K42" s="481"/>
      <c r="L42" s="73"/>
      <c r="P42" s="818"/>
      <c r="Q42" s="819"/>
    </row>
    <row r="43" spans="1:17">
      <c r="A43" s="2">
        <v>31</v>
      </c>
      <c r="C43" s="16" t="s">
        <v>674</v>
      </c>
      <c r="D43" s="73">
        <f>'WP B.5 B'!P41</f>
        <v>-745482.58660658298</v>
      </c>
      <c r="E43" s="479">
        <f>$E$39</f>
        <v>1</v>
      </c>
      <c r="F43" s="399">
        <f>$F$39</f>
        <v>0.49780000000000002</v>
      </c>
      <c r="G43" s="73">
        <f>D43*$E$39*F43</f>
        <v>-371101.23161275702</v>
      </c>
      <c r="H43" s="77"/>
      <c r="I43" s="73">
        <f>'WP B.5 B'!Q41</f>
        <v>-1506488.4755507275</v>
      </c>
      <c r="J43" s="479">
        <f>E43</f>
        <v>1</v>
      </c>
      <c r="K43" s="399">
        <f>F43</f>
        <v>0.49780000000000002</v>
      </c>
      <c r="L43" s="73">
        <f>I43*$E$39*K43</f>
        <v>-749929.96312915219</v>
      </c>
      <c r="P43" s="818">
        <f>E43*F43</f>
        <v>0.49780000000000002</v>
      </c>
      <c r="Q43" s="818">
        <f>J43*K43</f>
        <v>0.49780000000000002</v>
      </c>
    </row>
    <row r="44" spans="1:17">
      <c r="A44" s="2">
        <v>32</v>
      </c>
      <c r="D44" s="73"/>
      <c r="E44" s="21"/>
      <c r="F44" s="21"/>
      <c r="G44" s="73"/>
      <c r="H44" s="77"/>
      <c r="I44" s="73"/>
      <c r="J44" s="481"/>
      <c r="K44" s="481"/>
      <c r="L44" s="73"/>
      <c r="P44" s="819"/>
      <c r="Q44" s="819"/>
    </row>
    <row r="45" spans="1:17">
      <c r="A45" s="2">
        <v>33</v>
      </c>
      <c r="C45" s="16" t="s">
        <v>675</v>
      </c>
      <c r="D45" s="73">
        <f>'WP B.5 B'!P43</f>
        <v>-886040</v>
      </c>
      <c r="E45" s="479">
        <f>$E$39</f>
        <v>1</v>
      </c>
      <c r="F45" s="399">
        <f>$F$39</f>
        <v>0.49780000000000002</v>
      </c>
      <c r="G45" s="73">
        <f>D45*$E$39*F45</f>
        <v>-441070.712</v>
      </c>
      <c r="H45" s="77"/>
      <c r="I45" s="73">
        <f>'WP B.5 B'!Q43</f>
        <v>-879122.69230769225</v>
      </c>
      <c r="J45" s="479">
        <f>E45</f>
        <v>1</v>
      </c>
      <c r="K45" s="399">
        <f>F45</f>
        <v>0.49780000000000002</v>
      </c>
      <c r="L45" s="73">
        <f>I45*$E$39*K45</f>
        <v>-437627.27623076923</v>
      </c>
      <c r="P45" s="818">
        <f>E45*F45</f>
        <v>0.49780000000000002</v>
      </c>
      <c r="Q45" s="818">
        <f>J45*K45</f>
        <v>0.49780000000000002</v>
      </c>
    </row>
    <row r="46" spans="1:17">
      <c r="A46" s="2">
        <v>34</v>
      </c>
      <c r="D46" s="73"/>
      <c r="E46" s="21"/>
      <c r="F46" s="21"/>
      <c r="G46" s="73"/>
      <c r="H46" s="77"/>
      <c r="I46" s="73"/>
      <c r="J46" s="481"/>
      <c r="K46" s="481"/>
      <c r="L46" s="73"/>
    </row>
    <row r="47" spans="1:17">
      <c r="A47" s="2">
        <v>35</v>
      </c>
      <c r="C47" s="22" t="s">
        <v>438</v>
      </c>
      <c r="D47" s="575">
        <f>SUM(D39:D45)</f>
        <v>115272.41339341702</v>
      </c>
      <c r="E47" s="21"/>
      <c r="F47" s="21"/>
      <c r="G47" s="575">
        <f>SUM(G39:G45)</f>
        <v>57382.607387242955</v>
      </c>
      <c r="I47" s="575">
        <f>SUM(I39:I45)</f>
        <v>-754346.86016611196</v>
      </c>
      <c r="J47" s="76"/>
      <c r="K47" s="76"/>
      <c r="L47" s="575">
        <f>SUM(L39:L45)</f>
        <v>-375513.86699069059</v>
      </c>
    </row>
    <row r="48" spans="1:17">
      <c r="A48" s="2">
        <v>36</v>
      </c>
    </row>
    <row r="49" spans="1:12" ht="16.5" thickBot="1">
      <c r="A49" s="2">
        <v>37</v>
      </c>
      <c r="B49" s="35"/>
      <c r="C49" s="515" t="s">
        <v>720</v>
      </c>
      <c r="D49" s="330">
        <f>D47+D36+D28+D19</f>
        <v>354784460.21758735</v>
      </c>
      <c r="G49" s="330">
        <f>G47+G36+G28+G19</f>
        <v>-49906660.750738584</v>
      </c>
      <c r="I49" s="330">
        <f>I47+I36+I28+I19</f>
        <v>378684731.54135877</v>
      </c>
      <c r="L49" s="330">
        <f>L47+L36+L28+L19</f>
        <v>-41324611.817852393</v>
      </c>
    </row>
    <row r="50" spans="1:12" ht="15.75" thickTop="1">
      <c r="A50" s="35"/>
      <c r="B50" s="35"/>
    </row>
    <row r="51" spans="1:12">
      <c r="A51" s="35"/>
      <c r="B51" s="35"/>
    </row>
    <row r="52" spans="1:12">
      <c r="A52" s="35"/>
      <c r="B52" s="35"/>
    </row>
    <row r="53" spans="1:12">
      <c r="A53" s="35"/>
      <c r="B53" s="35"/>
    </row>
    <row r="54" spans="1:12">
      <c r="A54" s="35"/>
      <c r="B54" s="35"/>
      <c r="E54" s="376"/>
    </row>
    <row r="55" spans="1:12">
      <c r="A55" s="35"/>
      <c r="B55" s="35"/>
    </row>
    <row r="56" spans="1:12">
      <c r="A56" s="35"/>
    </row>
    <row r="57" spans="1:12">
      <c r="A57" s="35"/>
      <c r="B57" s="35"/>
    </row>
    <row r="58" spans="1:12">
      <c r="A58" s="35"/>
      <c r="B58" s="35"/>
    </row>
    <row r="59" spans="1:12">
      <c r="A59" s="35"/>
      <c r="B59" s="35"/>
    </row>
    <row r="60" spans="1:12">
      <c r="A60" s="35"/>
      <c r="B60" s="35"/>
    </row>
    <row r="61" spans="1:12">
      <c r="A61" s="35"/>
      <c r="B61" s="35"/>
    </row>
    <row r="62" spans="1:12">
      <c r="A62" s="35"/>
      <c r="B62" s="35"/>
    </row>
    <row r="63" spans="1:12">
      <c r="A63" s="35"/>
      <c r="B63" s="35"/>
    </row>
    <row r="64" spans="1:12">
      <c r="A64" s="35"/>
      <c r="B64" s="35"/>
    </row>
    <row r="65" spans="1:2">
      <c r="A65" s="35"/>
      <c r="B65" s="35"/>
    </row>
    <row r="66" spans="1:2">
      <c r="A66" s="35"/>
      <c r="B66" s="35"/>
    </row>
    <row r="67" spans="1:2">
      <c r="A67" s="35"/>
      <c r="B67" s="35"/>
    </row>
    <row r="68" spans="1:2">
      <c r="A68" s="35"/>
      <c r="B68" s="35"/>
    </row>
    <row r="69" spans="1:2">
      <c r="A69" s="35"/>
      <c r="B69" s="35"/>
    </row>
    <row r="70" spans="1:2">
      <c r="A70" s="35"/>
      <c r="B70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5" top="0.75" bottom="0.3" header="0.5" footer="0.17"/>
  <pageSetup scale="61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1"/>
  <sheetViews>
    <sheetView topLeftCell="A7" zoomScale="90" zoomScaleNormal="90" workbookViewId="0">
      <selection activeCell="H32" sqref="H32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195" t="str">
        <f>'Table of Contents'!A1:C1</f>
        <v>Atmos Energy Corporation, Kentucky/Mid-States Division</v>
      </c>
      <c r="B1" s="1195"/>
      <c r="C1" s="1195"/>
      <c r="D1" s="1195"/>
      <c r="E1" s="1195"/>
      <c r="F1" s="1195"/>
      <c r="G1" s="1195"/>
      <c r="H1" s="1195"/>
      <c r="I1" s="1195"/>
    </row>
    <row r="2" spans="1:10">
      <c r="A2" s="1195" t="str">
        <f>'Table of Contents'!A2:C2</f>
        <v>Kentucky Jurisdiction Case No. 2018-00281</v>
      </c>
      <c r="B2" s="1195"/>
      <c r="C2" s="1195"/>
      <c r="D2" s="1195"/>
      <c r="E2" s="1195"/>
      <c r="F2" s="1195"/>
      <c r="G2" s="1195"/>
      <c r="H2" s="1195"/>
      <c r="I2" s="1195"/>
    </row>
    <row r="3" spans="1:10">
      <c r="A3" s="1195" t="str">
        <f>'Table of Contents'!A3:C3</f>
        <v>Base Period: Twelve Months Ended December 31, 2018</v>
      </c>
      <c r="B3" s="1195"/>
      <c r="C3" s="1195"/>
      <c r="D3" s="1195"/>
      <c r="E3" s="1195"/>
      <c r="F3" s="1195"/>
      <c r="G3" s="1195"/>
      <c r="H3" s="1195"/>
      <c r="I3" s="1195"/>
    </row>
    <row r="4" spans="1:10">
      <c r="A4" s="1195" t="str">
        <f>'Table of Contents'!A4:C4</f>
        <v>Forecasted Test Period: Twelve Months Ended March 31, 2020</v>
      </c>
      <c r="B4" s="1195"/>
      <c r="C4" s="1195"/>
      <c r="D4" s="1195"/>
      <c r="E4" s="1195"/>
      <c r="F4" s="1195"/>
      <c r="G4" s="1195"/>
      <c r="H4" s="1195"/>
      <c r="I4" s="1195"/>
    </row>
    <row r="6" spans="1:10" ht="15.75">
      <c r="A6" s="1198" t="s">
        <v>1216</v>
      </c>
      <c r="B6" s="1198"/>
      <c r="C6" s="1198"/>
      <c r="D6" s="1198"/>
      <c r="E6" s="1198"/>
      <c r="F6" s="1198"/>
      <c r="G6" s="1198"/>
      <c r="H6" s="1198"/>
      <c r="I6" s="1198"/>
    </row>
    <row r="7" spans="1:10" ht="15.75">
      <c r="A7" s="603"/>
      <c r="B7" s="603"/>
      <c r="C7" s="603"/>
      <c r="D7" s="603"/>
      <c r="E7" s="603"/>
      <c r="F7" s="603"/>
      <c r="G7" s="603"/>
      <c r="H7" s="603"/>
      <c r="I7" s="603"/>
    </row>
    <row r="8" spans="1:10">
      <c r="C8" s="52"/>
      <c r="D8" s="604" t="s">
        <v>1217</v>
      </c>
      <c r="E8" s="52"/>
      <c r="G8" s="95"/>
      <c r="H8" s="604" t="s">
        <v>324</v>
      </c>
      <c r="I8" s="95"/>
    </row>
    <row r="9" spans="1:10">
      <c r="C9" s="318" t="s">
        <v>1218</v>
      </c>
      <c r="D9" s="318" t="s">
        <v>196</v>
      </c>
      <c r="E9" s="53" t="s">
        <v>11</v>
      </c>
      <c r="F9" s="602"/>
      <c r="G9" s="318" t="s">
        <v>1218</v>
      </c>
      <c r="H9" s="318" t="s">
        <v>196</v>
      </c>
      <c r="I9" s="602" t="s">
        <v>11</v>
      </c>
    </row>
    <row r="10" spans="1:10">
      <c r="A10" s="52" t="s">
        <v>204</v>
      </c>
      <c r="B10" s="58" t="s">
        <v>985</v>
      </c>
      <c r="C10" s="317" t="s">
        <v>155</v>
      </c>
      <c r="D10" s="58" t="s">
        <v>594</v>
      </c>
      <c r="E10" s="58" t="s">
        <v>1144</v>
      </c>
      <c r="F10" s="64"/>
      <c r="G10" s="317" t="s">
        <v>155</v>
      </c>
      <c r="H10" s="58" t="s">
        <v>594</v>
      </c>
      <c r="I10" s="58" t="s">
        <v>1144</v>
      </c>
    </row>
    <row r="11" spans="1:10">
      <c r="A11" s="57"/>
      <c r="B11" s="57"/>
      <c r="C11" s="318"/>
      <c r="D11" s="318"/>
    </row>
    <row r="12" spans="1:10" ht="15.75">
      <c r="A12" s="57"/>
      <c r="B12" s="385" t="s">
        <v>1142</v>
      </c>
      <c r="C12" s="318"/>
      <c r="D12" s="318"/>
    </row>
    <row r="13" spans="1:10" ht="15.75">
      <c r="A13" s="53">
        <v>1</v>
      </c>
      <c r="B13" s="161" t="s">
        <v>199</v>
      </c>
      <c r="I13" s="325"/>
    </row>
    <row r="14" spans="1:10">
      <c r="A14" s="53">
        <f>A13+1</f>
        <v>2</v>
      </c>
      <c r="B14" s="384" t="s">
        <v>201</v>
      </c>
      <c r="C14" s="723">
        <f>'[1]3-Factor Composite FY18'!$I$19</f>
        <v>0.104</v>
      </c>
      <c r="D14" s="723">
        <f>'[1]Mid States FY18'!$O$10</f>
        <v>0.49780000000000002</v>
      </c>
      <c r="E14" s="325">
        <f>C14*D14</f>
        <v>5.1771199999999996E-2</v>
      </c>
      <c r="F14" s="325"/>
      <c r="G14" s="723">
        <f>'[1]3-Factor Composite FY18'!$I$19</f>
        <v>0.104</v>
      </c>
      <c r="H14" s="723">
        <f>'[1]Mid States FY18'!$O$10</f>
        <v>0.49780000000000002</v>
      </c>
      <c r="I14" s="325">
        <f>G14*H14</f>
        <v>5.1771199999999996E-2</v>
      </c>
      <c r="J14" s="592"/>
    </row>
    <row r="15" spans="1:10">
      <c r="A15" s="602">
        <f t="shared" ref="A15:A31" si="0">A14+1</f>
        <v>3</v>
      </c>
      <c r="B15" s="384" t="s">
        <v>202</v>
      </c>
      <c r="C15" s="723">
        <f>'[1]3-Factor Composite FY18'!$I$16</f>
        <v>0.1095</v>
      </c>
      <c r="D15" s="723">
        <f>'[1]Mid States FY18'!$H$10/100</f>
        <v>0.51517972406888612</v>
      </c>
      <c r="E15" s="325">
        <f>C15*D15</f>
        <v>5.6412179785543033E-2</v>
      </c>
      <c r="F15" s="325"/>
      <c r="G15" s="723">
        <f>'[1]3-Factor Composite FY18'!$I$16</f>
        <v>0.1095</v>
      </c>
      <c r="H15" s="723">
        <f>'[1]Mid States FY18'!$H$10/100</f>
        <v>0.51517972406888612</v>
      </c>
      <c r="I15" s="325">
        <f>G15*H15</f>
        <v>5.6412179785543033E-2</v>
      </c>
      <c r="J15" s="592"/>
    </row>
    <row r="16" spans="1:10" ht="15.75">
      <c r="A16" s="602">
        <f t="shared" si="0"/>
        <v>4</v>
      </c>
      <c r="B16" s="161" t="s">
        <v>200</v>
      </c>
      <c r="C16" s="53"/>
      <c r="D16" s="795"/>
      <c r="E16" s="325"/>
      <c r="F16" s="325"/>
      <c r="G16" s="602"/>
      <c r="H16" s="602"/>
      <c r="I16" s="325"/>
    </row>
    <row r="17" spans="1:10">
      <c r="A17" s="602">
        <f t="shared" si="0"/>
        <v>5</v>
      </c>
      <c r="B17" s="384" t="s">
        <v>203</v>
      </c>
      <c r="C17" s="337">
        <v>1</v>
      </c>
      <c r="D17" s="723">
        <f>'[1]Mid States FY18'!$O$10</f>
        <v>0.49780000000000002</v>
      </c>
      <c r="E17" s="325">
        <f>C17*D17</f>
        <v>0.49780000000000002</v>
      </c>
      <c r="F17" s="325"/>
      <c r="G17" s="337">
        <v>1</v>
      </c>
      <c r="H17" s="723">
        <f>'[1]Mid States FY18'!$O$10</f>
        <v>0.49780000000000002</v>
      </c>
      <c r="I17" s="325">
        <f>G17*H17</f>
        <v>0.49780000000000002</v>
      </c>
      <c r="J17" s="592"/>
    </row>
    <row r="18" spans="1:10">
      <c r="A18" s="602">
        <f t="shared" si="0"/>
        <v>6</v>
      </c>
      <c r="C18" s="53"/>
      <c r="D18" s="53"/>
      <c r="E18" s="53"/>
      <c r="F18" s="602"/>
      <c r="G18" s="602"/>
      <c r="H18" s="602"/>
      <c r="I18" s="602"/>
    </row>
    <row r="19" spans="1:10">
      <c r="A19" s="710">
        <f t="shared" si="0"/>
        <v>7</v>
      </c>
      <c r="B19" s="384"/>
      <c r="C19" s="53"/>
      <c r="D19" s="53"/>
      <c r="E19" s="53"/>
      <c r="F19" s="602"/>
      <c r="G19" s="602"/>
      <c r="H19" s="602"/>
      <c r="I19" s="602"/>
    </row>
    <row r="20" spans="1:10" ht="15.75">
      <c r="A20" s="602">
        <f t="shared" si="0"/>
        <v>8</v>
      </c>
      <c r="B20" s="605" t="s">
        <v>1220</v>
      </c>
      <c r="C20" s="602"/>
      <c r="D20" s="602"/>
      <c r="E20" s="723">
        <f>[2]Greenville!$J$24</f>
        <v>1.570628E-2</v>
      </c>
      <c r="F20" s="602"/>
      <c r="G20" s="602"/>
      <c r="H20" s="602"/>
      <c r="I20" s="325">
        <f>E20</f>
        <v>1.570628E-2</v>
      </c>
    </row>
    <row r="21" spans="1:10" ht="15.75">
      <c r="A21" s="602">
        <f t="shared" si="0"/>
        <v>9</v>
      </c>
      <c r="B21" s="605" t="s">
        <v>1219</v>
      </c>
      <c r="C21" s="602"/>
      <c r="D21" s="602"/>
      <c r="E21" s="723">
        <f>'[2]CKV Rates'!$L$20</f>
        <v>2.3186160000000001E-2</v>
      </c>
      <c r="F21" s="602"/>
      <c r="G21" s="602"/>
      <c r="H21" s="602"/>
      <c r="I21" s="325">
        <f>E21</f>
        <v>2.3186160000000001E-2</v>
      </c>
    </row>
    <row r="22" spans="1:10" s="793" customFormat="1" ht="15.75">
      <c r="A22" s="843">
        <f t="shared" si="0"/>
        <v>10</v>
      </c>
      <c r="B22" s="845" t="s">
        <v>1569</v>
      </c>
      <c r="C22" s="843"/>
      <c r="D22" s="843"/>
      <c r="E22" s="723">
        <f>'[1]Div 002 Rates (Excl APT)'!$J$38</f>
        <v>6.3622429999999994E-2</v>
      </c>
      <c r="F22" s="843"/>
      <c r="G22" s="843"/>
      <c r="H22" s="843"/>
      <c r="I22" s="325">
        <f>E22</f>
        <v>6.3622429999999994E-2</v>
      </c>
    </row>
    <row r="23" spans="1:10" s="793" customFormat="1" ht="15.75">
      <c r="A23" s="844">
        <f t="shared" si="0"/>
        <v>11</v>
      </c>
      <c r="B23" s="845" t="s">
        <v>1570</v>
      </c>
      <c r="C23" s="844"/>
      <c r="D23" s="844"/>
      <c r="E23" s="723">
        <v>0</v>
      </c>
      <c r="F23" s="844"/>
      <c r="G23" s="844"/>
      <c r="H23" s="844"/>
      <c r="I23" s="325"/>
    </row>
    <row r="24" spans="1:10">
      <c r="A24" s="844">
        <f t="shared" si="0"/>
        <v>12</v>
      </c>
      <c r="B24" s="384"/>
      <c r="C24" s="602"/>
      <c r="D24" s="602"/>
      <c r="E24" s="602"/>
      <c r="F24" s="602"/>
      <c r="G24" s="602"/>
      <c r="H24" s="602"/>
      <c r="I24" s="602"/>
    </row>
    <row r="25" spans="1:10" ht="15.75">
      <c r="A25" s="844">
        <f t="shared" si="0"/>
        <v>13</v>
      </c>
      <c r="B25" s="396" t="s">
        <v>1131</v>
      </c>
      <c r="C25" s="53"/>
      <c r="D25" s="53"/>
      <c r="E25" s="1186">
        <f>ROUND(0.05+0.21*(1-0.05),5)</f>
        <v>0.2495</v>
      </c>
      <c r="F25" s="602"/>
      <c r="G25" s="602"/>
      <c r="H25" s="602"/>
      <c r="I25" s="602"/>
      <c r="J25" s="592"/>
    </row>
    <row r="26" spans="1:10">
      <c r="A26" s="844">
        <f t="shared" si="0"/>
        <v>14</v>
      </c>
      <c r="B26" s="218"/>
      <c r="C26" s="53"/>
      <c r="D26" s="53"/>
      <c r="E26" s="324"/>
      <c r="F26" s="602"/>
      <c r="G26" s="602"/>
      <c r="H26" s="602"/>
      <c r="I26" s="602"/>
    </row>
    <row r="27" spans="1:10" ht="15.75">
      <c r="A27" s="844">
        <f t="shared" si="0"/>
        <v>15</v>
      </c>
      <c r="B27" s="396" t="s">
        <v>1358</v>
      </c>
      <c r="C27" s="53"/>
      <c r="D27" s="53"/>
      <c r="E27" s="762">
        <v>0.104</v>
      </c>
      <c r="F27" s="602"/>
      <c r="G27" s="602"/>
      <c r="H27" s="602"/>
      <c r="I27" s="602"/>
    </row>
    <row r="28" spans="1:10">
      <c r="A28" s="844">
        <f t="shared" si="0"/>
        <v>16</v>
      </c>
      <c r="B28" s="218"/>
      <c r="C28" s="53"/>
      <c r="D28" s="53"/>
      <c r="E28" s="53"/>
      <c r="F28" s="602"/>
      <c r="G28" s="602"/>
      <c r="H28" s="602"/>
      <c r="I28" s="602"/>
    </row>
    <row r="29" spans="1:10" ht="15.75">
      <c r="A29" s="844">
        <f t="shared" si="0"/>
        <v>17</v>
      </c>
      <c r="B29" s="396" t="s">
        <v>335</v>
      </c>
      <c r="C29" s="53"/>
      <c r="D29" s="53"/>
      <c r="E29" s="325">
        <f>ROUND(+'J-2 F'!L20,4)</f>
        <v>2.4E-2</v>
      </c>
      <c r="F29" s="602"/>
      <c r="G29" s="602"/>
      <c r="H29" s="602"/>
      <c r="I29" s="602"/>
    </row>
    <row r="30" spans="1:10">
      <c r="A30" s="844">
        <f t="shared" si="0"/>
        <v>18</v>
      </c>
      <c r="B30" s="218"/>
      <c r="C30" s="53"/>
      <c r="D30" s="53"/>
      <c r="E30" s="53"/>
      <c r="F30" s="602"/>
      <c r="G30" s="602"/>
      <c r="H30" s="602"/>
      <c r="I30" s="602"/>
    </row>
    <row r="31" spans="1:10" ht="15.75">
      <c r="A31" s="844">
        <f t="shared" si="0"/>
        <v>19</v>
      </c>
      <c r="B31" s="396" t="s">
        <v>336</v>
      </c>
      <c r="C31" s="53"/>
      <c r="D31" s="53"/>
      <c r="E31" s="325">
        <f>ROUND('J-3 F'!K33,4)</f>
        <v>4.7199999999999999E-2</v>
      </c>
      <c r="F31" s="325"/>
      <c r="G31" s="325"/>
      <c r="H31" s="325"/>
      <c r="I31" s="325"/>
    </row>
  </sheetData>
  <mergeCells count="5">
    <mergeCell ref="A1:I1"/>
    <mergeCell ref="A2:I2"/>
    <mergeCell ref="A3:I3"/>
    <mergeCell ref="A4:I4"/>
    <mergeCell ref="A6:I6"/>
  </mergeCells>
  <phoneticPr fontId="22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activeCell="D15" sqref="D15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88671875" style="1" bestFit="1" customWidth="1"/>
    <col min="6" max="6" width="11.77734375" style="1" customWidth="1"/>
    <col min="7" max="7" width="14" style="1" bestFit="1" customWidth="1"/>
    <col min="8" max="8" width="4.33203125" style="74" customWidth="1"/>
    <col min="9" max="9" width="14.77734375" style="1" bestFit="1" customWidth="1"/>
    <col min="10" max="11" width="11.88671875" style="1" customWidth="1"/>
    <col min="12" max="12" width="18.33203125" style="1" customWidth="1"/>
    <col min="13" max="13" width="12.44140625" style="1" customWidth="1"/>
    <col min="14" max="14" width="7.21875" style="1" customWidth="1"/>
    <col min="15" max="15" width="7.5546875" style="1" customWidth="1"/>
    <col min="16" max="17" width="8.5546875" style="1" bestFit="1" customWidth="1"/>
    <col min="18" max="16384" width="8.44140625" style="1"/>
  </cols>
  <sheetData>
    <row r="1" spans="1:13">
      <c r="A1" s="1200" t="str">
        <f>Allocation!A1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</row>
    <row r="2" spans="1:13">
      <c r="A2" s="1200" t="str">
        <f>Allocation!A2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</row>
    <row r="3" spans="1:13">
      <c r="A3" s="1200" t="s">
        <v>510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</row>
    <row r="4" spans="1:13">
      <c r="A4" s="1200" t="str">
        <f>'B.1 F '!A4</f>
        <v>as of March 31, 2020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</row>
    <row r="5" spans="1:13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3" ht="15.75">
      <c r="A6" s="48" t="s">
        <v>1055</v>
      </c>
      <c r="B6" s="48"/>
      <c r="C6" s="35"/>
      <c r="D6" s="593"/>
      <c r="L6" s="1" t="s">
        <v>1424</v>
      </c>
    </row>
    <row r="7" spans="1:13">
      <c r="A7" s="48" t="s">
        <v>1121</v>
      </c>
      <c r="B7" s="35"/>
      <c r="C7" s="48"/>
      <c r="L7" s="1" t="s">
        <v>708</v>
      </c>
    </row>
    <row r="8" spans="1:13">
      <c r="A8" s="48" t="s">
        <v>426</v>
      </c>
      <c r="B8" s="35"/>
      <c r="C8" s="35"/>
      <c r="D8" s="33"/>
      <c r="E8" s="35"/>
      <c r="F8" s="35"/>
      <c r="G8" s="35"/>
      <c r="I8" s="35"/>
      <c r="J8" s="35"/>
      <c r="L8" s="35" t="str">
        <f>'B.5 B'!L8</f>
        <v>Witness: Waller, Story</v>
      </c>
    </row>
    <row r="9" spans="1:13">
      <c r="A9" s="248"/>
      <c r="B9" s="59"/>
      <c r="C9" s="59"/>
      <c r="D9" s="482"/>
      <c r="E9" s="338" t="s">
        <v>13</v>
      </c>
      <c r="F9" s="339" t="s">
        <v>11</v>
      </c>
      <c r="G9" s="483" t="s">
        <v>97</v>
      </c>
      <c r="H9" s="75"/>
      <c r="I9" s="485"/>
      <c r="J9" s="338" t="s">
        <v>13</v>
      </c>
      <c r="K9" s="339" t="s">
        <v>11</v>
      </c>
      <c r="L9" s="389"/>
    </row>
    <row r="10" spans="1:13">
      <c r="A10" s="334" t="s">
        <v>93</v>
      </c>
      <c r="B10" s="34"/>
      <c r="C10" s="35"/>
      <c r="D10" s="335"/>
      <c r="E10" s="34" t="s">
        <v>14</v>
      </c>
      <c r="F10" s="75" t="s">
        <v>594</v>
      </c>
      <c r="G10" s="331" t="s">
        <v>1166</v>
      </c>
      <c r="H10" s="75"/>
      <c r="I10" s="334" t="s">
        <v>92</v>
      </c>
      <c r="J10" s="34" t="s">
        <v>14</v>
      </c>
      <c r="K10" s="75" t="s">
        <v>594</v>
      </c>
      <c r="L10" s="486" t="s">
        <v>12</v>
      </c>
    </row>
    <row r="11" spans="1:13">
      <c r="A11" s="332" t="s">
        <v>99</v>
      </c>
      <c r="B11" s="32"/>
      <c r="C11" s="56" t="s">
        <v>338</v>
      </c>
      <c r="D11" s="484" t="s">
        <v>1056</v>
      </c>
      <c r="E11" s="185" t="s">
        <v>627</v>
      </c>
      <c r="F11" s="185" t="s">
        <v>627</v>
      </c>
      <c r="G11" s="333" t="s">
        <v>105</v>
      </c>
      <c r="H11" s="75"/>
      <c r="I11" s="332" t="s">
        <v>98</v>
      </c>
      <c r="J11" s="185" t="s">
        <v>627</v>
      </c>
      <c r="K11" s="185" t="s">
        <v>627</v>
      </c>
      <c r="L11" s="487" t="s">
        <v>104</v>
      </c>
    </row>
    <row r="12" spans="1:13" ht="15.75">
      <c r="B12" s="12" t="s">
        <v>213</v>
      </c>
      <c r="E12" s="54"/>
      <c r="F12" s="54"/>
      <c r="G12" s="81"/>
      <c r="J12" s="54"/>
      <c r="K12" s="54"/>
    </row>
    <row r="13" spans="1:13">
      <c r="A13" s="2">
        <v>1</v>
      </c>
      <c r="C13" s="16" t="s">
        <v>673</v>
      </c>
      <c r="D13" s="306">
        <f>'WP B.5 F'!P13</f>
        <v>8610100.9438171871</v>
      </c>
      <c r="E13" s="478">
        <v>1</v>
      </c>
      <c r="F13" s="478">
        <v>1</v>
      </c>
      <c r="G13" s="306">
        <f>D13*E13*F13</f>
        <v>8610100.9438171871</v>
      </c>
      <c r="H13" s="77"/>
      <c r="I13" s="306">
        <f>'WP B.5 F'!Q13</f>
        <v>8667730.5078675356</v>
      </c>
      <c r="J13" s="413">
        <f>E13</f>
        <v>1</v>
      </c>
      <c r="K13" s="413">
        <f>F13</f>
        <v>1</v>
      </c>
      <c r="L13" s="306">
        <f>I13*J13*K13</f>
        <v>8667730.5078675356</v>
      </c>
      <c r="M13" s="311"/>
    </row>
    <row r="14" spans="1:13" ht="14.25" customHeight="1">
      <c r="A14" s="2">
        <v>2</v>
      </c>
      <c r="B14" s="374"/>
      <c r="C14" s="4"/>
      <c r="D14" s="77"/>
      <c r="E14" s="478"/>
      <c r="F14" s="478"/>
      <c r="G14" s="77"/>
      <c r="H14" s="77"/>
      <c r="I14" s="77"/>
      <c r="J14" s="76"/>
      <c r="K14" s="76"/>
      <c r="L14" s="77"/>
      <c r="M14" s="311"/>
    </row>
    <row r="15" spans="1:13">
      <c r="A15" s="2">
        <v>3</v>
      </c>
      <c r="C15" s="16" t="s">
        <v>674</v>
      </c>
      <c r="D15" s="73">
        <f>'WP B.5 F'!P15</f>
        <v>-85597395.73730801</v>
      </c>
      <c r="E15" s="478">
        <f>$E$13</f>
        <v>1</v>
      </c>
      <c r="F15" s="478">
        <f>$F$13</f>
        <v>1</v>
      </c>
      <c r="G15" s="73">
        <f>D15*E15*F15</f>
        <v>-85597395.73730801</v>
      </c>
      <c r="H15" s="77"/>
      <c r="I15" s="73">
        <f>'WP B.5 F'!Q15</f>
        <v>-84268445.230995387</v>
      </c>
      <c r="J15" s="413">
        <f>E15</f>
        <v>1</v>
      </c>
      <c r="K15" s="413">
        <f>F15</f>
        <v>1</v>
      </c>
      <c r="L15" s="73">
        <f>I15*J15*K15</f>
        <v>-84268445.230995387</v>
      </c>
      <c r="M15" s="311"/>
    </row>
    <row r="16" spans="1:13" ht="14.25" customHeight="1">
      <c r="A16" s="2">
        <v>4</v>
      </c>
      <c r="B16" s="374"/>
      <c r="C16" s="4"/>
      <c r="D16" s="77"/>
      <c r="E16" s="478"/>
      <c r="F16" s="478"/>
      <c r="G16" s="77"/>
      <c r="H16" s="77"/>
      <c r="I16" s="77"/>
      <c r="J16" s="76"/>
      <c r="K16" s="76"/>
      <c r="L16" s="77"/>
      <c r="M16" s="311"/>
    </row>
    <row r="17" spans="1:17">
      <c r="A17" s="2">
        <v>5</v>
      </c>
      <c r="C17" s="16" t="s">
        <v>675</v>
      </c>
      <c r="D17" s="73">
        <f>'WP B.5 F'!P17</f>
        <v>-47285</v>
      </c>
      <c r="E17" s="478">
        <f>$E$13</f>
        <v>1</v>
      </c>
      <c r="F17" s="478">
        <f>$F$13</f>
        <v>1</v>
      </c>
      <c r="G17" s="73">
        <f>D17*E17*F17</f>
        <v>-47285</v>
      </c>
      <c r="H17" s="77"/>
      <c r="I17" s="73">
        <f>'WP B.5 F'!Q17</f>
        <v>-47285</v>
      </c>
      <c r="J17" s="413">
        <f>E17</f>
        <v>1</v>
      </c>
      <c r="K17" s="413">
        <f>F17</f>
        <v>1</v>
      </c>
      <c r="L17" s="73">
        <f>I17*J17*K17</f>
        <v>-47285</v>
      </c>
      <c r="M17" s="311"/>
    </row>
    <row r="18" spans="1:17" ht="14.25" customHeight="1">
      <c r="A18" s="2">
        <v>6</v>
      </c>
      <c r="B18" s="374"/>
      <c r="C18" s="4"/>
      <c r="D18" s="77"/>
      <c r="E18" s="21"/>
      <c r="F18" s="21"/>
      <c r="G18" s="77"/>
      <c r="H18" s="77"/>
      <c r="I18" s="77"/>
      <c r="J18" s="76"/>
      <c r="K18" s="76"/>
      <c r="L18" s="77"/>
      <c r="M18" s="311"/>
    </row>
    <row r="19" spans="1:17">
      <c r="A19" s="2">
        <v>7</v>
      </c>
      <c r="C19" s="22" t="s">
        <v>31</v>
      </c>
      <c r="D19" s="575">
        <f>SUM(D13:D17)</f>
        <v>-77034579.793490827</v>
      </c>
      <c r="E19" s="21"/>
      <c r="F19" s="21"/>
      <c r="G19" s="575">
        <f>SUM(G13:G17)</f>
        <v>-77034579.793490827</v>
      </c>
      <c r="I19" s="575">
        <f>SUM(I13:I17)</f>
        <v>-75647999.723127857</v>
      </c>
      <c r="J19" s="221"/>
      <c r="K19" s="221"/>
      <c r="L19" s="575">
        <f>SUM(L13:L17)</f>
        <v>-75647999.723127857</v>
      </c>
      <c r="M19" s="311"/>
    </row>
    <row r="20" spans="1:17" ht="14.25" customHeight="1">
      <c r="A20" s="2">
        <v>8</v>
      </c>
      <c r="B20" s="374"/>
      <c r="C20" s="4"/>
      <c r="D20" s="77"/>
      <c r="E20" s="21"/>
      <c r="F20" s="21"/>
      <c r="G20" s="77"/>
      <c r="H20" s="77"/>
      <c r="I20" s="77"/>
      <c r="J20" s="76"/>
      <c r="K20" s="76"/>
      <c r="L20" s="77"/>
      <c r="M20" s="311"/>
    </row>
    <row r="21" spans="1:17" ht="15.75">
      <c r="A21" s="2">
        <v>9</v>
      </c>
      <c r="B21" s="12" t="s">
        <v>214</v>
      </c>
      <c r="E21" s="54"/>
      <c r="F21" s="54"/>
      <c r="J21" s="54"/>
      <c r="K21" s="54"/>
      <c r="M21" s="311"/>
    </row>
    <row r="22" spans="1:17">
      <c r="A22" s="2">
        <v>10</v>
      </c>
      <c r="C22" s="16" t="s">
        <v>673</v>
      </c>
      <c r="D22" s="306">
        <f>'WP B.5 F'!P22</f>
        <v>437021385</v>
      </c>
      <c r="E22" s="399">
        <f>Allocation!C14</f>
        <v>0.104</v>
      </c>
      <c r="F22" s="399">
        <f>Allocation!D14</f>
        <v>0.49780000000000002</v>
      </c>
      <c r="G22" s="306">
        <f>D22*E22*F22</f>
        <v>22625121.527112</v>
      </c>
      <c r="H22" s="77"/>
      <c r="I22" s="306">
        <f>'WP B.5 F'!Q22</f>
        <v>437021385</v>
      </c>
      <c r="J22" s="423">
        <f>E22</f>
        <v>0.104</v>
      </c>
      <c r="K22" s="423">
        <f>F22</f>
        <v>0.49780000000000002</v>
      </c>
      <c r="L22" s="306">
        <f>I22*J22*K22</f>
        <v>22625121.527112</v>
      </c>
      <c r="M22" s="311"/>
      <c r="P22" s="815">
        <f>E22*F22</f>
        <v>5.1771199999999996E-2</v>
      </c>
      <c r="Q22" s="815">
        <f>J22*K22</f>
        <v>5.1771199999999996E-2</v>
      </c>
    </row>
    <row r="23" spans="1:17">
      <c r="A23" s="2">
        <v>11</v>
      </c>
      <c r="D23" s="73"/>
      <c r="E23" s="21"/>
      <c r="F23" s="21"/>
      <c r="G23" s="73"/>
      <c r="H23" s="77"/>
      <c r="I23" s="73"/>
      <c r="J23" s="481"/>
      <c r="K23" s="481"/>
      <c r="L23" s="73"/>
      <c r="M23" s="311"/>
      <c r="P23" s="815"/>
      <c r="Q23" s="816"/>
    </row>
    <row r="24" spans="1:17">
      <c r="A24" s="2">
        <v>12</v>
      </c>
      <c r="C24" s="16" t="s">
        <v>674</v>
      </c>
      <c r="D24" s="73">
        <f>'WP B.5 F'!P24</f>
        <v>-17805459.917966794</v>
      </c>
      <c r="E24" s="399">
        <f>$E$22</f>
        <v>0.104</v>
      </c>
      <c r="F24" s="399">
        <f>$F$22</f>
        <v>0.49780000000000002</v>
      </c>
      <c r="G24" s="73">
        <f>D24*E24*F24</f>
        <v>-921810.02650504245</v>
      </c>
      <c r="H24" s="77"/>
      <c r="I24" s="73">
        <f>'WP B.5 F'!Q24</f>
        <v>-18049460.178239048</v>
      </c>
      <c r="J24" s="423">
        <f>E24</f>
        <v>0.104</v>
      </c>
      <c r="K24" s="423">
        <f>F24</f>
        <v>0.49780000000000002</v>
      </c>
      <c r="L24" s="73">
        <f>I24*J24*K24</f>
        <v>-934442.21277964942</v>
      </c>
      <c r="M24" s="311"/>
      <c r="P24" s="815">
        <f>E24*F24</f>
        <v>5.1771199999999996E-2</v>
      </c>
      <c r="Q24" s="815">
        <f>J24*K24</f>
        <v>5.1771199999999996E-2</v>
      </c>
    </row>
    <row r="25" spans="1:17" ht="14.25" customHeight="1">
      <c r="A25" s="2">
        <v>13</v>
      </c>
      <c r="B25" s="374"/>
      <c r="C25" s="4"/>
      <c r="D25" s="77"/>
      <c r="E25" s="21"/>
      <c r="F25" s="21"/>
      <c r="G25" s="77"/>
      <c r="H25" s="77"/>
      <c r="I25" s="77"/>
      <c r="J25" s="76"/>
      <c r="K25" s="76"/>
      <c r="L25" s="77"/>
      <c r="M25" s="311"/>
      <c r="P25" s="815"/>
      <c r="Q25" s="816"/>
    </row>
    <row r="26" spans="1:17">
      <c r="A26" s="2">
        <v>14</v>
      </c>
      <c r="C26" s="16" t="s">
        <v>675</v>
      </c>
      <c r="D26" s="73">
        <f>'WP B.5 F'!P26</f>
        <v>24564903.601925977</v>
      </c>
      <c r="E26" s="399">
        <f>$E$22</f>
        <v>0.104</v>
      </c>
      <c r="F26" s="399">
        <f>$F$22</f>
        <v>0.49780000000000002</v>
      </c>
      <c r="G26" s="73">
        <f>D26*E26*F26</f>
        <v>1271754.5373560302</v>
      </c>
      <c r="H26" s="77"/>
      <c r="I26" s="73">
        <f>'WP B.5 F'!Q26</f>
        <v>24564903.601925973</v>
      </c>
      <c r="J26" s="423">
        <f>E26</f>
        <v>0.104</v>
      </c>
      <c r="K26" s="423">
        <f>F26</f>
        <v>0.49780000000000002</v>
      </c>
      <c r="L26" s="73">
        <f>I26*J26*K26</f>
        <v>1271754.53735603</v>
      </c>
      <c r="M26" s="311"/>
      <c r="P26" s="815">
        <f>E26*F26</f>
        <v>5.1771199999999996E-2</v>
      </c>
      <c r="Q26" s="815">
        <f>J26*K26</f>
        <v>5.1771199999999996E-2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1"/>
      <c r="K27" s="481"/>
      <c r="L27" s="73"/>
      <c r="M27" s="311"/>
      <c r="P27" s="816"/>
      <c r="Q27" s="816"/>
    </row>
    <row r="28" spans="1:17">
      <c r="A28" s="2">
        <v>16</v>
      </c>
      <c r="C28" s="22" t="s">
        <v>68</v>
      </c>
      <c r="D28" s="575">
        <f>SUM(D22:D26)</f>
        <v>443780828.68395919</v>
      </c>
      <c r="E28" s="21"/>
      <c r="F28" s="21"/>
      <c r="G28" s="575">
        <f>SUM(G22:G26)</f>
        <v>22975066.037962988</v>
      </c>
      <c r="I28" s="575">
        <f>SUM(I22:I26)</f>
        <v>443536828.42368692</v>
      </c>
      <c r="J28" s="76"/>
      <c r="K28" s="76"/>
      <c r="L28" s="575">
        <f>SUM(L22:L26)</f>
        <v>22962433.851688381</v>
      </c>
      <c r="M28" s="311"/>
      <c r="P28" s="816"/>
      <c r="Q28" s="816"/>
    </row>
    <row r="29" spans="1:17" ht="15.75">
      <c r="A29" s="2">
        <v>17</v>
      </c>
      <c r="B29" s="12" t="s">
        <v>1116</v>
      </c>
      <c r="E29" s="54"/>
      <c r="F29" s="54"/>
      <c r="J29" s="54"/>
      <c r="K29" s="54"/>
      <c r="M29" s="311"/>
      <c r="P29" s="816"/>
      <c r="Q29" s="816"/>
    </row>
    <row r="30" spans="1:17">
      <c r="A30" s="2">
        <v>18</v>
      </c>
      <c r="C30" s="16" t="s">
        <v>673</v>
      </c>
      <c r="D30" s="306">
        <f>'WP B.5 F'!P30</f>
        <v>68526</v>
      </c>
      <c r="E30" s="399">
        <f>Allocation!C15</f>
        <v>0.1095</v>
      </c>
      <c r="F30" s="399">
        <f>Allocation!D15</f>
        <v>0.51517972406888612</v>
      </c>
      <c r="G30" s="306">
        <f>D30*E30*F30</f>
        <v>3865.7010319841215</v>
      </c>
      <c r="H30" s="77"/>
      <c r="I30" s="306">
        <f>'WP B.5 F'!Q30</f>
        <v>68526</v>
      </c>
      <c r="J30" s="423">
        <f>E30</f>
        <v>0.1095</v>
      </c>
      <c r="K30" s="423">
        <f>F30</f>
        <v>0.51517972406888612</v>
      </c>
      <c r="L30" s="306">
        <f>I30*J30*K30</f>
        <v>3865.7010319841215</v>
      </c>
      <c r="M30" s="311"/>
      <c r="P30" s="815">
        <f>E30*F30</f>
        <v>5.6412179785543033E-2</v>
      </c>
      <c r="Q30" s="815">
        <f>J30*K30</f>
        <v>5.6412179785543033E-2</v>
      </c>
    </row>
    <row r="31" spans="1:17">
      <c r="A31" s="2">
        <v>19</v>
      </c>
      <c r="B31" s="374"/>
      <c r="C31" s="4"/>
      <c r="D31" s="77"/>
      <c r="E31" s="21"/>
      <c r="F31" s="21"/>
      <c r="G31" s="77"/>
      <c r="H31" s="77"/>
      <c r="I31" s="77"/>
      <c r="J31" s="76"/>
      <c r="K31" s="76"/>
      <c r="L31" s="77"/>
      <c r="M31" s="311"/>
      <c r="P31" s="815"/>
      <c r="Q31" s="816"/>
    </row>
    <row r="32" spans="1:17">
      <c r="A32" s="2">
        <v>20</v>
      </c>
      <c r="C32" s="16" t="s">
        <v>674</v>
      </c>
      <c r="D32" s="73">
        <f>'WP B.5 F'!P32</f>
        <v>-14837352.543710032</v>
      </c>
      <c r="E32" s="399">
        <f>$E$30</f>
        <v>0.1095</v>
      </c>
      <c r="F32" s="399">
        <f>$F$30</f>
        <v>0.51517972406888612</v>
      </c>
      <c r="G32" s="73">
        <f>D32*E32*F32</f>
        <v>-837007.39923725463</v>
      </c>
      <c r="H32" s="77"/>
      <c r="I32" s="73">
        <f>'WP B.5 F'!Q32</f>
        <v>-15109097.356369393</v>
      </c>
      <c r="J32" s="423">
        <f>E32</f>
        <v>0.1095</v>
      </c>
      <c r="K32" s="423">
        <f>F32</f>
        <v>0.51517972406888612</v>
      </c>
      <c r="L32" s="73">
        <f>I32*J32*K32</f>
        <v>-852337.1164647832</v>
      </c>
      <c r="M32" s="311"/>
      <c r="P32" s="815">
        <f>E32*F32</f>
        <v>5.6412179785543033E-2</v>
      </c>
      <c r="Q32" s="815">
        <f>J32*K32</f>
        <v>5.6412179785543033E-2</v>
      </c>
    </row>
    <row r="33" spans="1:17">
      <c r="A33" s="2">
        <v>21</v>
      </c>
      <c r="B33" s="374"/>
      <c r="C33" s="4"/>
      <c r="D33" s="77"/>
      <c r="E33" s="21"/>
      <c r="F33" s="21"/>
      <c r="G33" s="77"/>
      <c r="H33" s="77"/>
      <c r="I33" s="77"/>
      <c r="J33" s="76"/>
      <c r="K33" s="76"/>
      <c r="L33" s="77"/>
      <c r="M33" s="311"/>
      <c r="P33" s="815"/>
      <c r="Q33" s="816"/>
    </row>
    <row r="34" spans="1:17">
      <c r="A34" s="2">
        <v>22</v>
      </c>
      <c r="C34" s="16" t="s">
        <v>675</v>
      </c>
      <c r="D34" s="73">
        <f>'WP B.5 F'!P34</f>
        <v>0</v>
      </c>
      <c r="E34" s="399">
        <f>$E$30</f>
        <v>0.1095</v>
      </c>
      <c r="F34" s="399">
        <f>$F$30</f>
        <v>0.51517972406888612</v>
      </c>
      <c r="G34" s="73">
        <f>D34*E34*F34</f>
        <v>0</v>
      </c>
      <c r="H34" s="77"/>
      <c r="I34" s="73">
        <f>'WP B.5 F'!Q34</f>
        <v>0</v>
      </c>
      <c r="J34" s="423">
        <f>E34</f>
        <v>0.1095</v>
      </c>
      <c r="K34" s="423">
        <f>F34</f>
        <v>0.51517972406888612</v>
      </c>
      <c r="L34" s="73">
        <f>I34*J34*K34</f>
        <v>0</v>
      </c>
      <c r="M34" s="311"/>
      <c r="P34" s="815">
        <f>E34*F34</f>
        <v>5.6412179785543033E-2</v>
      </c>
      <c r="Q34" s="815">
        <f>J34*K34</f>
        <v>5.6412179785543033E-2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1"/>
      <c r="K35" s="481"/>
      <c r="L35" s="73"/>
      <c r="M35" s="311"/>
      <c r="P35" s="816"/>
      <c r="Q35" s="816"/>
    </row>
    <row r="36" spans="1:17">
      <c r="A36" s="2">
        <v>24</v>
      </c>
      <c r="C36" s="22" t="s">
        <v>718</v>
      </c>
      <c r="D36" s="575">
        <f>SUM(D30:D34)</f>
        <v>-14768826.543710032</v>
      </c>
      <c r="E36" s="21"/>
      <c r="F36" s="21"/>
      <c r="G36" s="575">
        <f>SUM(G30:G34)</f>
        <v>-833141.69820527046</v>
      </c>
      <c r="I36" s="575">
        <f>SUM(I30:I34)</f>
        <v>-15040571.356369393</v>
      </c>
      <c r="J36" s="76"/>
      <c r="K36" s="76"/>
      <c r="L36" s="575">
        <f>SUM(L30:L34)</f>
        <v>-848471.41543279903</v>
      </c>
      <c r="M36" s="311"/>
      <c r="P36" s="816"/>
      <c r="Q36" s="816"/>
    </row>
    <row r="37" spans="1:17" ht="15.75">
      <c r="A37" s="2">
        <v>25</v>
      </c>
      <c r="B37" s="12" t="s">
        <v>676</v>
      </c>
      <c r="E37" s="54"/>
      <c r="F37" s="54"/>
      <c r="J37" s="54"/>
      <c r="K37" s="54"/>
      <c r="M37" s="311"/>
      <c r="P37" s="816"/>
      <c r="Q37" s="816"/>
    </row>
    <row r="38" spans="1:17">
      <c r="A38" s="2">
        <v>26</v>
      </c>
      <c r="C38" s="16" t="s">
        <v>673</v>
      </c>
      <c r="D38" s="306">
        <f>'WP B.5 F'!P39</f>
        <v>1746795</v>
      </c>
      <c r="E38" s="479">
        <v>1</v>
      </c>
      <c r="F38" s="399">
        <f>Allocation!D17</f>
        <v>0.49780000000000002</v>
      </c>
      <c r="G38" s="306">
        <f>D38*E38*F38</f>
        <v>869554.55099999998</v>
      </c>
      <c r="H38" s="77"/>
      <c r="I38" s="306">
        <f>'WP B.5 F'!Q39</f>
        <v>1746795</v>
      </c>
      <c r="J38" s="479">
        <f>E38</f>
        <v>1</v>
      </c>
      <c r="K38" s="399">
        <f>F38</f>
        <v>0.49780000000000002</v>
      </c>
      <c r="L38" s="306">
        <f>I38*J38*K38</f>
        <v>869554.55099999998</v>
      </c>
      <c r="M38" s="311"/>
      <c r="P38" s="815">
        <f>E38*F38</f>
        <v>0.49780000000000002</v>
      </c>
      <c r="Q38" s="815">
        <f>J38*K38</f>
        <v>0.49780000000000002</v>
      </c>
    </row>
    <row r="39" spans="1:17">
      <c r="A39" s="2">
        <v>27</v>
      </c>
      <c r="D39" s="73"/>
      <c r="E39" s="21"/>
      <c r="F39" s="21"/>
      <c r="G39" s="73"/>
      <c r="H39" s="77"/>
      <c r="I39" s="73"/>
      <c r="J39" s="481"/>
      <c r="K39" s="481"/>
      <c r="L39" s="73"/>
      <c r="M39" s="311"/>
      <c r="P39" s="815"/>
      <c r="Q39" s="816"/>
    </row>
    <row r="40" spans="1:17">
      <c r="A40" s="2">
        <v>28</v>
      </c>
      <c r="C40" s="16" t="s">
        <v>439</v>
      </c>
      <c r="D40" s="73">
        <f>'WP B.5 F'!P45</f>
        <v>0</v>
      </c>
      <c r="E40" s="479">
        <f>$E$38</f>
        <v>1</v>
      </c>
      <c r="F40" s="399">
        <f>$F$38</f>
        <v>0.49780000000000002</v>
      </c>
      <c r="G40" s="73">
        <f>D40*E40*F40</f>
        <v>0</v>
      </c>
      <c r="H40" s="77"/>
      <c r="I40" s="73">
        <f>'WP B.5 F'!Q45</f>
        <v>0</v>
      </c>
      <c r="J40" s="479">
        <f>E40</f>
        <v>1</v>
      </c>
      <c r="K40" s="399">
        <f>F40</f>
        <v>0.49780000000000002</v>
      </c>
      <c r="L40" s="73">
        <f>I40*J40*K40</f>
        <v>0</v>
      </c>
      <c r="M40" s="311"/>
      <c r="P40" s="815">
        <f>E40*F40</f>
        <v>0.49780000000000002</v>
      </c>
      <c r="Q40" s="815">
        <f>J40*K40</f>
        <v>0.49780000000000002</v>
      </c>
    </row>
    <row r="41" spans="1:17">
      <c r="A41" s="2">
        <v>29</v>
      </c>
      <c r="D41" s="73"/>
      <c r="E41" s="21"/>
      <c r="F41" s="21"/>
      <c r="G41" s="73"/>
      <c r="H41" s="77"/>
      <c r="I41" s="73"/>
      <c r="J41" s="481"/>
      <c r="K41" s="481"/>
      <c r="L41" s="73"/>
      <c r="M41" s="311"/>
      <c r="P41" s="815"/>
      <c r="Q41" s="816"/>
    </row>
    <row r="42" spans="1:17">
      <c r="A42" s="2">
        <v>30</v>
      </c>
      <c r="C42" s="16" t="s">
        <v>674</v>
      </c>
      <c r="D42" s="73">
        <f>'WP B.5 F'!P41</f>
        <v>-724701.56489923084</v>
      </c>
      <c r="E42" s="479">
        <f>$E$38</f>
        <v>1</v>
      </c>
      <c r="F42" s="399">
        <f>$F$38</f>
        <v>0.49780000000000002</v>
      </c>
      <c r="G42" s="73">
        <f>D42*E42*F42</f>
        <v>-360756.43900683714</v>
      </c>
      <c r="H42" s="77"/>
      <c r="I42" s="73">
        <f>'WP B.5 F'!Q41</f>
        <v>-725384.93596576736</v>
      </c>
      <c r="J42" s="479">
        <f>E42</f>
        <v>1</v>
      </c>
      <c r="K42" s="399">
        <f>F42</f>
        <v>0.49780000000000002</v>
      </c>
      <c r="L42" s="73">
        <f>I42*J42*K42</f>
        <v>-361096.62112375902</v>
      </c>
      <c r="M42" s="311"/>
      <c r="P42" s="815">
        <f>E42*F42</f>
        <v>0.49780000000000002</v>
      </c>
      <c r="Q42" s="815">
        <f>J42*K42</f>
        <v>0.49780000000000002</v>
      </c>
    </row>
    <row r="43" spans="1:17">
      <c r="A43" s="2">
        <v>31</v>
      </c>
      <c r="D43" s="73"/>
      <c r="E43" s="21"/>
      <c r="F43" s="21"/>
      <c r="G43" s="73"/>
      <c r="H43" s="77"/>
      <c r="I43" s="73"/>
      <c r="J43" s="481"/>
      <c r="K43" s="481"/>
      <c r="L43" s="73"/>
      <c r="M43" s="311"/>
      <c r="P43" s="816"/>
      <c r="Q43" s="816"/>
    </row>
    <row r="44" spans="1:17">
      <c r="A44" s="2">
        <v>32</v>
      </c>
      <c r="C44" s="16" t="s">
        <v>675</v>
      </c>
      <c r="D44" s="73">
        <f>'WP B.5 F'!P43</f>
        <v>-886040</v>
      </c>
      <c r="E44" s="479">
        <f>$E$38</f>
        <v>1</v>
      </c>
      <c r="F44" s="399">
        <f>$F$38</f>
        <v>0.49780000000000002</v>
      </c>
      <c r="G44" s="73">
        <f>D44*E44*F44</f>
        <v>-441070.712</v>
      </c>
      <c r="H44" s="77"/>
      <c r="I44" s="73">
        <f>'WP B.5 F'!Q43</f>
        <v>-886040</v>
      </c>
      <c r="J44" s="479">
        <f>E44</f>
        <v>1</v>
      </c>
      <c r="K44" s="399">
        <f>F44</f>
        <v>0.49780000000000002</v>
      </c>
      <c r="L44" s="73">
        <f>I44*J44*K44</f>
        <v>-441070.712</v>
      </c>
      <c r="M44" s="311"/>
      <c r="P44" s="815">
        <f>E44*F44</f>
        <v>0.49780000000000002</v>
      </c>
      <c r="Q44" s="815">
        <f>J44*K44</f>
        <v>0.49780000000000002</v>
      </c>
    </row>
    <row r="45" spans="1:17">
      <c r="A45" s="2">
        <v>33</v>
      </c>
      <c r="D45" s="73"/>
      <c r="E45" s="21"/>
      <c r="F45" s="21"/>
      <c r="G45" s="73"/>
      <c r="H45" s="77"/>
      <c r="I45" s="73"/>
      <c r="J45" s="481"/>
      <c r="K45" s="481"/>
      <c r="L45" s="73"/>
      <c r="M45" s="311"/>
      <c r="P45" s="399"/>
      <c r="Q45" s="399"/>
    </row>
    <row r="46" spans="1:17">
      <c r="A46" s="2">
        <v>34</v>
      </c>
      <c r="C46" s="22" t="s">
        <v>438</v>
      </c>
      <c r="D46" s="575">
        <f>SUM(D38:D44)</f>
        <v>136053.43510076916</v>
      </c>
      <c r="E46" s="21"/>
      <c r="F46" s="21"/>
      <c r="G46" s="575">
        <f>SUM(G38:G44)</f>
        <v>67727.399993162835</v>
      </c>
      <c r="I46" s="575">
        <f>SUM(I38:I44)</f>
        <v>135370.06403423264</v>
      </c>
      <c r="J46" s="76"/>
      <c r="K46" s="76"/>
      <c r="L46" s="575">
        <f>SUM(L38:L44)</f>
        <v>67387.21787624096</v>
      </c>
      <c r="M46" s="311"/>
    </row>
    <row r="47" spans="1:17">
      <c r="A47" s="2">
        <v>35</v>
      </c>
      <c r="E47" s="54"/>
      <c r="F47" s="54"/>
      <c r="J47" s="54"/>
      <c r="K47" s="54"/>
      <c r="M47" s="311"/>
    </row>
    <row r="48" spans="1:17">
      <c r="A48" s="2">
        <v>36</v>
      </c>
      <c r="E48" s="54"/>
      <c r="F48" s="54"/>
      <c r="J48" s="54"/>
      <c r="K48" s="54"/>
      <c r="M48" s="311"/>
    </row>
    <row r="49" spans="1:12" ht="15.75">
      <c r="A49" s="2">
        <v>37</v>
      </c>
      <c r="B49" s="35"/>
      <c r="C49" s="515" t="s">
        <v>720</v>
      </c>
      <c r="D49" s="547">
        <f>D46+D36+D28+D19</f>
        <v>352113475.7818591</v>
      </c>
      <c r="E49" s="54"/>
      <c r="F49" s="54"/>
      <c r="G49" s="547">
        <f>G46+G36+G28+G19</f>
        <v>-54824928.05373995</v>
      </c>
      <c r="I49" s="547">
        <f>I46+I36+I28+I19</f>
        <v>352983627.40822393</v>
      </c>
      <c r="J49" s="54"/>
      <c r="K49" s="54"/>
      <c r="L49" s="547">
        <f>L46+L36+L28+L19</f>
        <v>-53466650.068996035</v>
      </c>
    </row>
    <row r="50" spans="1:12">
      <c r="A50" s="810">
        <v>38</v>
      </c>
      <c r="B50" s="35"/>
      <c r="C50" s="824" t="s">
        <v>1468</v>
      </c>
      <c r="E50" s="54"/>
      <c r="F50" s="54"/>
      <c r="J50" s="54"/>
      <c r="K50" s="54"/>
    </row>
    <row r="51" spans="1:12" ht="15.75">
      <c r="A51" s="810">
        <v>39</v>
      </c>
      <c r="B51" s="35"/>
      <c r="C51" s="102" t="s">
        <v>1462</v>
      </c>
      <c r="E51" s="54"/>
      <c r="F51" s="54"/>
      <c r="J51" s="54"/>
      <c r="K51" s="54"/>
      <c r="L51" s="1">
        <f>I73</f>
        <v>2075783.8488951693</v>
      </c>
    </row>
    <row r="52" spans="1:12">
      <c r="A52" s="810">
        <v>40</v>
      </c>
      <c r="B52" s="35"/>
      <c r="C52" s="92"/>
      <c r="E52" s="811"/>
      <c r="F52" s="811"/>
      <c r="J52" s="811"/>
      <c r="K52" s="811"/>
    </row>
    <row r="53" spans="1:12" ht="16.5" thickBot="1">
      <c r="A53" s="810">
        <v>41</v>
      </c>
      <c r="B53" s="35"/>
      <c r="C53" s="102" t="s">
        <v>1463</v>
      </c>
      <c r="E53" s="811"/>
      <c r="F53" s="811"/>
      <c r="J53" s="811"/>
      <c r="K53" s="811"/>
      <c r="L53" s="821">
        <f>L49+L51</f>
        <v>-51390866.220100865</v>
      </c>
    </row>
    <row r="54" spans="1:12" ht="15.75" thickTop="1">
      <c r="A54" s="810">
        <v>42</v>
      </c>
      <c r="B54" s="35"/>
      <c r="E54" s="811"/>
      <c r="F54" s="811"/>
      <c r="J54" s="811"/>
      <c r="K54" s="811"/>
    </row>
    <row r="55" spans="1:12" ht="15.75">
      <c r="A55" s="810">
        <v>43</v>
      </c>
      <c r="B55" s="35"/>
      <c r="C55" s="826" t="s">
        <v>1446</v>
      </c>
      <c r="D55" s="59"/>
      <c r="E55" s="338"/>
      <c r="F55" s="338"/>
      <c r="G55" s="59"/>
      <c r="H55" s="827"/>
      <c r="I55" s="59"/>
      <c r="J55" s="54"/>
      <c r="K55" s="54"/>
    </row>
    <row r="56" spans="1:12" ht="15.75">
      <c r="A56" s="810">
        <v>44</v>
      </c>
      <c r="B56" s="35"/>
      <c r="C56" s="828" t="s">
        <v>1447</v>
      </c>
      <c r="D56" s="35"/>
      <c r="E56" s="221"/>
      <c r="F56" s="221"/>
      <c r="G56" s="35"/>
      <c r="I56" s="35"/>
      <c r="J56" s="54"/>
      <c r="K56" s="54"/>
    </row>
    <row r="57" spans="1:12">
      <c r="A57" s="810">
        <v>45</v>
      </c>
      <c r="F57" s="810" t="s">
        <v>58</v>
      </c>
      <c r="I57" s="810"/>
      <c r="J57" s="54"/>
      <c r="K57" s="54"/>
    </row>
    <row r="58" spans="1:12">
      <c r="A58" s="810">
        <v>46</v>
      </c>
      <c r="C58" s="5" t="s">
        <v>1449</v>
      </c>
      <c r="D58" s="806"/>
      <c r="E58" s="806"/>
      <c r="F58" s="813" t="s">
        <v>101</v>
      </c>
      <c r="G58" s="806"/>
      <c r="H58" s="814"/>
      <c r="I58" s="813"/>
      <c r="J58" s="54"/>
      <c r="K58" s="54"/>
    </row>
    <row r="59" spans="1:12">
      <c r="A59" s="810">
        <v>47</v>
      </c>
      <c r="B59" s="35"/>
      <c r="F59" s="811"/>
      <c r="J59" s="54"/>
      <c r="K59" s="54"/>
    </row>
    <row r="60" spans="1:12">
      <c r="A60" s="810">
        <v>48</v>
      </c>
      <c r="B60" s="35"/>
      <c r="C60" s="1" t="s">
        <v>1448</v>
      </c>
      <c r="F60" s="811" t="s">
        <v>1450</v>
      </c>
      <c r="I60" s="1">
        <f>'B.1 F '!F27</f>
        <v>499515227.74746406</v>
      </c>
      <c r="J60" s="54"/>
      <c r="K60" s="54"/>
    </row>
    <row r="61" spans="1:12">
      <c r="A61" s="810">
        <v>49</v>
      </c>
      <c r="B61" s="35"/>
      <c r="F61" s="811"/>
      <c r="J61" s="54"/>
      <c r="K61" s="54"/>
    </row>
    <row r="62" spans="1:12">
      <c r="A62" s="810">
        <v>50</v>
      </c>
      <c r="B62" s="35"/>
      <c r="C62" s="1" t="s">
        <v>1451</v>
      </c>
      <c r="F62" s="811" t="s">
        <v>1452</v>
      </c>
      <c r="I62" s="1">
        <f>A.1!G24</f>
        <v>39711461</v>
      </c>
      <c r="J62" s="54"/>
      <c r="K62" s="54"/>
    </row>
    <row r="63" spans="1:12">
      <c r="A63" s="810">
        <v>51</v>
      </c>
      <c r="B63" s="35"/>
      <c r="F63" s="811"/>
      <c r="J63" s="54"/>
      <c r="K63" s="54"/>
    </row>
    <row r="64" spans="1:12">
      <c r="A64" s="810">
        <v>52</v>
      </c>
      <c r="B64" s="35"/>
      <c r="C64" s="1" t="s">
        <v>211</v>
      </c>
      <c r="F64" s="811" t="s">
        <v>1453</v>
      </c>
      <c r="I64" s="1">
        <f>E!G32</f>
        <v>9432006.3752004951</v>
      </c>
      <c r="J64" s="54"/>
      <c r="K64" s="54"/>
    </row>
    <row r="65" spans="1:11">
      <c r="A65" s="810">
        <v>53</v>
      </c>
      <c r="B65" s="35"/>
      <c r="F65" s="811"/>
      <c r="J65" s="54"/>
      <c r="K65" s="54"/>
    </row>
    <row r="66" spans="1:11">
      <c r="A66" s="810">
        <v>54</v>
      </c>
      <c r="B66" s="35"/>
      <c r="C66" s="1" t="s">
        <v>1454</v>
      </c>
      <c r="F66" s="811" t="s">
        <v>1472</v>
      </c>
      <c r="I66" s="1">
        <f>I62-I64</f>
        <v>30279454.624799505</v>
      </c>
      <c r="J66" s="54"/>
      <c r="K66" s="54"/>
    </row>
    <row r="67" spans="1:11">
      <c r="A67" s="810">
        <v>55</v>
      </c>
      <c r="B67" s="35"/>
      <c r="F67" s="811"/>
      <c r="J67" s="54"/>
      <c r="K67" s="54"/>
    </row>
    <row r="68" spans="1:11">
      <c r="A68" s="810">
        <v>56</v>
      </c>
      <c r="B68" s="35"/>
      <c r="C68" s="1" t="s">
        <v>1455</v>
      </c>
      <c r="D68" s="415">
        <f>Allocation!E25</f>
        <v>0.2495</v>
      </c>
      <c r="F68" s="811" t="s">
        <v>1474</v>
      </c>
      <c r="I68" s="1">
        <f>I66/(1-D68)</f>
        <v>40345709.027047977</v>
      </c>
      <c r="J68" s="54"/>
      <c r="K68" s="54"/>
    </row>
    <row r="69" spans="1:11">
      <c r="A69" s="810">
        <v>57</v>
      </c>
      <c r="B69" s="35"/>
      <c r="F69" s="811"/>
      <c r="J69" s="54"/>
      <c r="K69" s="54"/>
    </row>
    <row r="70" spans="1:11">
      <c r="A70" s="810">
        <v>58</v>
      </c>
      <c r="B70" s="35"/>
      <c r="C70" s="1" t="s">
        <v>1464</v>
      </c>
      <c r="D70" s="415">
        <f>D68</f>
        <v>0.2495</v>
      </c>
      <c r="F70" s="811" t="s">
        <v>1473</v>
      </c>
      <c r="I70" s="817">
        <f>I68*D70</f>
        <v>10066254.40224847</v>
      </c>
      <c r="J70" s="54"/>
      <c r="K70" s="54"/>
    </row>
    <row r="71" spans="1:11">
      <c r="A71" s="810">
        <v>59</v>
      </c>
      <c r="F71" s="811"/>
      <c r="J71" s="54"/>
      <c r="K71" s="54"/>
    </row>
    <row r="72" spans="1:11">
      <c r="A72" s="810">
        <v>60</v>
      </c>
      <c r="C72" s="1" t="s">
        <v>1460</v>
      </c>
      <c r="F72" s="811" t="s">
        <v>1475</v>
      </c>
      <c r="I72" s="35">
        <f>L49-'B.5 B'!L49</f>
        <v>-12142038.251143642</v>
      </c>
      <c r="J72" s="811"/>
      <c r="K72" s="811"/>
    </row>
    <row r="73" spans="1:11">
      <c r="A73" s="810">
        <v>61</v>
      </c>
      <c r="C73" s="1" t="s">
        <v>1461</v>
      </c>
      <c r="F73" s="811"/>
      <c r="I73" s="806">
        <v>2075783.8488951693</v>
      </c>
      <c r="J73" s="811"/>
      <c r="K73" s="811">
        <f>I70+I75</f>
        <v>0</v>
      </c>
    </row>
    <row r="74" spans="1:11">
      <c r="A74" s="810">
        <v>62</v>
      </c>
      <c r="F74" s="811"/>
      <c r="J74" s="811"/>
      <c r="K74" s="811"/>
    </row>
    <row r="75" spans="1:11" ht="16.5" thickBot="1">
      <c r="A75" s="810">
        <v>63</v>
      </c>
      <c r="C75" s="102" t="s">
        <v>1466</v>
      </c>
      <c r="D75" s="102"/>
      <c r="E75" s="102"/>
      <c r="F75" s="812" t="s">
        <v>1456</v>
      </c>
      <c r="G75" s="102"/>
      <c r="H75" s="822"/>
      <c r="I75" s="823">
        <f>SUM(I72:I73)</f>
        <v>-10066254.402248472</v>
      </c>
      <c r="J75" s="54"/>
      <c r="K75" s="54"/>
    </row>
    <row r="76" spans="1:11" ht="15.75" thickTop="1">
      <c r="A76" s="810">
        <v>64</v>
      </c>
      <c r="J76" s="54"/>
      <c r="K76" s="829">
        <f>I70+I75</f>
        <v>0</v>
      </c>
    </row>
    <row r="77" spans="1:11">
      <c r="A77" s="810">
        <v>65</v>
      </c>
      <c r="J77" s="54"/>
      <c r="K77" s="54"/>
    </row>
    <row r="78" spans="1:11" ht="15.75">
      <c r="A78" s="810">
        <v>66</v>
      </c>
      <c r="C78" s="820" t="s">
        <v>1459</v>
      </c>
      <c r="D78" s="806"/>
      <c r="E78" s="806"/>
      <c r="F78" s="806"/>
      <c r="G78" s="806"/>
      <c r="H78" s="814"/>
      <c r="I78" s="814"/>
      <c r="J78" s="54"/>
      <c r="K78" s="54"/>
    </row>
    <row r="79" spans="1:11" ht="15.75">
      <c r="A79" s="810">
        <v>67</v>
      </c>
      <c r="C79" s="102" t="s">
        <v>1698</v>
      </c>
      <c r="D79" s="102"/>
      <c r="E79" s="102"/>
      <c r="F79" s="812" t="s">
        <v>1465</v>
      </c>
      <c r="G79" s="102"/>
      <c r="H79" s="822"/>
      <c r="I79" s="942">
        <f>'B.5 B'!L49</f>
        <v>-41324611.817852393</v>
      </c>
      <c r="J79" s="54"/>
      <c r="K79" s="54"/>
    </row>
    <row r="80" spans="1:11">
      <c r="A80" s="810">
        <v>68</v>
      </c>
      <c r="I80" s="81"/>
      <c r="J80" s="811"/>
      <c r="K80" s="811"/>
    </row>
    <row r="81" spans="1:12">
      <c r="A81" s="810">
        <v>69</v>
      </c>
      <c r="C81" s="1" t="s">
        <v>1457</v>
      </c>
      <c r="F81" s="811" t="s">
        <v>1470</v>
      </c>
      <c r="I81" s="81">
        <f>L49</f>
        <v>-53466650.068996035</v>
      </c>
      <c r="J81" s="54"/>
      <c r="K81" s="54"/>
    </row>
    <row r="82" spans="1:12">
      <c r="A82" s="810">
        <v>70</v>
      </c>
      <c r="C82" s="92" t="s">
        <v>1442</v>
      </c>
      <c r="F82" s="811" t="s">
        <v>1471</v>
      </c>
      <c r="I82" s="814">
        <f>I73</f>
        <v>2075783.8488951693</v>
      </c>
      <c r="J82" s="54"/>
      <c r="K82" s="54"/>
    </row>
    <row r="83" spans="1:12" ht="15.75">
      <c r="A83" s="810">
        <v>71</v>
      </c>
      <c r="C83" s="102" t="s">
        <v>1463</v>
      </c>
      <c r="D83" s="102"/>
      <c r="E83" s="102"/>
      <c r="F83" s="102"/>
      <c r="G83" s="102"/>
      <c r="H83" s="822"/>
      <c r="I83" s="1149">
        <f>SUM(I81:I82)</f>
        <v>-51390866.220100865</v>
      </c>
      <c r="J83" s="54"/>
      <c r="K83" s="54"/>
    </row>
    <row r="84" spans="1:12" ht="15.75">
      <c r="A84" s="810">
        <v>72</v>
      </c>
      <c r="C84" s="102"/>
      <c r="I84" s="822"/>
      <c r="J84" s="811"/>
      <c r="K84" s="811"/>
    </row>
    <row r="85" spans="1:12" ht="16.5" thickBot="1">
      <c r="A85" s="810">
        <v>73</v>
      </c>
      <c r="C85" s="102" t="s">
        <v>1458</v>
      </c>
      <c r="F85" s="1" t="s">
        <v>1469</v>
      </c>
      <c r="I85" s="1150">
        <f>I83-I79</f>
        <v>-10066254.402248472</v>
      </c>
      <c r="J85" s="54"/>
      <c r="K85" s="54"/>
    </row>
    <row r="86" spans="1:12" ht="16.5" thickTop="1">
      <c r="A86" s="810">
        <v>74</v>
      </c>
      <c r="C86" s="102"/>
      <c r="I86" s="822"/>
      <c r="J86" s="811"/>
      <c r="K86" s="811"/>
    </row>
    <row r="87" spans="1:12">
      <c r="A87" s="810">
        <v>75</v>
      </c>
      <c r="I87" s="35"/>
      <c r="J87" s="54"/>
      <c r="K87" s="54"/>
    </row>
    <row r="88" spans="1:12">
      <c r="A88" s="810">
        <v>76</v>
      </c>
      <c r="C88" s="824" t="s">
        <v>1467</v>
      </c>
      <c r="E88" s="811"/>
      <c r="F88" s="811"/>
      <c r="J88" s="54"/>
      <c r="K88" s="54"/>
    </row>
    <row r="89" spans="1:12">
      <c r="E89" s="811"/>
      <c r="F89" s="811"/>
      <c r="J89" s="54"/>
      <c r="K89" s="54"/>
    </row>
    <row r="90" spans="1:12">
      <c r="E90" s="811"/>
      <c r="F90" s="811"/>
      <c r="J90" s="54"/>
      <c r="K90" s="54"/>
      <c r="L90" s="152"/>
    </row>
    <row r="91" spans="1:12">
      <c r="E91" s="811"/>
      <c r="F91" s="811"/>
      <c r="J91" s="54"/>
      <c r="K91" s="54"/>
      <c r="L91" s="152"/>
    </row>
    <row r="92" spans="1:12">
      <c r="E92" s="811"/>
      <c r="F92" s="811"/>
      <c r="J92" s="54"/>
      <c r="K92" s="54"/>
      <c r="L92" s="801"/>
    </row>
    <row r="93" spans="1:12">
      <c r="E93" s="811"/>
      <c r="F93" s="811"/>
      <c r="J93" s="54"/>
      <c r="K93" s="54"/>
      <c r="L93" s="152"/>
    </row>
    <row r="94" spans="1:12">
      <c r="E94" s="811"/>
      <c r="F94" s="811"/>
      <c r="J94" s="54"/>
      <c r="K94" s="54"/>
    </row>
    <row r="95" spans="1:12">
      <c r="E95" s="811"/>
      <c r="F95" s="811"/>
      <c r="J95" s="54"/>
      <c r="K95" s="54"/>
    </row>
    <row r="96" spans="1:12">
      <c r="D96" s="1">
        <v>0</v>
      </c>
      <c r="E96" s="811"/>
      <c r="F96" s="811"/>
      <c r="J96" s="54"/>
      <c r="K96" s="54"/>
    </row>
    <row r="97" spans="5:11">
      <c r="E97" s="54"/>
      <c r="F97" s="54"/>
      <c r="J97" s="54"/>
      <c r="K97" s="54"/>
    </row>
    <row r="98" spans="5:11">
      <c r="E98" s="54"/>
      <c r="F98" s="54"/>
      <c r="J98" s="54"/>
      <c r="K98" s="54"/>
    </row>
    <row r="99" spans="5:11">
      <c r="E99" s="54"/>
      <c r="F99" s="54"/>
      <c r="J99" s="54"/>
      <c r="K99" s="54"/>
    </row>
    <row r="100" spans="5:11">
      <c r="E100" s="54"/>
      <c r="F100" s="54"/>
      <c r="J100" s="54"/>
      <c r="K100" s="54"/>
    </row>
    <row r="101" spans="5:11">
      <c r="E101" s="54"/>
      <c r="F101" s="54"/>
      <c r="J101" s="54"/>
      <c r="K101" s="54"/>
    </row>
    <row r="102" spans="5:11">
      <c r="E102" s="54"/>
      <c r="F102" s="54"/>
      <c r="J102" s="54"/>
      <c r="K102" s="54"/>
    </row>
    <row r="103" spans="5:11">
      <c r="E103" s="54"/>
      <c r="F103" s="54"/>
      <c r="J103" s="54"/>
      <c r="K103" s="54"/>
    </row>
    <row r="104" spans="5:11">
      <c r="E104" s="54"/>
      <c r="F104" s="54"/>
      <c r="J104" s="54"/>
      <c r="K104" s="54"/>
    </row>
    <row r="105" spans="5:11">
      <c r="E105" s="54"/>
      <c r="F105" s="54"/>
      <c r="J105" s="54"/>
      <c r="K105" s="54"/>
    </row>
    <row r="106" spans="5:11">
      <c r="J106" s="54"/>
      <c r="K106" s="54"/>
    </row>
    <row r="107" spans="5:11">
      <c r="J107" s="54"/>
      <c r="K107" s="54"/>
    </row>
    <row r="108" spans="5:11">
      <c r="J108" s="54"/>
      <c r="K108" s="54"/>
    </row>
    <row r="109" spans="5:11">
      <c r="J109" s="54"/>
      <c r="K109" s="54"/>
    </row>
    <row r="110" spans="5:11">
      <c r="J110" s="54"/>
      <c r="K110" s="54"/>
    </row>
    <row r="111" spans="5:11">
      <c r="J111" s="54"/>
      <c r="K111" s="54"/>
    </row>
    <row r="112" spans="5:11">
      <c r="J112" s="54"/>
      <c r="K112" s="54"/>
    </row>
    <row r="113" spans="10:11">
      <c r="J113" s="54"/>
      <c r="K113" s="54"/>
    </row>
    <row r="114" spans="10:11">
      <c r="J114" s="54"/>
      <c r="K114" s="54"/>
    </row>
    <row r="115" spans="10:11">
      <c r="J115" s="54"/>
      <c r="K115" s="54"/>
    </row>
    <row r="116" spans="10:11">
      <c r="J116" s="54"/>
      <c r="K116" s="54"/>
    </row>
    <row r="117" spans="10:11">
      <c r="J117" s="54"/>
      <c r="K117" s="54"/>
    </row>
    <row r="118" spans="10:11">
      <c r="J118" s="54"/>
      <c r="K118" s="54"/>
    </row>
    <row r="119" spans="10:11">
      <c r="J119" s="54"/>
      <c r="K119" s="54"/>
    </row>
    <row r="120" spans="10:11">
      <c r="J120" s="54"/>
      <c r="K120" s="54"/>
    </row>
    <row r="121" spans="10:11">
      <c r="J121" s="54"/>
      <c r="K121" s="54"/>
    </row>
    <row r="122" spans="10:11">
      <c r="J122" s="54"/>
      <c r="K122" s="54"/>
    </row>
    <row r="123" spans="10:11">
      <c r="J123" s="54"/>
      <c r="K123" s="54"/>
    </row>
    <row r="124" spans="10:11">
      <c r="J124" s="54"/>
      <c r="K124" s="54"/>
    </row>
    <row r="125" spans="10:11">
      <c r="J125" s="54"/>
      <c r="K125" s="54"/>
    </row>
    <row r="126" spans="10:11">
      <c r="J126" s="54"/>
      <c r="K126" s="54"/>
    </row>
    <row r="127" spans="10:11">
      <c r="J127" s="54"/>
      <c r="K127" s="54"/>
    </row>
    <row r="128" spans="10:11">
      <c r="J128" s="54"/>
      <c r="K128" s="54"/>
    </row>
    <row r="129" spans="10:11">
      <c r="J129" s="54"/>
      <c r="K129" s="54"/>
    </row>
    <row r="130" spans="10:11">
      <c r="J130" s="54"/>
      <c r="K130" s="54"/>
    </row>
    <row r="131" spans="10:11">
      <c r="J131" s="54"/>
      <c r="K131" s="54"/>
    </row>
    <row r="132" spans="10:11">
      <c r="J132" s="54"/>
      <c r="K132" s="54"/>
    </row>
    <row r="133" spans="10:11">
      <c r="J133" s="54"/>
      <c r="K133" s="54"/>
    </row>
    <row r="134" spans="10:11">
      <c r="J134" s="54"/>
      <c r="K134" s="54"/>
    </row>
    <row r="135" spans="10:11">
      <c r="J135" s="54"/>
      <c r="K135" s="54"/>
    </row>
    <row r="136" spans="10:11">
      <c r="J136" s="54"/>
      <c r="K136" s="54"/>
    </row>
    <row r="137" spans="10:11">
      <c r="J137" s="54"/>
      <c r="K137" s="54"/>
    </row>
    <row r="138" spans="10:11">
      <c r="J138" s="54"/>
      <c r="K138" s="54"/>
    </row>
    <row r="139" spans="10:11">
      <c r="J139" s="54"/>
      <c r="K139" s="54"/>
    </row>
    <row r="140" spans="10:11">
      <c r="J140" s="54"/>
      <c r="K140" s="54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6" bottom="0.5" header="0.5" footer="0.17"/>
  <pageSetup scale="59" fitToHeight="2" orientation="landscape" verticalDpi="300" r:id="rId1"/>
  <headerFooter alignWithMargins="0">
    <oddFooter>&amp;RSchedule &amp;A
Page &amp;P of &amp;N</oddFooter>
  </headerFooter>
  <rowBreaks count="1" manualBreakCount="1">
    <brk id="54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zoomScale="80" zoomScaleNormal="9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54" bestFit="1" customWidth="1"/>
    <col min="6" max="6" width="11.77734375" style="54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54" customWidth="1"/>
    <col min="12" max="12" width="14.77734375" style="1" customWidth="1"/>
    <col min="13" max="16384" width="8.44140625" style="1"/>
  </cols>
  <sheetData>
    <row r="1" spans="1:12">
      <c r="A1" s="1200" t="str">
        <f>Allocation!A1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</row>
    <row r="2" spans="1:12">
      <c r="A2" s="1200" t="str">
        <f>Allocation!A2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</row>
    <row r="3" spans="1:12">
      <c r="A3" s="1200" t="s">
        <v>633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</row>
    <row r="4" spans="1:12">
      <c r="A4" s="1200" t="str">
        <f>'B.1 B'!A4</f>
        <v>as of December 31, 2018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</row>
    <row r="5" spans="1:12">
      <c r="A5" s="31"/>
      <c r="B5" s="30"/>
      <c r="C5" s="30"/>
      <c r="D5" s="30"/>
      <c r="G5" s="30"/>
      <c r="H5" s="371"/>
      <c r="I5" s="30"/>
    </row>
    <row r="6" spans="1:12">
      <c r="A6" s="48" t="s">
        <v>788</v>
      </c>
      <c r="B6" s="48"/>
      <c r="C6" s="35"/>
      <c r="L6" s="1" t="s">
        <v>1425</v>
      </c>
    </row>
    <row r="7" spans="1:12">
      <c r="A7" s="48" t="s">
        <v>1121</v>
      </c>
      <c r="B7" s="35"/>
      <c r="C7" s="48"/>
      <c r="L7" s="1" t="s">
        <v>709</v>
      </c>
    </row>
    <row r="8" spans="1:12">
      <c r="A8" s="5" t="s">
        <v>426</v>
      </c>
      <c r="B8" s="6"/>
      <c r="C8" s="6"/>
      <c r="D8" s="6"/>
      <c r="E8" s="370"/>
      <c r="F8" s="370"/>
      <c r="G8" s="33"/>
      <c r="I8" s="6"/>
      <c r="J8" s="370"/>
      <c r="K8" s="56"/>
      <c r="L8" s="33" t="s">
        <v>1347</v>
      </c>
    </row>
    <row r="9" spans="1:12">
      <c r="A9" s="588"/>
      <c r="D9" s="519"/>
      <c r="E9" s="221" t="s">
        <v>13</v>
      </c>
      <c r="F9" s="2" t="s">
        <v>11</v>
      </c>
      <c r="G9" s="483" t="s">
        <v>97</v>
      </c>
      <c r="H9" s="75"/>
      <c r="I9" s="520"/>
      <c r="J9" s="221" t="s">
        <v>13</v>
      </c>
      <c r="K9" s="2" t="s">
        <v>11</v>
      </c>
      <c r="L9" s="389"/>
    </row>
    <row r="10" spans="1:12">
      <c r="A10" s="334" t="s">
        <v>93</v>
      </c>
      <c r="B10" s="2"/>
      <c r="D10" s="335" t="s">
        <v>1056</v>
      </c>
      <c r="E10" s="2" t="s">
        <v>14</v>
      </c>
      <c r="F10" s="75" t="s">
        <v>594</v>
      </c>
      <c r="G10" s="331" t="s">
        <v>1166</v>
      </c>
      <c r="H10" s="75"/>
      <c r="I10" s="334" t="s">
        <v>92</v>
      </c>
      <c r="J10" s="2" t="s">
        <v>14</v>
      </c>
      <c r="K10" s="75" t="s">
        <v>594</v>
      </c>
      <c r="L10" s="486" t="s">
        <v>12</v>
      </c>
    </row>
    <row r="11" spans="1:12">
      <c r="A11" s="589" t="s">
        <v>99</v>
      </c>
      <c r="B11" s="9"/>
      <c r="C11" s="370" t="s">
        <v>338</v>
      </c>
      <c r="D11" s="484"/>
      <c r="E11" s="185" t="s">
        <v>627</v>
      </c>
      <c r="F11" s="185" t="s">
        <v>627</v>
      </c>
      <c r="G11" s="590" t="s">
        <v>105</v>
      </c>
      <c r="H11" s="75"/>
      <c r="I11" s="332" t="s">
        <v>98</v>
      </c>
      <c r="J11" s="185" t="s">
        <v>627</v>
      </c>
      <c r="K11" s="185" t="s">
        <v>627</v>
      </c>
      <c r="L11" s="591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B13" s="372">
        <v>15560</v>
      </c>
      <c r="C13" s="4" t="s">
        <v>52</v>
      </c>
      <c r="D13" s="501">
        <f>'WP B.6 B'!P13</f>
        <v>-747234.09333333327</v>
      </c>
      <c r="E13" s="516">
        <v>1</v>
      </c>
      <c r="F13" s="516">
        <f>E13</f>
        <v>1</v>
      </c>
      <c r="G13" s="501">
        <f>D13*E13*F13</f>
        <v>-747234.09333333327</v>
      </c>
      <c r="H13" s="77"/>
      <c r="I13" s="326">
        <f>'WP B.6 B'!Q13</f>
        <v>-750998.98615384637</v>
      </c>
      <c r="J13" s="413">
        <f>E13</f>
        <v>1</v>
      </c>
      <c r="K13" s="413">
        <f>F13</f>
        <v>1</v>
      </c>
      <c r="L13" s="501">
        <f>I13*J13*K13</f>
        <v>-750998.98615384637</v>
      </c>
    </row>
    <row r="14" spans="1:12">
      <c r="A14" s="54">
        <f>A13+1</f>
        <v>2</v>
      </c>
      <c r="B14" s="373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2">
        <f t="shared" ref="A15:A24" si="0">A14+1</f>
        <v>3</v>
      </c>
      <c r="B15" s="12" t="s">
        <v>214</v>
      </c>
      <c r="D15" s="35"/>
      <c r="E15" s="221"/>
      <c r="F15" s="221"/>
      <c r="G15" s="74"/>
      <c r="I15" s="35"/>
      <c r="J15" s="221"/>
      <c r="K15" s="221"/>
      <c r="L15" s="35"/>
    </row>
    <row r="16" spans="1:12">
      <c r="A16" s="612">
        <f t="shared" si="0"/>
        <v>4</v>
      </c>
      <c r="B16" s="372">
        <v>15560</v>
      </c>
      <c r="C16" s="4" t="s">
        <v>52</v>
      </c>
      <c r="D16" s="377">
        <f>'WP B.6 B'!P16</f>
        <v>0</v>
      </c>
      <c r="E16" s="517">
        <f>Allocation!G14</f>
        <v>0.104</v>
      </c>
      <c r="F16" s="517">
        <f>Allocation!H14</f>
        <v>0.49780000000000002</v>
      </c>
      <c r="G16" s="377">
        <f>D16*E16*F16</f>
        <v>0</v>
      </c>
      <c r="H16" s="77"/>
      <c r="I16" s="381">
        <f>'WP B.6 B'!Q16</f>
        <v>0</v>
      </c>
      <c r="J16" s="423">
        <f>E16</f>
        <v>0.104</v>
      </c>
      <c r="K16" s="423">
        <f>F16</f>
        <v>0.49780000000000002</v>
      </c>
      <c r="L16" s="377">
        <f>I16*J16*K16</f>
        <v>0</v>
      </c>
    </row>
    <row r="17" spans="1:12">
      <c r="A17" s="612">
        <f t="shared" si="0"/>
        <v>5</v>
      </c>
      <c r="B17" s="374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2">
        <f t="shared" si="0"/>
        <v>6</v>
      </c>
      <c r="B18" s="12" t="s">
        <v>1116</v>
      </c>
      <c r="D18" s="35"/>
      <c r="E18" s="221"/>
      <c r="F18" s="221"/>
      <c r="G18" s="74"/>
      <c r="I18" s="35"/>
      <c r="J18" s="221"/>
      <c r="K18" s="221"/>
      <c r="L18" s="35"/>
    </row>
    <row r="19" spans="1:12">
      <c r="A19" s="612">
        <f t="shared" si="0"/>
        <v>7</v>
      </c>
      <c r="B19" s="372">
        <v>15560</v>
      </c>
      <c r="C19" s="4" t="s">
        <v>52</v>
      </c>
      <c r="D19" s="377">
        <f>'WP B.6 B'!P19</f>
        <v>0</v>
      </c>
      <c r="E19" s="517">
        <f>Allocation!G15</f>
        <v>0.1095</v>
      </c>
      <c r="F19" s="517">
        <f>Allocation!H15</f>
        <v>0.51517972406888612</v>
      </c>
      <c r="G19" s="377">
        <f>D19*E19*F19</f>
        <v>0</v>
      </c>
      <c r="H19" s="77"/>
      <c r="I19" s="381">
        <f>'WP B.6 B'!Q19</f>
        <v>0</v>
      </c>
      <c r="J19" s="423">
        <f>E19</f>
        <v>0.1095</v>
      </c>
      <c r="K19" s="423">
        <f>F19</f>
        <v>0.51517972406888612</v>
      </c>
      <c r="L19" s="377">
        <f>I19*J19*K19</f>
        <v>0</v>
      </c>
    </row>
    <row r="20" spans="1:12">
      <c r="A20" s="612">
        <f t="shared" si="0"/>
        <v>8</v>
      </c>
      <c r="B20" s="374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2">
        <f t="shared" si="0"/>
        <v>9</v>
      </c>
      <c r="B21" s="12" t="s">
        <v>676</v>
      </c>
      <c r="D21" s="35"/>
      <c r="E21" s="221"/>
      <c r="F21" s="221"/>
      <c r="G21" s="74"/>
      <c r="I21" s="35"/>
      <c r="J21" s="221"/>
      <c r="K21" s="221"/>
      <c r="L21" s="35"/>
    </row>
    <row r="22" spans="1:12">
      <c r="A22" s="612">
        <f t="shared" si="0"/>
        <v>10</v>
      </c>
      <c r="B22" s="372">
        <v>15560</v>
      </c>
      <c r="C22" s="4" t="s">
        <v>52</v>
      </c>
      <c r="D22" s="377">
        <f>'WP B.6 B'!P22</f>
        <v>0</v>
      </c>
      <c r="E22" s="516">
        <v>1</v>
      </c>
      <c r="F22" s="517">
        <f>Allocation!H17</f>
        <v>0.49780000000000002</v>
      </c>
      <c r="G22" s="377">
        <f>D22*E22*F22</f>
        <v>0</v>
      </c>
      <c r="H22" s="77"/>
      <c r="I22" s="381">
        <f>'WP B.6 B'!Q22</f>
        <v>0</v>
      </c>
      <c r="J22" s="518">
        <f>$E$22</f>
        <v>1</v>
      </c>
      <c r="K22" s="403">
        <f>$F$22</f>
        <v>0.49780000000000002</v>
      </c>
      <c r="L22" s="377">
        <f>I22*J22*K22</f>
        <v>0</v>
      </c>
    </row>
    <row r="23" spans="1:12">
      <c r="A23" s="612">
        <f t="shared" si="0"/>
        <v>11</v>
      </c>
      <c r="B23" s="373"/>
      <c r="D23" s="77"/>
      <c r="E23" s="168"/>
      <c r="F23" s="168"/>
      <c r="G23" s="77"/>
      <c r="H23" s="77"/>
      <c r="I23" s="77"/>
      <c r="J23" s="375"/>
      <c r="K23" s="375"/>
      <c r="L23" s="77"/>
    </row>
    <row r="24" spans="1:12" ht="15.75" thickBot="1">
      <c r="A24" s="612">
        <f t="shared" si="0"/>
        <v>12</v>
      </c>
      <c r="C24" s="66" t="s">
        <v>719</v>
      </c>
      <c r="D24" s="327">
        <f>D22+D19+D16+D13</f>
        <v>-747234.09333333327</v>
      </c>
      <c r="E24" s="221"/>
      <c r="F24" s="221"/>
      <c r="G24" s="327">
        <f>G22+G19+G16+G13</f>
        <v>-747234.09333333327</v>
      </c>
      <c r="I24" s="327">
        <f>I22+I19+I16+I13</f>
        <v>-750998.98615384637</v>
      </c>
      <c r="J24" s="221"/>
      <c r="K24" s="221"/>
      <c r="L24" s="327">
        <f>L22+L19+L16+L13</f>
        <v>-750998.98615384637</v>
      </c>
    </row>
    <row r="25" spans="1:12" ht="15.75" thickTop="1">
      <c r="A25" s="2"/>
      <c r="D25" s="35"/>
      <c r="E25" s="221"/>
      <c r="F25" s="221"/>
      <c r="G25" s="35"/>
      <c r="I25" s="35"/>
      <c r="J25" s="221"/>
      <c r="K25" s="221"/>
      <c r="L25" s="35"/>
    </row>
    <row r="26" spans="1:12">
      <c r="A26" s="54"/>
      <c r="B26" s="35"/>
      <c r="C26" s="88"/>
      <c r="D26" s="35"/>
      <c r="E26" s="221"/>
      <c r="F26" s="221"/>
      <c r="G26" s="35"/>
      <c r="I26" s="35"/>
      <c r="J26" s="221"/>
      <c r="K26" s="221"/>
      <c r="L26" s="35"/>
    </row>
    <row r="27" spans="1:12">
      <c r="A27" s="35"/>
      <c r="B27" s="35"/>
      <c r="D27" s="35"/>
      <c r="E27" s="221"/>
      <c r="F27" s="221"/>
      <c r="G27" s="35"/>
      <c r="I27" s="35"/>
      <c r="J27" s="221"/>
      <c r="K27" s="221"/>
      <c r="L27" s="35"/>
    </row>
    <row r="28" spans="1:12">
      <c r="A28" s="35"/>
      <c r="B28" s="35"/>
      <c r="C28" s="376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70" zoomScaleNormal="80" zoomScaleSheetLayoutView="70" workbookViewId="0">
      <selection sqref="A1:L1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200" t="str">
        <f>Allocation!A1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</row>
    <row r="2" spans="1:12">
      <c r="A2" s="1200" t="str">
        <f>Allocation!A2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</row>
    <row r="3" spans="1:12">
      <c r="A3" s="1200" t="s">
        <v>633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</row>
    <row r="4" spans="1:12">
      <c r="A4" s="1200" t="str">
        <f>'B.1 F '!A4</f>
        <v>as of March 31, 2020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</row>
    <row r="5" spans="1:12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2">
      <c r="A6" s="48" t="s">
        <v>1055</v>
      </c>
      <c r="B6" s="48"/>
      <c r="C6" s="35"/>
      <c r="L6" s="1" t="s">
        <v>1425</v>
      </c>
    </row>
    <row r="7" spans="1:12">
      <c r="A7" s="48" t="s">
        <v>1121</v>
      </c>
      <c r="B7" s="35"/>
      <c r="C7" s="48"/>
      <c r="L7" s="1" t="s">
        <v>710</v>
      </c>
    </row>
    <row r="8" spans="1:12">
      <c r="A8" s="5" t="s">
        <v>426</v>
      </c>
      <c r="B8" s="6"/>
      <c r="C8" s="6"/>
      <c r="D8" s="6"/>
      <c r="E8" s="6"/>
      <c r="F8" s="6"/>
      <c r="G8" s="33"/>
      <c r="I8" s="6"/>
      <c r="J8" s="6"/>
      <c r="K8" s="33"/>
      <c r="L8" s="33" t="s">
        <v>1347</v>
      </c>
    </row>
    <row r="9" spans="1:12">
      <c r="A9" s="588"/>
      <c r="D9" s="519"/>
      <c r="E9" s="221" t="s">
        <v>13</v>
      </c>
      <c r="F9" s="2" t="s">
        <v>11</v>
      </c>
      <c r="G9" s="483" t="s">
        <v>97</v>
      </c>
      <c r="H9" s="75"/>
      <c r="I9" s="520"/>
      <c r="J9" s="221" t="s">
        <v>13</v>
      </c>
      <c r="K9" s="2" t="s">
        <v>11</v>
      </c>
      <c r="L9" s="389"/>
    </row>
    <row r="10" spans="1:12">
      <c r="A10" s="334" t="s">
        <v>93</v>
      </c>
      <c r="B10" s="2"/>
      <c r="D10" s="335" t="s">
        <v>1056</v>
      </c>
      <c r="E10" s="2" t="s">
        <v>14</v>
      </c>
      <c r="F10" s="75" t="s">
        <v>594</v>
      </c>
      <c r="G10" s="331" t="s">
        <v>1166</v>
      </c>
      <c r="H10" s="75"/>
      <c r="I10" s="334" t="s">
        <v>92</v>
      </c>
      <c r="J10" s="2" t="s">
        <v>14</v>
      </c>
      <c r="K10" s="75" t="s">
        <v>594</v>
      </c>
      <c r="L10" s="486" t="s">
        <v>12</v>
      </c>
    </row>
    <row r="11" spans="1:12">
      <c r="A11" s="589" t="s">
        <v>99</v>
      </c>
      <c r="B11" s="9"/>
      <c r="C11" s="370" t="s">
        <v>338</v>
      </c>
      <c r="D11" s="484"/>
      <c r="E11" s="185" t="s">
        <v>627</v>
      </c>
      <c r="F11" s="185" t="s">
        <v>627</v>
      </c>
      <c r="G11" s="590" t="s">
        <v>105</v>
      </c>
      <c r="H11" s="75"/>
      <c r="I11" s="332" t="s">
        <v>98</v>
      </c>
      <c r="J11" s="185" t="s">
        <v>627</v>
      </c>
      <c r="K11" s="185" t="s">
        <v>627</v>
      </c>
      <c r="L11" s="591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B13" s="372">
        <v>15560</v>
      </c>
      <c r="C13" s="4" t="s">
        <v>52</v>
      </c>
      <c r="D13" s="501">
        <f>'WP B.6 F'!P13</f>
        <v>-747234.09333333327</v>
      </c>
      <c r="E13" s="516">
        <v>1</v>
      </c>
      <c r="F13" s="516">
        <f>E13</f>
        <v>1</v>
      </c>
      <c r="G13" s="501">
        <f>D13*E13*F13</f>
        <v>-747234.09333333327</v>
      </c>
      <c r="H13" s="77"/>
      <c r="I13" s="326">
        <f>'WP B.6 F'!Q13</f>
        <v>-747234.0933333335</v>
      </c>
      <c r="J13" s="413">
        <f>E13</f>
        <v>1</v>
      </c>
      <c r="K13" s="413">
        <f>F13</f>
        <v>1</v>
      </c>
      <c r="L13" s="501">
        <f>I13*J13*K13</f>
        <v>-747234.0933333335</v>
      </c>
    </row>
    <row r="14" spans="1:12">
      <c r="A14" s="54">
        <f>A13+1</f>
        <v>2</v>
      </c>
      <c r="B14" s="373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2">
        <f t="shared" ref="A15:A24" si="0">A14+1</f>
        <v>3</v>
      </c>
      <c r="B15" s="12" t="s">
        <v>214</v>
      </c>
      <c r="D15" s="35"/>
      <c r="E15" s="221"/>
      <c r="F15" s="221"/>
      <c r="G15" s="74"/>
      <c r="I15" s="380"/>
      <c r="J15" s="221"/>
      <c r="K15" s="221"/>
      <c r="L15" s="35"/>
    </row>
    <row r="16" spans="1:12">
      <c r="A16" s="612">
        <f t="shared" si="0"/>
        <v>4</v>
      </c>
      <c r="B16" s="372">
        <v>15560</v>
      </c>
      <c r="C16" s="4" t="s">
        <v>52</v>
      </c>
      <c r="D16" s="377">
        <f>'WP B.6 F'!P16</f>
        <v>0</v>
      </c>
      <c r="E16" s="517">
        <f>Allocation!C14</f>
        <v>0.104</v>
      </c>
      <c r="F16" s="517">
        <f>Allocation!D14</f>
        <v>0.49780000000000002</v>
      </c>
      <c r="G16" s="377">
        <f>D16*E16*F16</f>
        <v>0</v>
      </c>
      <c r="H16" s="77"/>
      <c r="I16" s="381">
        <f>'WP B.6 F'!Q16</f>
        <v>0</v>
      </c>
      <c r="J16" s="423">
        <f>E16</f>
        <v>0.104</v>
      </c>
      <c r="K16" s="423">
        <f>F16</f>
        <v>0.49780000000000002</v>
      </c>
      <c r="L16" s="377">
        <f>I16*J16*K16</f>
        <v>0</v>
      </c>
    </row>
    <row r="17" spans="1:12">
      <c r="A17" s="612">
        <f t="shared" si="0"/>
        <v>5</v>
      </c>
      <c r="B17" s="374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2">
        <f t="shared" si="0"/>
        <v>6</v>
      </c>
      <c r="B18" s="12" t="s">
        <v>1116</v>
      </c>
      <c r="D18" s="35"/>
      <c r="E18" s="221"/>
      <c r="F18" s="221"/>
      <c r="G18" s="381"/>
      <c r="I18" s="35"/>
      <c r="J18" s="221"/>
      <c r="K18" s="221"/>
      <c r="L18" s="35"/>
    </row>
    <row r="19" spans="1:12">
      <c r="A19" s="612">
        <f t="shared" si="0"/>
        <v>7</v>
      </c>
      <c r="B19" s="372">
        <v>15560</v>
      </c>
      <c r="C19" s="4" t="s">
        <v>52</v>
      </c>
      <c r="D19" s="377">
        <f>'WP B.6 F'!P19</f>
        <v>0</v>
      </c>
      <c r="E19" s="517">
        <f>Allocation!C15</f>
        <v>0.1095</v>
      </c>
      <c r="F19" s="517">
        <f>Allocation!D15</f>
        <v>0.51517972406888612</v>
      </c>
      <c r="G19" s="377">
        <f>D19*E19*F19</f>
        <v>0</v>
      </c>
      <c r="H19" s="77"/>
      <c r="I19" s="381">
        <f>'WP B.6 F'!Q19</f>
        <v>0</v>
      </c>
      <c r="J19" s="423">
        <f>E19</f>
        <v>0.1095</v>
      </c>
      <c r="K19" s="423">
        <f>F19</f>
        <v>0.51517972406888612</v>
      </c>
      <c r="L19" s="377">
        <f>I19*J19*K19</f>
        <v>0</v>
      </c>
    </row>
    <row r="20" spans="1:12">
      <c r="A20" s="612">
        <f t="shared" si="0"/>
        <v>8</v>
      </c>
      <c r="B20" s="374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2">
        <f t="shared" si="0"/>
        <v>9</v>
      </c>
      <c r="B21" s="12" t="s">
        <v>676</v>
      </c>
      <c r="D21" s="35"/>
      <c r="E21" s="221"/>
      <c r="F21" s="221"/>
      <c r="G21" s="74"/>
      <c r="I21" s="35"/>
      <c r="J21" s="221"/>
      <c r="K21" s="221"/>
      <c r="L21" s="35"/>
    </row>
    <row r="22" spans="1:12">
      <c r="A22" s="612">
        <f t="shared" si="0"/>
        <v>10</v>
      </c>
      <c r="B22" s="372">
        <v>15560</v>
      </c>
      <c r="C22" s="4" t="s">
        <v>52</v>
      </c>
      <c r="D22" s="77">
        <f>'WP B.6 F'!P22</f>
        <v>0</v>
      </c>
      <c r="E22" s="516">
        <v>1</v>
      </c>
      <c r="F22" s="517">
        <f>Allocation!D17</f>
        <v>0.49780000000000002</v>
      </c>
      <c r="G22" s="77">
        <f>D22*$E$22*F22</f>
        <v>0</v>
      </c>
      <c r="H22" s="77"/>
      <c r="I22" s="74">
        <f>'WP B.6 F'!Q22</f>
        <v>0</v>
      </c>
      <c r="J22" s="518">
        <f>$E$22</f>
        <v>1</v>
      </c>
      <c r="K22" s="403">
        <f>$F$22</f>
        <v>0.49780000000000002</v>
      </c>
      <c r="L22" s="77">
        <f>I22*J22*K22</f>
        <v>0</v>
      </c>
    </row>
    <row r="23" spans="1:12">
      <c r="A23" s="612">
        <f t="shared" si="0"/>
        <v>11</v>
      </c>
      <c r="B23" s="373"/>
      <c r="D23" s="77"/>
      <c r="E23" s="42"/>
      <c r="F23" s="42"/>
      <c r="G23" s="77"/>
      <c r="H23" s="77"/>
      <c r="I23" s="77"/>
      <c r="J23" s="77"/>
      <c r="K23" s="77"/>
      <c r="L23" s="77"/>
    </row>
    <row r="24" spans="1:12" ht="15.75" thickBot="1">
      <c r="A24" s="612">
        <f t="shared" si="0"/>
        <v>12</v>
      </c>
      <c r="C24" s="4" t="s">
        <v>719</v>
      </c>
      <c r="D24" s="327">
        <f>D22+D19+D16+D13</f>
        <v>-747234.09333333327</v>
      </c>
      <c r="E24" s="35"/>
      <c r="F24" s="35"/>
      <c r="G24" s="327">
        <f>G22+G19+G16+G13</f>
        <v>-747234.09333333327</v>
      </c>
      <c r="I24" s="327">
        <f>I22+I19+I16+I13</f>
        <v>-747234.0933333335</v>
      </c>
      <c r="J24" s="35"/>
      <c r="K24" s="35"/>
      <c r="L24" s="327">
        <f>L22+L19+L16+L13</f>
        <v>-747234.0933333335</v>
      </c>
    </row>
    <row r="25" spans="1:12" ht="15.75" thickTop="1"/>
    <row r="26" spans="1:12">
      <c r="A26" s="35"/>
      <c r="B26" s="35"/>
      <c r="C26" s="88"/>
      <c r="D26" s="35"/>
      <c r="E26" s="35"/>
      <c r="F26" s="35"/>
      <c r="G26" s="35"/>
      <c r="I26" s="35"/>
      <c r="J26" s="35"/>
      <c r="K26" s="35"/>
      <c r="L26" s="35"/>
    </row>
    <row r="27" spans="1:12">
      <c r="A27" s="35"/>
      <c r="B27" s="35"/>
      <c r="D27" s="35"/>
      <c r="E27" s="35"/>
      <c r="F27" s="35"/>
      <c r="G27" s="35"/>
      <c r="I27" s="35"/>
      <c r="J27" s="35"/>
      <c r="K27" s="35"/>
      <c r="L27" s="35"/>
    </row>
    <row r="28" spans="1:12">
      <c r="A28" s="35"/>
      <c r="B28" s="35"/>
      <c r="C28" s="376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80" zoomScaleNormal="80" zoomScaleSheetLayoutView="8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sqref="A1:P1"/>
    </sheetView>
  </sheetViews>
  <sheetFormatPr defaultRowHeight="15"/>
  <cols>
    <col min="1" max="1" width="4.33203125" style="80" bestFit="1" customWidth="1"/>
    <col min="2" max="2" width="44.21875" style="80" customWidth="1"/>
    <col min="3" max="11" width="12" style="80" bestFit="1" customWidth="1"/>
    <col min="12" max="12" width="12.6640625" style="80" customWidth="1"/>
    <col min="13" max="13" width="12.5546875" style="80" bestFit="1" customWidth="1"/>
    <col min="14" max="14" width="12" style="80" bestFit="1" customWidth="1"/>
    <col min="15" max="15" width="11.88671875" style="80" customWidth="1"/>
    <col min="16" max="16" width="12" style="80" bestFit="1" customWidth="1"/>
    <col min="17" max="17" width="10.44140625" style="80" bestFit="1" customWidth="1"/>
    <col min="18" max="18" width="7.109375" style="80" customWidth="1"/>
    <col min="19" max="16384" width="8.88671875" style="80"/>
  </cols>
  <sheetData>
    <row r="1" spans="1:18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</row>
    <row r="2" spans="1:18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</row>
    <row r="3" spans="1:18">
      <c r="A3" s="1196" t="str">
        <f>'Table of Contents'!A3:C3</f>
        <v>Base Period: Twelve Months Ended December 31, 2018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</row>
    <row r="4" spans="1:18">
      <c r="A4" s="1196" t="s">
        <v>112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</row>
    <row r="5" spans="1:18">
      <c r="P5" s="597" t="s">
        <v>1422</v>
      </c>
    </row>
    <row r="7" spans="1:18">
      <c r="A7" s="80" t="s">
        <v>93</v>
      </c>
      <c r="C7" s="854" t="s">
        <v>107</v>
      </c>
      <c r="D7" s="854" t="s">
        <v>107</v>
      </c>
      <c r="E7" s="854" t="s">
        <v>107</v>
      </c>
      <c r="F7" s="854" t="s">
        <v>107</v>
      </c>
      <c r="G7" s="854" t="s">
        <v>107</v>
      </c>
      <c r="H7" s="854" t="s">
        <v>107</v>
      </c>
      <c r="I7" s="854" t="s">
        <v>107</v>
      </c>
      <c r="J7" s="854" t="s">
        <v>1389</v>
      </c>
      <c r="K7" s="854" t="s">
        <v>453</v>
      </c>
      <c r="L7" s="854" t="s">
        <v>453</v>
      </c>
      <c r="M7" s="854" t="s">
        <v>453</v>
      </c>
      <c r="N7" s="854" t="s">
        <v>453</v>
      </c>
      <c r="O7" s="854" t="s">
        <v>453</v>
      </c>
      <c r="P7" s="854" t="s">
        <v>45</v>
      </c>
    </row>
    <row r="8" spans="1:18">
      <c r="A8" s="923" t="s">
        <v>99</v>
      </c>
      <c r="B8" s="923" t="s">
        <v>985</v>
      </c>
      <c r="C8" s="613">
        <f>O8-365</f>
        <v>43070</v>
      </c>
      <c r="D8" s="613">
        <f>'C.2.2 B 09'!D10</f>
        <v>43101</v>
      </c>
      <c r="E8" s="613">
        <f>'C.2.2 B 09'!E10</f>
        <v>43132</v>
      </c>
      <c r="F8" s="613">
        <f>'C.2.2 B 09'!F10</f>
        <v>43160</v>
      </c>
      <c r="G8" s="613">
        <f>'C.2.2 B 09'!G10</f>
        <v>43191</v>
      </c>
      <c r="H8" s="613">
        <f>'C.2.2 B 09'!H10</f>
        <v>43221</v>
      </c>
      <c r="I8" s="613">
        <f>'C.2.2 B 09'!I10</f>
        <v>43252</v>
      </c>
      <c r="J8" s="613">
        <f>'C.2.2 B 09'!J10</f>
        <v>43282</v>
      </c>
      <c r="K8" s="613">
        <f>'C.2.2 B 09'!K10</f>
        <v>43313</v>
      </c>
      <c r="L8" s="613">
        <f>'C.2.2 B 09'!L10</f>
        <v>43344</v>
      </c>
      <c r="M8" s="613">
        <f>'C.2.2 B 09'!M10</f>
        <v>43374</v>
      </c>
      <c r="N8" s="613">
        <f>'C.2.2 B 09'!N10</f>
        <v>43405</v>
      </c>
      <c r="O8" s="613">
        <f>'C.2.2 B 09'!O10</f>
        <v>43435</v>
      </c>
      <c r="P8" s="929" t="s">
        <v>98</v>
      </c>
      <c r="Q8" s="671"/>
      <c r="R8" s="671"/>
    </row>
    <row r="10" spans="1:18" ht="15.75">
      <c r="A10" s="854">
        <v>1</v>
      </c>
      <c r="B10" s="515" t="s">
        <v>267</v>
      </c>
    </row>
    <row r="11" spans="1:18">
      <c r="A11" s="854">
        <v>2</v>
      </c>
      <c r="B11" s="695"/>
      <c r="R11" s="691"/>
    </row>
    <row r="12" spans="1:18">
      <c r="A12" s="854">
        <v>3</v>
      </c>
      <c r="B12" s="695" t="s">
        <v>1171</v>
      </c>
    </row>
    <row r="13" spans="1:18">
      <c r="A13" s="854">
        <v>4</v>
      </c>
      <c r="B13" s="808" t="s">
        <v>513</v>
      </c>
      <c r="C13" s="360">
        <f>[7]summary!K$21</f>
        <v>0</v>
      </c>
      <c r="D13" s="360">
        <f>[7]summary!L$21</f>
        <v>0</v>
      </c>
      <c r="E13" s="360">
        <f>[7]summary!M$21</f>
        <v>0</v>
      </c>
      <c r="F13" s="360">
        <f>[7]summary!N$21</f>
        <v>0</v>
      </c>
      <c r="G13" s="360">
        <f>[7]summary!O$21</f>
        <v>0</v>
      </c>
      <c r="H13" s="360">
        <f>[7]summary!P$21</f>
        <v>0</v>
      </c>
      <c r="I13" s="360">
        <f>[7]summary!Q$21</f>
        <v>0</v>
      </c>
      <c r="J13" s="360">
        <f>[7]summary!R$21</f>
        <v>0</v>
      </c>
      <c r="K13" s="360">
        <f>[7]summary!S$21</f>
        <v>0</v>
      </c>
      <c r="L13" s="360">
        <f>[7]summary!T$21</f>
        <v>0</v>
      </c>
      <c r="M13" s="360">
        <f>[7]summary!U$21</f>
        <v>0</v>
      </c>
      <c r="N13" s="360">
        <f>[7]summary!V$21</f>
        <v>0</v>
      </c>
      <c r="O13" s="360">
        <f>[7]summary!W$21</f>
        <v>0</v>
      </c>
      <c r="R13" s="691"/>
    </row>
    <row r="14" spans="1:18">
      <c r="A14" s="854">
        <v>5</v>
      </c>
      <c r="B14" s="808" t="s">
        <v>514</v>
      </c>
      <c r="C14" s="360">
        <f>[7]summary!K$22</f>
        <v>-270186.74</v>
      </c>
      <c r="D14" s="360">
        <f>[7]summary!L$22</f>
        <v>-311624.05</v>
      </c>
      <c r="E14" s="360">
        <f>[7]summary!M$22</f>
        <v>-344283.63</v>
      </c>
      <c r="F14" s="360">
        <f>[7]summary!N$22</f>
        <v>-380390.49</v>
      </c>
      <c r="G14" s="360">
        <f>[7]summary!O$22</f>
        <v>-401616.5</v>
      </c>
      <c r="H14" s="360">
        <f>[7]summary!P$22</f>
        <v>-454551.93</v>
      </c>
      <c r="I14" s="360">
        <f>[7]summary!Q$22</f>
        <v>-520274.73</v>
      </c>
      <c r="J14" s="360">
        <f>[7]summary!R$22</f>
        <v>-402123.55499999999</v>
      </c>
      <c r="K14" s="360">
        <f>[7]summary!S$22</f>
        <v>-402123.55499999999</v>
      </c>
      <c r="L14" s="360">
        <f>[7]summary!T$22</f>
        <v>-402123.55499999999</v>
      </c>
      <c r="M14" s="360">
        <f>[7]summary!U$22</f>
        <v>-402123.55499999999</v>
      </c>
      <c r="N14" s="360">
        <f>[7]summary!V$22</f>
        <v>-402123.55499999999</v>
      </c>
      <c r="O14" s="360">
        <f>[7]summary!W$22</f>
        <v>-402123.55499999999</v>
      </c>
    </row>
    <row r="15" spans="1:18">
      <c r="A15" s="854">
        <v>6</v>
      </c>
      <c r="B15" s="1068" t="s">
        <v>515</v>
      </c>
      <c r="C15" s="724">
        <f>SUM(C13:C14)</f>
        <v>-270186.74</v>
      </c>
      <c r="D15" s="724">
        <f t="shared" ref="D15:O15" si="0">SUM(D13:D14)</f>
        <v>-311624.05</v>
      </c>
      <c r="E15" s="724">
        <f t="shared" si="0"/>
        <v>-344283.63</v>
      </c>
      <c r="F15" s="724">
        <f t="shared" si="0"/>
        <v>-380390.49</v>
      </c>
      <c r="G15" s="724">
        <f t="shared" si="0"/>
        <v>-401616.5</v>
      </c>
      <c r="H15" s="724">
        <f t="shared" si="0"/>
        <v>-454551.93</v>
      </c>
      <c r="I15" s="724">
        <f t="shared" si="0"/>
        <v>-520274.73</v>
      </c>
      <c r="J15" s="724">
        <f t="shared" si="0"/>
        <v>-402123.55499999999</v>
      </c>
      <c r="K15" s="724">
        <f t="shared" si="0"/>
        <v>-402123.55499999999</v>
      </c>
      <c r="L15" s="724">
        <f t="shared" si="0"/>
        <v>-402123.55499999999</v>
      </c>
      <c r="M15" s="724">
        <f t="shared" si="0"/>
        <v>-402123.55499999999</v>
      </c>
      <c r="N15" s="724">
        <f t="shared" si="0"/>
        <v>-402123.55499999999</v>
      </c>
      <c r="O15" s="724">
        <f t="shared" si="0"/>
        <v>-402123.55499999999</v>
      </c>
      <c r="P15" s="360">
        <f>(SUM(C15:O15))/13</f>
        <v>-391974.56923076924</v>
      </c>
    </row>
    <row r="16" spans="1:18">
      <c r="A16" s="854">
        <v>7</v>
      </c>
      <c r="B16" s="808"/>
    </row>
    <row r="17" spans="1:16">
      <c r="A17" s="854">
        <v>8</v>
      </c>
      <c r="B17" s="808" t="s">
        <v>1172</v>
      </c>
    </row>
    <row r="18" spans="1:16">
      <c r="A18" s="854">
        <v>9</v>
      </c>
      <c r="B18" s="808" t="s">
        <v>513</v>
      </c>
      <c r="C18" s="360">
        <f>[7]summary!K$16</f>
        <v>76067.56</v>
      </c>
      <c r="D18" s="360">
        <f>[7]summary!L$16</f>
        <v>76067.56</v>
      </c>
      <c r="E18" s="360">
        <f>[7]summary!M$16</f>
        <v>76067.56</v>
      </c>
      <c r="F18" s="360">
        <f>[7]summary!N$16</f>
        <v>76067.56</v>
      </c>
      <c r="G18" s="360">
        <f>[7]summary!O$16</f>
        <v>76067.56</v>
      </c>
      <c r="H18" s="360">
        <f>[7]summary!P$16</f>
        <v>64639.95</v>
      </c>
      <c r="I18" s="360">
        <f>[7]summary!Q$16</f>
        <v>64639.95</v>
      </c>
      <c r="J18" s="360">
        <f>[7]summary!R$16</f>
        <v>72258.356666666674</v>
      </c>
      <c r="K18" s="360">
        <f>[7]summary!S$16</f>
        <v>72258.356666666674</v>
      </c>
      <c r="L18" s="360">
        <f>[7]summary!T$16</f>
        <v>72258.356666666674</v>
      </c>
      <c r="M18" s="360">
        <f>[7]summary!U$16</f>
        <v>72258.356666666674</v>
      </c>
      <c r="N18" s="360">
        <f>[7]summary!V$16</f>
        <v>72258.356666666674</v>
      </c>
      <c r="O18" s="360">
        <f>[7]summary!W$16</f>
        <v>72258.356666666674</v>
      </c>
    </row>
    <row r="19" spans="1:16">
      <c r="A19" s="854">
        <v>10</v>
      </c>
      <c r="B19" s="808" t="s">
        <v>514</v>
      </c>
      <c r="C19" s="360">
        <f>[7]summary!K$17</f>
        <v>652973.32999999996</v>
      </c>
      <c r="D19" s="360">
        <f>[7]summary!L$17</f>
        <v>730180.9</v>
      </c>
      <c r="E19" s="360">
        <f>[7]summary!M$17</f>
        <v>820252.4</v>
      </c>
      <c r="F19" s="360">
        <f>[7]summary!N$17</f>
        <v>926971.8</v>
      </c>
      <c r="G19" s="360">
        <f>[7]summary!O$17</f>
        <v>1009823.08</v>
      </c>
      <c r="H19" s="360">
        <f>[7]summary!P$17</f>
        <v>1111262.44</v>
      </c>
      <c r="I19" s="360">
        <f>[7]summary!Q$17</f>
        <v>1235410.6599999999</v>
      </c>
      <c r="J19" s="360">
        <f>[7]summary!R$17</f>
        <v>972316.88</v>
      </c>
      <c r="K19" s="360">
        <f>[7]summary!S$17</f>
        <v>972316.88</v>
      </c>
      <c r="L19" s="360">
        <f>[7]summary!T$17</f>
        <v>972316.88</v>
      </c>
      <c r="M19" s="360">
        <f>[7]summary!U$17</f>
        <v>972316.88</v>
      </c>
      <c r="N19" s="360">
        <f>[7]summary!V$17</f>
        <v>972316.88</v>
      </c>
      <c r="O19" s="360">
        <f>[7]summary!W$17</f>
        <v>972316.88</v>
      </c>
    </row>
    <row r="20" spans="1:16">
      <c r="A20" s="854">
        <v>11</v>
      </c>
      <c r="B20" s="1068" t="s">
        <v>515</v>
      </c>
      <c r="C20" s="724">
        <f>SUM(C18:C19)</f>
        <v>729040.8899999999</v>
      </c>
      <c r="D20" s="724">
        <f t="shared" ref="D20:O20" si="1">SUM(D18:D19)</f>
        <v>806248.46</v>
      </c>
      <c r="E20" s="724">
        <f t="shared" si="1"/>
        <v>896319.96</v>
      </c>
      <c r="F20" s="724">
        <f t="shared" si="1"/>
        <v>1003039.3600000001</v>
      </c>
      <c r="G20" s="724">
        <f t="shared" si="1"/>
        <v>1085890.6399999999</v>
      </c>
      <c r="H20" s="724">
        <f t="shared" si="1"/>
        <v>1175902.3899999999</v>
      </c>
      <c r="I20" s="724">
        <f t="shared" si="1"/>
        <v>1300050.6099999999</v>
      </c>
      <c r="J20" s="724">
        <f t="shared" si="1"/>
        <v>1044575.2366666667</v>
      </c>
      <c r="K20" s="724">
        <f t="shared" si="1"/>
        <v>1044575.2366666667</v>
      </c>
      <c r="L20" s="724">
        <f t="shared" si="1"/>
        <v>1044575.2366666667</v>
      </c>
      <c r="M20" s="724">
        <f t="shared" si="1"/>
        <v>1044575.2366666667</v>
      </c>
      <c r="N20" s="724">
        <f t="shared" si="1"/>
        <v>1044575.2366666667</v>
      </c>
      <c r="O20" s="724">
        <f t="shared" si="1"/>
        <v>1044575.2366666667</v>
      </c>
      <c r="P20" s="360">
        <f>(SUM(C20:O20))/13</f>
        <v>1020303.3638461536</v>
      </c>
    </row>
    <row r="21" spans="1:16">
      <c r="A21" s="854">
        <v>12</v>
      </c>
      <c r="B21" s="808"/>
    </row>
    <row r="22" spans="1:16">
      <c r="A22" s="854">
        <v>13</v>
      </c>
      <c r="B22" s="808" t="s">
        <v>1173</v>
      </c>
    </row>
    <row r="23" spans="1:16">
      <c r="A23" s="854">
        <v>14</v>
      </c>
      <c r="B23" s="808" t="s">
        <v>513</v>
      </c>
      <c r="C23" s="1069">
        <f>[7]summary!K6</f>
        <v>0</v>
      </c>
      <c r="D23" s="1069">
        <f>[7]summary!L6</f>
        <v>0</v>
      </c>
      <c r="E23" s="1069">
        <f>[7]summary!M6</f>
        <v>0</v>
      </c>
      <c r="F23" s="1069">
        <f>[7]summary!N6</f>
        <v>0</v>
      </c>
      <c r="G23" s="1069">
        <f>[7]summary!O6</f>
        <v>0</v>
      </c>
      <c r="H23" s="1069">
        <f>[7]summary!P6</f>
        <v>0</v>
      </c>
      <c r="I23" s="1069">
        <f>[7]summary!Q6</f>
        <v>0</v>
      </c>
      <c r="J23" s="1069">
        <f>[7]summary!R6</f>
        <v>0</v>
      </c>
      <c r="K23" s="1069">
        <f>[7]summary!S6</f>
        <v>0</v>
      </c>
      <c r="L23" s="1069">
        <f>[7]summary!T6</f>
        <v>0</v>
      </c>
      <c r="M23" s="1069">
        <f>[7]summary!U6</f>
        <v>0</v>
      </c>
      <c r="N23" s="1069">
        <f>[7]summary!V6</f>
        <v>0</v>
      </c>
      <c r="O23" s="1069">
        <f>[7]summary!W6</f>
        <v>0</v>
      </c>
    </row>
    <row r="24" spans="1:16">
      <c r="A24" s="854">
        <v>15</v>
      </c>
      <c r="B24" s="808" t="s">
        <v>514</v>
      </c>
      <c r="C24" s="1069">
        <f>[7]summary!K7</f>
        <v>1.13687E-12</v>
      </c>
      <c r="D24" s="1069">
        <f>[7]summary!L7</f>
        <v>9.0949500000000005E-12</v>
      </c>
      <c r="E24" s="1069">
        <f>[7]summary!M7</f>
        <v>0.01</v>
      </c>
      <c r="F24" s="1069">
        <f>[7]summary!N7</f>
        <v>0.01</v>
      </c>
      <c r="G24" s="1069">
        <f>[7]summary!O7</f>
        <v>3.3651300000000002E-11</v>
      </c>
      <c r="H24" s="1069">
        <f>[7]summary!P7</f>
        <v>0.01</v>
      </c>
      <c r="I24" s="1069">
        <f>[7]summary!Q7</f>
        <v>-0.01</v>
      </c>
      <c r="J24" s="1069">
        <f>[7]summary!R7</f>
        <v>-0.01</v>
      </c>
      <c r="K24" s="1069">
        <f>[7]summary!S7</f>
        <v>-0.01</v>
      </c>
      <c r="L24" s="1069">
        <f>[7]summary!T7</f>
        <v>-0.01</v>
      </c>
      <c r="M24" s="1069">
        <f>[7]summary!U7</f>
        <v>-0.01</v>
      </c>
      <c r="N24" s="1069">
        <f>[7]summary!V7</f>
        <v>-0.01</v>
      </c>
      <c r="O24" s="1069">
        <f>[7]summary!W7</f>
        <v>-0.01</v>
      </c>
    </row>
    <row r="25" spans="1:16">
      <c r="A25" s="854">
        <v>16</v>
      </c>
      <c r="B25" s="1068" t="s">
        <v>515</v>
      </c>
      <c r="C25" s="724">
        <f>SUM(C23:C24)</f>
        <v>1.13687E-12</v>
      </c>
      <c r="D25" s="724">
        <f t="shared" ref="D25:O25" si="2">SUM(D23:D24)</f>
        <v>9.0949500000000005E-12</v>
      </c>
      <c r="E25" s="724">
        <f t="shared" si="2"/>
        <v>0.01</v>
      </c>
      <c r="F25" s="724">
        <f t="shared" si="2"/>
        <v>0.01</v>
      </c>
      <c r="G25" s="724">
        <f t="shared" si="2"/>
        <v>3.3651300000000002E-11</v>
      </c>
      <c r="H25" s="724">
        <f t="shared" si="2"/>
        <v>0.01</v>
      </c>
      <c r="I25" s="724">
        <f t="shared" si="2"/>
        <v>-0.01</v>
      </c>
      <c r="J25" s="724">
        <f t="shared" si="2"/>
        <v>-0.01</v>
      </c>
      <c r="K25" s="724">
        <f t="shared" si="2"/>
        <v>-0.01</v>
      </c>
      <c r="L25" s="724">
        <f t="shared" si="2"/>
        <v>-0.01</v>
      </c>
      <c r="M25" s="724">
        <f t="shared" si="2"/>
        <v>-0.01</v>
      </c>
      <c r="N25" s="724">
        <f t="shared" si="2"/>
        <v>-0.01</v>
      </c>
      <c r="O25" s="724">
        <f t="shared" si="2"/>
        <v>-0.01</v>
      </c>
      <c r="P25" s="360">
        <f>(SUM(C25:O25))/13</f>
        <v>-3.0769230735474529E-3</v>
      </c>
    </row>
    <row r="26" spans="1:16">
      <c r="A26" s="854">
        <v>17</v>
      </c>
      <c r="B26" s="808"/>
    </row>
    <row r="27" spans="1:16">
      <c r="A27" s="854">
        <v>18</v>
      </c>
      <c r="B27" s="808" t="s">
        <v>1174</v>
      </c>
    </row>
    <row r="28" spans="1:16">
      <c r="A28" s="854">
        <v>19</v>
      </c>
      <c r="B28" s="808" t="s">
        <v>513</v>
      </c>
      <c r="C28" s="1069">
        <f>[7]summary!K11</f>
        <v>0</v>
      </c>
      <c r="D28" s="1069">
        <f>[7]summary!L11</f>
        <v>0</v>
      </c>
      <c r="E28" s="1069">
        <f>[7]summary!M11</f>
        <v>0</v>
      </c>
      <c r="F28" s="1069">
        <f>[7]summary!N11</f>
        <v>0</v>
      </c>
      <c r="G28" s="1069">
        <f>[7]summary!O11</f>
        <v>0</v>
      </c>
      <c r="H28" s="1069">
        <f>[7]summary!P11</f>
        <v>0</v>
      </c>
      <c r="I28" s="1069">
        <f>[7]summary!Q11</f>
        <v>0</v>
      </c>
      <c r="J28" s="1069">
        <f>[7]summary!R11</f>
        <v>0</v>
      </c>
      <c r="K28" s="1069">
        <f>[7]summary!S11</f>
        <v>0</v>
      </c>
      <c r="L28" s="1069">
        <f>[7]summary!T11</f>
        <v>0</v>
      </c>
      <c r="M28" s="1069">
        <f>[7]summary!U11</f>
        <v>0</v>
      </c>
      <c r="N28" s="1069">
        <f>[7]summary!V11</f>
        <v>0</v>
      </c>
      <c r="O28" s="1069">
        <f>[7]summary!W11</f>
        <v>0</v>
      </c>
    </row>
    <row r="29" spans="1:16">
      <c r="A29" s="854">
        <v>20</v>
      </c>
      <c r="B29" s="808" t="s">
        <v>514</v>
      </c>
      <c r="C29" s="1069">
        <f>[7]summary!K12</f>
        <v>0</v>
      </c>
      <c r="D29" s="1069">
        <f>[7]summary!L12</f>
        <v>0</v>
      </c>
      <c r="E29" s="1069">
        <f>[7]summary!M12</f>
        <v>0</v>
      </c>
      <c r="F29" s="1069">
        <f>[7]summary!N12</f>
        <v>0</v>
      </c>
      <c r="G29" s="1069">
        <f>[7]summary!O12</f>
        <v>0</v>
      </c>
      <c r="H29" s="1069">
        <f>[7]summary!P12</f>
        <v>0</v>
      </c>
      <c r="I29" s="1069">
        <f>[7]summary!Q12</f>
        <v>0</v>
      </c>
      <c r="J29" s="1069">
        <f>[7]summary!R12</f>
        <v>0</v>
      </c>
      <c r="K29" s="1069">
        <f>[7]summary!S12</f>
        <v>0</v>
      </c>
      <c r="L29" s="1069">
        <f>[7]summary!T12</f>
        <v>0</v>
      </c>
      <c r="M29" s="1069">
        <f>[7]summary!U12</f>
        <v>0</v>
      </c>
      <c r="N29" s="1069">
        <f>[7]summary!V12</f>
        <v>0</v>
      </c>
      <c r="O29" s="1069">
        <f>[7]summary!W12</f>
        <v>0</v>
      </c>
    </row>
    <row r="30" spans="1:16">
      <c r="A30" s="854">
        <v>21</v>
      </c>
      <c r="B30" s="1068" t="s">
        <v>515</v>
      </c>
      <c r="C30" s="724">
        <f>SUM(C28:C29)</f>
        <v>0</v>
      </c>
      <c r="D30" s="724">
        <f t="shared" ref="D30:J30" si="3">SUM(D28:D29)</f>
        <v>0</v>
      </c>
      <c r="E30" s="724">
        <f t="shared" si="3"/>
        <v>0</v>
      </c>
      <c r="F30" s="724">
        <f t="shared" si="3"/>
        <v>0</v>
      </c>
      <c r="G30" s="724">
        <f t="shared" si="3"/>
        <v>0</v>
      </c>
      <c r="H30" s="724">
        <f t="shared" si="3"/>
        <v>0</v>
      </c>
      <c r="I30" s="724">
        <f t="shared" si="3"/>
        <v>0</v>
      </c>
      <c r="J30" s="724">
        <f t="shared" si="3"/>
        <v>0</v>
      </c>
      <c r="K30" s="724">
        <f>SUM(K28:K29)</f>
        <v>0</v>
      </c>
      <c r="L30" s="724">
        <f>SUM(L28:L29)</f>
        <v>0</v>
      </c>
      <c r="M30" s="724">
        <f>SUM(M28:M29)</f>
        <v>0</v>
      </c>
      <c r="N30" s="724">
        <f>SUM(N28:N29)</f>
        <v>0</v>
      </c>
      <c r="O30" s="724">
        <f>SUM(O28:O29)</f>
        <v>0</v>
      </c>
      <c r="P30" s="360">
        <f>(SUM(C30:O30))/13</f>
        <v>0</v>
      </c>
    </row>
    <row r="31" spans="1:16">
      <c r="A31" s="854">
        <v>22</v>
      </c>
      <c r="B31" s="808"/>
    </row>
    <row r="32" spans="1:16" ht="15.75">
      <c r="A32" s="854">
        <v>23</v>
      </c>
      <c r="B32" s="515" t="s">
        <v>516</v>
      </c>
    </row>
    <row r="33" spans="1:18">
      <c r="A33" s="854">
        <v>24</v>
      </c>
      <c r="B33" s="96"/>
    </row>
    <row r="34" spans="1:18">
      <c r="A34" s="854">
        <v>25</v>
      </c>
      <c r="B34" s="808" t="s">
        <v>1171</v>
      </c>
      <c r="C34" s="360">
        <f>'[8]2018 dollars'!E148</f>
        <v>16751569.73</v>
      </c>
      <c r="D34" s="360">
        <f>'[8]2018 dollars'!F148</f>
        <v>14268077.99</v>
      </c>
      <c r="E34" s="360">
        <f>'[8]2018 dollars'!G148</f>
        <v>10938434.380000001</v>
      </c>
      <c r="F34" s="360">
        <f>'[8]2018 dollars'!H148</f>
        <v>6984757.2800000003</v>
      </c>
      <c r="G34" s="360">
        <f>'[8]2018 dollars'!I148</f>
        <v>7706386.1200000001</v>
      </c>
      <c r="H34" s="360">
        <f>'[8]2018 dollars'!J148</f>
        <v>9950294.6300000008</v>
      </c>
      <c r="I34" s="360">
        <f>'[8]2018 dollars'!K148</f>
        <v>12189928.75</v>
      </c>
      <c r="J34" s="360">
        <f>'[9]Summary of Revenue'!$I$32</f>
        <v>9883669.8599999994</v>
      </c>
      <c r="K34" s="360">
        <f>'[9]Summary of Revenue'!$J$32</f>
        <v>13510047.009997431</v>
      </c>
      <c r="L34" s="360">
        <f>'[9]Summary of Revenue'!$K$32</f>
        <v>17108212.813888308</v>
      </c>
      <c r="M34" s="360">
        <f>'[9]Summary of Revenue'!$L$32</f>
        <v>20718002.176690042</v>
      </c>
      <c r="N34" s="360">
        <f>'[9]Summary of Revenue'!$M$32</f>
        <v>17989770.702685934</v>
      </c>
      <c r="O34" s="360">
        <f>'[9]Summary of Revenue'!$N$32</f>
        <v>13798752.500585802</v>
      </c>
      <c r="P34" s="360">
        <f>(SUM(C34:O34))/13</f>
        <v>13215223.380295962</v>
      </c>
      <c r="Q34" s="671"/>
      <c r="R34" s="671"/>
    </row>
    <row r="35" spans="1:18">
      <c r="A35" s="854">
        <v>26</v>
      </c>
      <c r="B35" s="808"/>
      <c r="K35" s="360"/>
      <c r="L35" s="360"/>
      <c r="M35" s="360"/>
      <c r="N35" s="360"/>
      <c r="O35" s="360"/>
    </row>
    <row r="36" spans="1:18">
      <c r="A36" s="854">
        <v>27</v>
      </c>
      <c r="B36" s="808" t="s">
        <v>1172</v>
      </c>
      <c r="C36" s="459">
        <v>0</v>
      </c>
      <c r="D36" s="459">
        <v>0</v>
      </c>
      <c r="E36" s="459">
        <v>0</v>
      </c>
      <c r="F36" s="459">
        <v>0</v>
      </c>
      <c r="G36" s="459">
        <v>0</v>
      </c>
      <c r="H36" s="459">
        <v>0</v>
      </c>
      <c r="I36" s="459">
        <v>0</v>
      </c>
      <c r="J36" s="459">
        <v>0</v>
      </c>
      <c r="K36" s="459">
        <v>0</v>
      </c>
      <c r="L36" s="459">
        <v>0</v>
      </c>
      <c r="M36" s="459">
        <v>0</v>
      </c>
      <c r="N36" s="459">
        <v>0</v>
      </c>
      <c r="O36" s="459">
        <v>0</v>
      </c>
      <c r="P36" s="360">
        <f>(SUM(C36:O36))/13</f>
        <v>0</v>
      </c>
    </row>
    <row r="37" spans="1:18">
      <c r="A37" s="854">
        <v>28</v>
      </c>
      <c r="B37" s="808"/>
    </row>
    <row r="38" spans="1:18">
      <c r="A38" s="854">
        <v>29</v>
      </c>
      <c r="B38" s="808" t="s">
        <v>1173</v>
      </c>
      <c r="C38" s="459">
        <v>0</v>
      </c>
      <c r="D38" s="459">
        <v>0</v>
      </c>
      <c r="E38" s="459">
        <v>0</v>
      </c>
      <c r="F38" s="459">
        <v>0</v>
      </c>
      <c r="G38" s="459">
        <v>0</v>
      </c>
      <c r="H38" s="459">
        <v>0</v>
      </c>
      <c r="I38" s="459">
        <v>0</v>
      </c>
      <c r="J38" s="459">
        <v>0</v>
      </c>
      <c r="K38" s="459">
        <v>0</v>
      </c>
      <c r="L38" s="459">
        <v>0</v>
      </c>
      <c r="M38" s="459">
        <v>0</v>
      </c>
      <c r="N38" s="459">
        <v>0</v>
      </c>
      <c r="O38" s="459">
        <v>0</v>
      </c>
      <c r="P38" s="360">
        <f>(SUM(C38:O38))/13</f>
        <v>0</v>
      </c>
    </row>
    <row r="39" spans="1:18">
      <c r="A39" s="854">
        <v>30</v>
      </c>
      <c r="B39" s="808"/>
    </row>
    <row r="40" spans="1:18">
      <c r="A40" s="854">
        <v>31</v>
      </c>
      <c r="B40" s="808" t="s">
        <v>1174</v>
      </c>
      <c r="C40" s="459">
        <v>0</v>
      </c>
      <c r="D40" s="459">
        <v>0</v>
      </c>
      <c r="E40" s="459">
        <v>0</v>
      </c>
      <c r="F40" s="459">
        <v>0</v>
      </c>
      <c r="G40" s="459">
        <v>0</v>
      </c>
      <c r="H40" s="459">
        <v>0</v>
      </c>
      <c r="I40" s="459">
        <v>0</v>
      </c>
      <c r="J40" s="459">
        <v>0</v>
      </c>
      <c r="K40" s="459">
        <v>0</v>
      </c>
      <c r="L40" s="459">
        <v>0</v>
      </c>
      <c r="M40" s="459">
        <v>0</v>
      </c>
      <c r="N40" s="459">
        <v>0</v>
      </c>
      <c r="O40" s="459">
        <v>0</v>
      </c>
      <c r="P40" s="360">
        <f>(SUM(C40:O40))/13</f>
        <v>0</v>
      </c>
    </row>
    <row r="41" spans="1:18">
      <c r="A41" s="854">
        <v>32</v>
      </c>
      <c r="B41" s="1068"/>
    </row>
    <row r="42" spans="1:18" ht="15.75">
      <c r="A42" s="854">
        <v>33</v>
      </c>
      <c r="B42" s="515" t="s">
        <v>517</v>
      </c>
    </row>
    <row r="43" spans="1:18">
      <c r="A43" s="854">
        <v>34</v>
      </c>
      <c r="B43" s="695"/>
    </row>
    <row r="44" spans="1:18">
      <c r="A44" s="854">
        <v>35</v>
      </c>
      <c r="B44" s="808" t="s">
        <v>1171</v>
      </c>
      <c r="C44" s="360">
        <f>0</f>
        <v>0</v>
      </c>
      <c r="D44" s="360">
        <f>0</f>
        <v>0</v>
      </c>
      <c r="E44" s="360">
        <f>0</f>
        <v>0</v>
      </c>
      <c r="F44" s="360">
        <f>0</f>
        <v>0</v>
      </c>
      <c r="G44" s="360">
        <f>0</f>
        <v>0</v>
      </c>
      <c r="H44" s="360">
        <f>0</f>
        <v>0</v>
      </c>
      <c r="I44" s="360">
        <f>0</f>
        <v>0</v>
      </c>
      <c r="J44" s="360">
        <f>0</f>
        <v>0</v>
      </c>
      <c r="K44" s="360">
        <f>0</f>
        <v>0</v>
      </c>
      <c r="L44" s="360">
        <f>0</f>
        <v>0</v>
      </c>
      <c r="M44" s="360">
        <f>0</f>
        <v>0</v>
      </c>
      <c r="N44" s="360">
        <f>0</f>
        <v>0</v>
      </c>
      <c r="O44" s="360">
        <f>0</f>
        <v>0</v>
      </c>
      <c r="P44" s="360">
        <f>(SUM(C44:O44))/13</f>
        <v>0</v>
      </c>
    </row>
    <row r="45" spans="1:18">
      <c r="A45" s="854">
        <v>36</v>
      </c>
      <c r="B45" s="808"/>
    </row>
    <row r="46" spans="1:18">
      <c r="A46" s="854">
        <v>37</v>
      </c>
      <c r="B46" s="808" t="s">
        <v>1172</v>
      </c>
      <c r="C46" s="360">
        <f>0</f>
        <v>0</v>
      </c>
      <c r="D46" s="360">
        <f>0</f>
        <v>0</v>
      </c>
      <c r="E46" s="360">
        <f>0</f>
        <v>0</v>
      </c>
      <c r="F46" s="360">
        <f>0</f>
        <v>0</v>
      </c>
      <c r="G46" s="360">
        <f>0</f>
        <v>0</v>
      </c>
      <c r="H46" s="360">
        <f>0</f>
        <v>0</v>
      </c>
      <c r="I46" s="360">
        <f>0</f>
        <v>0</v>
      </c>
      <c r="J46" s="360">
        <f>0</f>
        <v>0</v>
      </c>
      <c r="K46" s="360">
        <f>0</f>
        <v>0</v>
      </c>
      <c r="L46" s="360">
        <f>0</f>
        <v>0</v>
      </c>
      <c r="M46" s="360">
        <f>0</f>
        <v>0</v>
      </c>
      <c r="N46" s="360">
        <f>0</f>
        <v>0</v>
      </c>
      <c r="O46" s="360">
        <f>0</f>
        <v>0</v>
      </c>
      <c r="P46" s="360">
        <f>(SUM(C46:O46))/13</f>
        <v>0</v>
      </c>
    </row>
    <row r="47" spans="1:18">
      <c r="A47" s="854">
        <v>38</v>
      </c>
      <c r="B47" s="808"/>
    </row>
    <row r="48" spans="1:18">
      <c r="A48" s="854">
        <v>39</v>
      </c>
      <c r="B48" s="808" t="s">
        <v>1173</v>
      </c>
      <c r="C48" s="360">
        <f>0</f>
        <v>0</v>
      </c>
      <c r="D48" s="360">
        <f>0</f>
        <v>0</v>
      </c>
      <c r="E48" s="360">
        <f>0</f>
        <v>0</v>
      </c>
      <c r="F48" s="360">
        <f>0</f>
        <v>0</v>
      </c>
      <c r="G48" s="360">
        <f>0</f>
        <v>0</v>
      </c>
      <c r="H48" s="360">
        <f>0</f>
        <v>0</v>
      </c>
      <c r="I48" s="360">
        <f>0</f>
        <v>0</v>
      </c>
      <c r="J48" s="360">
        <f>0</f>
        <v>0</v>
      </c>
      <c r="K48" s="360">
        <f>0</f>
        <v>0</v>
      </c>
      <c r="L48" s="360">
        <f>0</f>
        <v>0</v>
      </c>
      <c r="M48" s="360">
        <f>0</f>
        <v>0</v>
      </c>
      <c r="N48" s="360">
        <f>0</f>
        <v>0</v>
      </c>
      <c r="O48" s="360">
        <f>0</f>
        <v>0</v>
      </c>
      <c r="P48" s="360">
        <f>(SUM(C48:O48))/13</f>
        <v>0</v>
      </c>
    </row>
    <row r="49" spans="1:16">
      <c r="A49" s="854">
        <v>40</v>
      </c>
      <c r="B49" s="808"/>
    </row>
    <row r="50" spans="1:16">
      <c r="A50" s="854">
        <v>41</v>
      </c>
      <c r="B50" s="808" t="s">
        <v>1174</v>
      </c>
      <c r="C50" s="360">
        <f>0</f>
        <v>0</v>
      </c>
      <c r="D50" s="360">
        <f>0</f>
        <v>0</v>
      </c>
      <c r="E50" s="360">
        <f>0</f>
        <v>0</v>
      </c>
      <c r="F50" s="360">
        <f>0</f>
        <v>0</v>
      </c>
      <c r="G50" s="360">
        <f>0</f>
        <v>0</v>
      </c>
      <c r="H50" s="360">
        <f>0</f>
        <v>0</v>
      </c>
      <c r="I50" s="360">
        <f>0</f>
        <v>0</v>
      </c>
      <c r="J50" s="360">
        <f>0</f>
        <v>0</v>
      </c>
      <c r="K50" s="360">
        <f>0</f>
        <v>0</v>
      </c>
      <c r="L50" s="360">
        <f>0</f>
        <v>0</v>
      </c>
      <c r="M50" s="360">
        <f>0</f>
        <v>0</v>
      </c>
      <c r="N50" s="360">
        <f>0</f>
        <v>0</v>
      </c>
      <c r="O50" s="360">
        <f>0</f>
        <v>0</v>
      </c>
      <c r="P50" s="360">
        <f>(SUM(C50:O50))/13</f>
        <v>0</v>
      </c>
    </row>
    <row r="55" spans="1:16">
      <c r="B55" s="80" t="s">
        <v>518</v>
      </c>
    </row>
    <row r="56" spans="1:16">
      <c r="B56" s="80" t="s">
        <v>1700</v>
      </c>
    </row>
    <row r="59" spans="1:16">
      <c r="C59" s="671"/>
    </row>
    <row r="60" spans="1:16">
      <c r="C60" s="671"/>
    </row>
  </sheetData>
  <mergeCells count="4">
    <mergeCell ref="A1:P1"/>
    <mergeCell ref="A2:P2"/>
    <mergeCell ref="A3:P3"/>
    <mergeCell ref="A4:P4"/>
  </mergeCells>
  <phoneticPr fontId="22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sqref="A1:P1"/>
    </sheetView>
  </sheetViews>
  <sheetFormatPr defaultRowHeight="15"/>
  <cols>
    <col min="1" max="1" width="4.33203125" style="80" bestFit="1" customWidth="1"/>
    <col min="2" max="2" width="44.21875" style="80" customWidth="1"/>
    <col min="3" max="3" width="12.5546875" style="80" bestFit="1" customWidth="1"/>
    <col min="4" max="4" width="12.6640625" style="80" bestFit="1" customWidth="1"/>
    <col min="5" max="7" width="12" style="80" bestFit="1" customWidth="1"/>
    <col min="8" max="8" width="12.44140625" style="80" customWidth="1"/>
    <col min="9" max="14" width="12" style="80" bestFit="1" customWidth="1"/>
    <col min="15" max="15" width="12.5546875" style="80" bestFit="1" customWidth="1"/>
    <col min="16" max="16" width="12" style="80" bestFit="1" customWidth="1"/>
    <col min="17" max="17" width="10.44140625" style="80" bestFit="1" customWidth="1"/>
    <col min="18" max="18" width="12" style="80" customWidth="1"/>
    <col min="19" max="16384" width="8.88671875" style="80"/>
  </cols>
  <sheetData>
    <row r="1" spans="1:18">
      <c r="A1" s="1196" t="str">
        <f>'Table of Contents'!A1:C1</f>
        <v>Atmos Energy Corporation, Kentucky/Mid-States Division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</row>
    <row r="2" spans="1:18">
      <c r="A2" s="1196" t="str">
        <f>'Table of Contents'!A2:C2</f>
        <v>Kentucky Jurisdiction Case No. 2018-00281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</row>
    <row r="3" spans="1:18">
      <c r="A3" s="1196" t="str">
        <f>'Table of Contents'!A4:C4</f>
        <v>Forecasted Test Period: Twelve Months Ended March 31, 2020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</row>
    <row r="4" spans="1:18">
      <c r="A4" s="1196" t="s">
        <v>112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</row>
    <row r="5" spans="1:18">
      <c r="P5" s="597" t="s">
        <v>1422</v>
      </c>
    </row>
    <row r="7" spans="1:18">
      <c r="A7" s="80" t="s">
        <v>93</v>
      </c>
      <c r="C7" s="854" t="s">
        <v>453</v>
      </c>
      <c r="D7" s="854" t="s">
        <v>453</v>
      </c>
      <c r="E7" s="854" t="s">
        <v>453</v>
      </c>
      <c r="F7" s="854" t="s">
        <v>453</v>
      </c>
      <c r="G7" s="854" t="s">
        <v>453</v>
      </c>
      <c r="H7" s="854" t="s">
        <v>43</v>
      </c>
      <c r="I7" s="854" t="s">
        <v>43</v>
      </c>
      <c r="J7" s="854" t="s">
        <v>43</v>
      </c>
      <c r="K7" s="854" t="s">
        <v>43</v>
      </c>
      <c r="L7" s="854" t="s">
        <v>43</v>
      </c>
      <c r="M7" s="854" t="s">
        <v>43</v>
      </c>
      <c r="N7" s="854" t="s">
        <v>43</v>
      </c>
      <c r="O7" s="854" t="s">
        <v>43</v>
      </c>
      <c r="P7" s="854" t="s">
        <v>45</v>
      </c>
    </row>
    <row r="8" spans="1:18">
      <c r="A8" s="923" t="s">
        <v>99</v>
      </c>
      <c r="B8" s="923" t="s">
        <v>985</v>
      </c>
      <c r="C8" s="613">
        <f>O8-365</f>
        <v>43526</v>
      </c>
      <c r="D8" s="613">
        <f>'C.2.2-F 09'!D10</f>
        <v>43556</v>
      </c>
      <c r="E8" s="613">
        <f>'C.2.2-F 09'!E10</f>
        <v>43586</v>
      </c>
      <c r="F8" s="613">
        <f>'C.2.2-F 09'!F10</f>
        <v>43617</v>
      </c>
      <c r="G8" s="613">
        <f>'C.2.2-F 09'!G10</f>
        <v>43647</v>
      </c>
      <c r="H8" s="613">
        <f>'C.2.2-F 09'!H10</f>
        <v>43678</v>
      </c>
      <c r="I8" s="613">
        <f>'C.2.2-F 09'!I10</f>
        <v>43709</v>
      </c>
      <c r="J8" s="613">
        <f>'C.2.2-F 09'!J10</f>
        <v>43739</v>
      </c>
      <c r="K8" s="613">
        <f>'C.2.2-F 09'!K10</f>
        <v>43770</v>
      </c>
      <c r="L8" s="613">
        <f>'C.2.2-F 09'!L10</f>
        <v>43800</v>
      </c>
      <c r="M8" s="613">
        <f>'C.2.2-F 09'!M10</f>
        <v>43831</v>
      </c>
      <c r="N8" s="613">
        <f>'C.2.2-F 09'!N10</f>
        <v>43862</v>
      </c>
      <c r="O8" s="613">
        <f>'C.2.2-F 09'!O10</f>
        <v>43891</v>
      </c>
      <c r="P8" s="929" t="s">
        <v>98</v>
      </c>
      <c r="Q8" s="671"/>
      <c r="R8" s="671"/>
    </row>
    <row r="10" spans="1:18" ht="15.75">
      <c r="A10" s="854">
        <v>1</v>
      </c>
      <c r="B10" s="515" t="s">
        <v>267</v>
      </c>
    </row>
    <row r="11" spans="1:18">
      <c r="A11" s="854">
        <v>2</v>
      </c>
      <c r="B11" s="695"/>
    </row>
    <row r="12" spans="1:18">
      <c r="A12" s="854">
        <v>3</v>
      </c>
      <c r="B12" s="695" t="s">
        <v>1171</v>
      </c>
    </row>
    <row r="13" spans="1:18">
      <c r="A13" s="854">
        <v>4</v>
      </c>
      <c r="B13" s="808" t="s">
        <v>513</v>
      </c>
      <c r="C13" s="360">
        <f>[7]summary!Z21</f>
        <v>0</v>
      </c>
      <c r="D13" s="360">
        <f>[7]summary!AA21</f>
        <v>0</v>
      </c>
      <c r="E13" s="360">
        <f>[7]summary!AB21</f>
        <v>0</v>
      </c>
      <c r="F13" s="360">
        <f>[7]summary!AC21</f>
        <v>0</v>
      </c>
      <c r="G13" s="360">
        <f>[7]summary!AD21</f>
        <v>0</v>
      </c>
      <c r="H13" s="360">
        <f>[7]summary!AE21</f>
        <v>0</v>
      </c>
      <c r="I13" s="360">
        <f>[7]summary!AF21</f>
        <v>0</v>
      </c>
      <c r="J13" s="360">
        <f>[7]summary!AG21</f>
        <v>0</v>
      </c>
      <c r="K13" s="360">
        <f>[7]summary!AH21</f>
        <v>0</v>
      </c>
      <c r="L13" s="360">
        <f>[7]summary!AI21</f>
        <v>0</v>
      </c>
      <c r="M13" s="360">
        <f>[7]summary!AJ21</f>
        <v>0</v>
      </c>
      <c r="N13" s="360">
        <f>[7]summary!AK21</f>
        <v>0</v>
      </c>
      <c r="O13" s="360">
        <f>[7]summary!AL21</f>
        <v>0</v>
      </c>
    </row>
    <row r="14" spans="1:18">
      <c r="A14" s="854">
        <v>5</v>
      </c>
      <c r="B14" s="808" t="s">
        <v>514</v>
      </c>
      <c r="C14" s="360">
        <f>[7]summary!Z22</f>
        <v>-402123.55499999999</v>
      </c>
      <c r="D14" s="360">
        <f>[7]summary!AA22</f>
        <v>-402123.55499999999</v>
      </c>
      <c r="E14" s="360">
        <f>[7]summary!AB22</f>
        <v>-402123.55499999999</v>
      </c>
      <c r="F14" s="360">
        <f>[7]summary!AC22</f>
        <v>-402123.55499999999</v>
      </c>
      <c r="G14" s="360">
        <f>[7]summary!AD22</f>
        <v>-402123.55499999999</v>
      </c>
      <c r="H14" s="360">
        <f>[7]summary!AE22</f>
        <v>-402123.55499999999</v>
      </c>
      <c r="I14" s="360">
        <f>[7]summary!AF22</f>
        <v>-402123.55499999999</v>
      </c>
      <c r="J14" s="360">
        <f>[7]summary!AG22</f>
        <v>-402123.55499999999</v>
      </c>
      <c r="K14" s="360">
        <f>[7]summary!AH22</f>
        <v>-402123.55499999999</v>
      </c>
      <c r="L14" s="360">
        <f>[7]summary!AI22</f>
        <v>-402123.55499999999</v>
      </c>
      <c r="M14" s="360">
        <f>[7]summary!AJ22</f>
        <v>-402123.55499999999</v>
      </c>
      <c r="N14" s="360">
        <f>[7]summary!AK22</f>
        <v>-402123.55499999999</v>
      </c>
      <c r="O14" s="360">
        <f>[7]summary!AL22</f>
        <v>-402123.55499999999</v>
      </c>
    </row>
    <row r="15" spans="1:18">
      <c r="A15" s="854">
        <v>6</v>
      </c>
      <c r="B15" s="1068" t="s">
        <v>515</v>
      </c>
      <c r="C15" s="724">
        <f t="shared" ref="C15" si="0">SUM(C13:C14)</f>
        <v>-402123.55499999999</v>
      </c>
      <c r="D15" s="725">
        <f t="shared" ref="D15:O15" si="1">SUM(D13:D14)</f>
        <v>-402123.55499999999</v>
      </c>
      <c r="E15" s="725">
        <f t="shared" si="1"/>
        <v>-402123.55499999999</v>
      </c>
      <c r="F15" s="725">
        <f t="shared" si="1"/>
        <v>-402123.55499999999</v>
      </c>
      <c r="G15" s="725">
        <f t="shared" si="1"/>
        <v>-402123.55499999999</v>
      </c>
      <c r="H15" s="725">
        <f t="shared" si="1"/>
        <v>-402123.55499999999</v>
      </c>
      <c r="I15" s="725">
        <f t="shared" si="1"/>
        <v>-402123.55499999999</v>
      </c>
      <c r="J15" s="725">
        <f t="shared" si="1"/>
        <v>-402123.55499999999</v>
      </c>
      <c r="K15" s="725">
        <f t="shared" si="1"/>
        <v>-402123.55499999999</v>
      </c>
      <c r="L15" s="725">
        <f t="shared" si="1"/>
        <v>-402123.55499999999</v>
      </c>
      <c r="M15" s="725">
        <f t="shared" si="1"/>
        <v>-402123.55499999999</v>
      </c>
      <c r="N15" s="725">
        <f t="shared" si="1"/>
        <v>-402123.55499999999</v>
      </c>
      <c r="O15" s="725">
        <f t="shared" si="1"/>
        <v>-402123.55499999999</v>
      </c>
      <c r="P15" s="346">
        <f>(SUM(C15:O15))/13</f>
        <v>-402123.55499999999</v>
      </c>
    </row>
    <row r="16" spans="1:18">
      <c r="A16" s="854">
        <v>7</v>
      </c>
      <c r="B16" s="808"/>
    </row>
    <row r="17" spans="1:16">
      <c r="A17" s="854">
        <v>8</v>
      </c>
      <c r="B17" s="808" t="s">
        <v>1172</v>
      </c>
    </row>
    <row r="18" spans="1:16">
      <c r="A18" s="854">
        <v>9</v>
      </c>
      <c r="B18" s="808" t="s">
        <v>513</v>
      </c>
      <c r="C18" s="360">
        <f>[7]summary!Z16</f>
        <v>72258.356666666674</v>
      </c>
      <c r="D18" s="360">
        <f>[7]summary!AA16</f>
        <v>72258.356666666674</v>
      </c>
      <c r="E18" s="360">
        <f>[7]summary!AB16</f>
        <v>72258.356666666674</v>
      </c>
      <c r="F18" s="360">
        <f>[7]summary!AC16</f>
        <v>72258.356666666674</v>
      </c>
      <c r="G18" s="360">
        <f>[7]summary!AD16</f>
        <v>72258.356666666674</v>
      </c>
      <c r="H18" s="360">
        <f>[7]summary!AE16</f>
        <v>72258.356666666674</v>
      </c>
      <c r="I18" s="360">
        <f>[7]summary!AF16</f>
        <v>72258.356666666674</v>
      </c>
      <c r="J18" s="360">
        <f>[7]summary!AG16</f>
        <v>72258.356666666674</v>
      </c>
      <c r="K18" s="360">
        <f>[7]summary!AH16</f>
        <v>72258.356666666674</v>
      </c>
      <c r="L18" s="360">
        <f>[7]summary!AI16</f>
        <v>72258.356666666674</v>
      </c>
      <c r="M18" s="360">
        <f>[7]summary!AJ16</f>
        <v>72258.356666666674</v>
      </c>
      <c r="N18" s="360">
        <f>[7]summary!AK16</f>
        <v>72258.356666666674</v>
      </c>
      <c r="O18" s="360">
        <f>[7]summary!AL16</f>
        <v>72258.356666666674</v>
      </c>
    </row>
    <row r="19" spans="1:16">
      <c r="A19" s="854">
        <v>10</v>
      </c>
      <c r="B19" s="808" t="s">
        <v>514</v>
      </c>
      <c r="C19" s="360">
        <f>[7]summary!Z17</f>
        <v>972316.88</v>
      </c>
      <c r="D19" s="360">
        <f>[7]summary!AA17</f>
        <v>972316.88</v>
      </c>
      <c r="E19" s="360">
        <f>[7]summary!AB17</f>
        <v>972316.88</v>
      </c>
      <c r="F19" s="360">
        <f>[7]summary!AC17</f>
        <v>972316.88</v>
      </c>
      <c r="G19" s="360">
        <f>[7]summary!AD17</f>
        <v>972316.88</v>
      </c>
      <c r="H19" s="360">
        <f>[7]summary!AE17</f>
        <v>972316.88</v>
      </c>
      <c r="I19" s="360">
        <f>[7]summary!AF17</f>
        <v>972316.88</v>
      </c>
      <c r="J19" s="360">
        <f>[7]summary!AG17</f>
        <v>972316.88</v>
      </c>
      <c r="K19" s="360">
        <f>[7]summary!AH17</f>
        <v>972316.88</v>
      </c>
      <c r="L19" s="360">
        <f>[7]summary!AI17</f>
        <v>972316.88</v>
      </c>
      <c r="M19" s="360">
        <f>[7]summary!AJ17</f>
        <v>972316.88</v>
      </c>
      <c r="N19" s="360">
        <f>[7]summary!AK17</f>
        <v>972316.88</v>
      </c>
      <c r="O19" s="360">
        <f>[7]summary!AL17</f>
        <v>972316.88</v>
      </c>
    </row>
    <row r="20" spans="1:16">
      <c r="A20" s="854">
        <v>11</v>
      </c>
      <c r="B20" s="1068" t="s">
        <v>515</v>
      </c>
      <c r="C20" s="724">
        <f t="shared" ref="C20" si="2">SUM(C18:C19)</f>
        <v>1044575.2366666667</v>
      </c>
      <c r="D20" s="725">
        <f t="shared" ref="D20:O20" si="3">SUM(D18:D19)</f>
        <v>1044575.2366666667</v>
      </c>
      <c r="E20" s="725">
        <f t="shared" si="3"/>
        <v>1044575.2366666667</v>
      </c>
      <c r="F20" s="725">
        <f t="shared" si="3"/>
        <v>1044575.2366666667</v>
      </c>
      <c r="G20" s="725">
        <f t="shared" si="3"/>
        <v>1044575.2366666667</v>
      </c>
      <c r="H20" s="725">
        <f t="shared" si="3"/>
        <v>1044575.2366666667</v>
      </c>
      <c r="I20" s="725">
        <f t="shared" si="3"/>
        <v>1044575.2366666667</v>
      </c>
      <c r="J20" s="725">
        <f t="shared" si="3"/>
        <v>1044575.2366666667</v>
      </c>
      <c r="K20" s="725">
        <f t="shared" si="3"/>
        <v>1044575.2366666667</v>
      </c>
      <c r="L20" s="725">
        <f t="shared" si="3"/>
        <v>1044575.2366666667</v>
      </c>
      <c r="M20" s="725">
        <f t="shared" si="3"/>
        <v>1044575.2366666667</v>
      </c>
      <c r="N20" s="725">
        <f t="shared" si="3"/>
        <v>1044575.2366666667</v>
      </c>
      <c r="O20" s="725">
        <f t="shared" si="3"/>
        <v>1044575.2366666667</v>
      </c>
      <c r="P20" s="346">
        <f>(SUM(C20:O20))/13</f>
        <v>1044575.2366666665</v>
      </c>
    </row>
    <row r="21" spans="1:16">
      <c r="A21" s="854">
        <v>12</v>
      </c>
      <c r="B21" s="808"/>
    </row>
    <row r="22" spans="1:16">
      <c r="A22" s="854">
        <v>13</v>
      </c>
      <c r="B22" s="808" t="s">
        <v>1173</v>
      </c>
    </row>
    <row r="23" spans="1:16">
      <c r="A23" s="854">
        <v>14</v>
      </c>
      <c r="B23" s="808" t="s">
        <v>513</v>
      </c>
      <c r="C23" s="1069">
        <f>[7]summary!Z$6</f>
        <v>0</v>
      </c>
      <c r="D23" s="1069">
        <f>[7]summary!AA$6</f>
        <v>0</v>
      </c>
      <c r="E23" s="1069">
        <f>[7]summary!AB$6</f>
        <v>0</v>
      </c>
      <c r="F23" s="1069">
        <f>[7]summary!AC$6</f>
        <v>0</v>
      </c>
      <c r="G23" s="1069">
        <f>[7]summary!AD$6</f>
        <v>0</v>
      </c>
      <c r="H23" s="1069">
        <f>[7]summary!AE$6</f>
        <v>0</v>
      </c>
      <c r="I23" s="1069">
        <f>[7]summary!AF$6</f>
        <v>0</v>
      </c>
      <c r="J23" s="1069">
        <f>[7]summary!AG$6</f>
        <v>0</v>
      </c>
      <c r="K23" s="1069">
        <f>[7]summary!AH$6</f>
        <v>0</v>
      </c>
      <c r="L23" s="1069">
        <f>[7]summary!AI$6</f>
        <v>0</v>
      </c>
      <c r="M23" s="1069">
        <f>[7]summary!AJ$6</f>
        <v>0</v>
      </c>
      <c r="N23" s="1069">
        <f>[7]summary!AK$6</f>
        <v>0</v>
      </c>
      <c r="O23" s="1069">
        <f>[7]summary!AL$6</f>
        <v>0</v>
      </c>
    </row>
    <row r="24" spans="1:16">
      <c r="A24" s="854">
        <v>15</v>
      </c>
      <c r="B24" s="808" t="s">
        <v>514</v>
      </c>
      <c r="C24" s="1069">
        <f>[7]summary!Z$7</f>
        <v>-0.01</v>
      </c>
      <c r="D24" s="1069">
        <f>[7]summary!AA$7</f>
        <v>-0.01</v>
      </c>
      <c r="E24" s="1069">
        <f>[7]summary!AB$7</f>
        <v>-0.01</v>
      </c>
      <c r="F24" s="1069">
        <f>[7]summary!AC$7</f>
        <v>-0.01</v>
      </c>
      <c r="G24" s="1069">
        <f>[7]summary!AD$7</f>
        <v>-0.01</v>
      </c>
      <c r="H24" s="1069">
        <f>[7]summary!AE$7</f>
        <v>-0.01</v>
      </c>
      <c r="I24" s="1069">
        <f>[7]summary!AF$7</f>
        <v>-0.01</v>
      </c>
      <c r="J24" s="1069">
        <f>[7]summary!AG$7</f>
        <v>-0.01</v>
      </c>
      <c r="K24" s="1069">
        <f>[7]summary!AH$7</f>
        <v>-0.01</v>
      </c>
      <c r="L24" s="1069">
        <f>[7]summary!AI$7</f>
        <v>-0.01</v>
      </c>
      <c r="M24" s="1069">
        <f>[7]summary!AJ$7</f>
        <v>-0.01</v>
      </c>
      <c r="N24" s="1069">
        <f>[7]summary!AK$7</f>
        <v>-0.01</v>
      </c>
      <c r="O24" s="1069">
        <f>[7]summary!AL$7</f>
        <v>-0.01</v>
      </c>
    </row>
    <row r="25" spans="1:16">
      <c r="A25" s="854">
        <v>16</v>
      </c>
      <c r="B25" s="1068" t="s">
        <v>515</v>
      </c>
      <c r="C25" s="724">
        <f t="shared" ref="C25" si="4">SUM(C23:C24)</f>
        <v>-0.01</v>
      </c>
      <c r="D25" s="725">
        <f t="shared" ref="D25:O25" si="5">SUM(D23:D24)</f>
        <v>-0.01</v>
      </c>
      <c r="E25" s="725">
        <f t="shared" si="5"/>
        <v>-0.01</v>
      </c>
      <c r="F25" s="725">
        <f t="shared" si="5"/>
        <v>-0.01</v>
      </c>
      <c r="G25" s="725">
        <f t="shared" si="5"/>
        <v>-0.01</v>
      </c>
      <c r="H25" s="725">
        <f t="shared" si="5"/>
        <v>-0.01</v>
      </c>
      <c r="I25" s="725">
        <f t="shared" si="5"/>
        <v>-0.01</v>
      </c>
      <c r="J25" s="725">
        <f t="shared" si="5"/>
        <v>-0.01</v>
      </c>
      <c r="K25" s="725">
        <f t="shared" si="5"/>
        <v>-0.01</v>
      </c>
      <c r="L25" s="725">
        <f t="shared" si="5"/>
        <v>-0.01</v>
      </c>
      <c r="M25" s="725">
        <f t="shared" si="5"/>
        <v>-0.01</v>
      </c>
      <c r="N25" s="725">
        <f t="shared" si="5"/>
        <v>-0.01</v>
      </c>
      <c r="O25" s="725">
        <f t="shared" si="5"/>
        <v>-0.01</v>
      </c>
      <c r="P25" s="346">
        <f>(SUM(C25:O25))/13</f>
        <v>-9.9999999999999985E-3</v>
      </c>
    </row>
    <row r="26" spans="1:16">
      <c r="A26" s="854">
        <v>17</v>
      </c>
      <c r="B26" s="808"/>
    </row>
    <row r="27" spans="1:16">
      <c r="A27" s="854">
        <v>18</v>
      </c>
      <c r="B27" s="808" t="s">
        <v>1174</v>
      </c>
    </row>
    <row r="28" spans="1:16">
      <c r="A28" s="854">
        <v>19</v>
      </c>
      <c r="B28" s="808" t="s">
        <v>513</v>
      </c>
      <c r="C28" s="1069">
        <f>[7]summary!Z$11</f>
        <v>0</v>
      </c>
      <c r="D28" s="1069">
        <f>[7]summary!AA$11</f>
        <v>0</v>
      </c>
      <c r="E28" s="1069">
        <f>[7]summary!AB$11</f>
        <v>0</v>
      </c>
      <c r="F28" s="1069">
        <f>[7]summary!AC$11</f>
        <v>0</v>
      </c>
      <c r="G28" s="1069">
        <f>[7]summary!AD$11</f>
        <v>0</v>
      </c>
      <c r="H28" s="1069">
        <f>[7]summary!AE$11</f>
        <v>0</v>
      </c>
      <c r="I28" s="1069">
        <f>[7]summary!AF$11</f>
        <v>0</v>
      </c>
      <c r="J28" s="1069">
        <f>[7]summary!AG$11</f>
        <v>0</v>
      </c>
      <c r="K28" s="1069">
        <f>[7]summary!AH$11</f>
        <v>0</v>
      </c>
      <c r="L28" s="1069">
        <f>[7]summary!AI$11</f>
        <v>0</v>
      </c>
      <c r="M28" s="1069">
        <f>[7]summary!AJ$11</f>
        <v>0</v>
      </c>
      <c r="N28" s="1069">
        <f>[7]summary!AK$11</f>
        <v>0</v>
      </c>
      <c r="O28" s="1069">
        <f>[7]summary!AL$11</f>
        <v>0</v>
      </c>
    </row>
    <row r="29" spans="1:16">
      <c r="A29" s="854">
        <v>20</v>
      </c>
      <c r="B29" s="808" t="s">
        <v>514</v>
      </c>
      <c r="C29" s="1069">
        <f>[7]summary!Z$12</f>
        <v>0</v>
      </c>
      <c r="D29" s="1069">
        <f>[7]summary!AA$12</f>
        <v>0</v>
      </c>
      <c r="E29" s="1069">
        <f>[7]summary!AB$12</f>
        <v>0</v>
      </c>
      <c r="F29" s="1069">
        <f>[7]summary!AC$12</f>
        <v>0</v>
      </c>
      <c r="G29" s="1069">
        <f>[7]summary!AD$12</f>
        <v>0</v>
      </c>
      <c r="H29" s="1069">
        <f>[7]summary!AE$12</f>
        <v>0</v>
      </c>
      <c r="I29" s="1069">
        <f>[7]summary!AF$12</f>
        <v>0</v>
      </c>
      <c r="J29" s="1069">
        <f>[7]summary!AG$12</f>
        <v>0</v>
      </c>
      <c r="K29" s="1069">
        <f>[7]summary!AH$12</f>
        <v>0</v>
      </c>
      <c r="L29" s="1069">
        <f>[7]summary!AI$12</f>
        <v>0</v>
      </c>
      <c r="M29" s="1069">
        <f>[7]summary!AJ$12</f>
        <v>0</v>
      </c>
      <c r="N29" s="1069">
        <f>[7]summary!AK$12</f>
        <v>0</v>
      </c>
      <c r="O29" s="1069">
        <f>[7]summary!AL$12</f>
        <v>0</v>
      </c>
    </row>
    <row r="30" spans="1:16">
      <c r="A30" s="854">
        <v>21</v>
      </c>
      <c r="B30" s="1068" t="s">
        <v>515</v>
      </c>
      <c r="C30" s="725">
        <f t="shared" ref="C30:O30" si="6">SUM(C28:C29)</f>
        <v>0</v>
      </c>
      <c r="D30" s="725">
        <f t="shared" si="6"/>
        <v>0</v>
      </c>
      <c r="E30" s="725">
        <f t="shared" si="6"/>
        <v>0</v>
      </c>
      <c r="F30" s="725">
        <f t="shared" si="6"/>
        <v>0</v>
      </c>
      <c r="G30" s="725">
        <f t="shared" si="6"/>
        <v>0</v>
      </c>
      <c r="H30" s="725">
        <f t="shared" si="6"/>
        <v>0</v>
      </c>
      <c r="I30" s="725">
        <f t="shared" si="6"/>
        <v>0</v>
      </c>
      <c r="J30" s="725">
        <f t="shared" si="6"/>
        <v>0</v>
      </c>
      <c r="K30" s="725">
        <f t="shared" si="6"/>
        <v>0</v>
      </c>
      <c r="L30" s="725">
        <f t="shared" si="6"/>
        <v>0</v>
      </c>
      <c r="M30" s="725">
        <f t="shared" si="6"/>
        <v>0</v>
      </c>
      <c r="N30" s="725">
        <f t="shared" si="6"/>
        <v>0</v>
      </c>
      <c r="O30" s="725">
        <f t="shared" si="6"/>
        <v>0</v>
      </c>
      <c r="P30" s="346">
        <f>(SUM(C30:O30))/13</f>
        <v>0</v>
      </c>
    </row>
    <row r="31" spans="1:16">
      <c r="A31" s="854">
        <v>22</v>
      </c>
      <c r="B31" s="808"/>
    </row>
    <row r="32" spans="1:16" ht="15.75">
      <c r="A32" s="854">
        <v>23</v>
      </c>
      <c r="B32" s="515" t="s">
        <v>516</v>
      </c>
    </row>
    <row r="33" spans="1:18">
      <c r="A33" s="854">
        <v>24</v>
      </c>
      <c r="B33" s="96"/>
      <c r="R33" s="671"/>
    </row>
    <row r="34" spans="1:18">
      <c r="A34" s="854">
        <v>25</v>
      </c>
      <c r="B34" s="808" t="s">
        <v>1171</v>
      </c>
      <c r="C34" s="346">
        <f>'[9]Summary of Revenue'!$R$32</f>
        <v>-2287953.3409217214</v>
      </c>
      <c r="D34" s="346">
        <f>'[9]Summary of Revenue'!T32</f>
        <v>988506.25436350517</v>
      </c>
      <c r="E34" s="346">
        <f>'[9]Summary of Revenue'!U32</f>
        <v>4223799.0785061195</v>
      </c>
      <c r="F34" s="346">
        <f>'[9]Summary of Revenue'!V32</f>
        <v>7495415.5242451569</v>
      </c>
      <c r="G34" s="346">
        <f>'[9]Summary of Revenue'!W32</f>
        <v>10805777.166353712</v>
      </c>
      <c r="H34" s="346">
        <f>'[9]Summary of Revenue'!X32</f>
        <v>14118560.383235361</v>
      </c>
      <c r="I34" s="346">
        <f>'[9]Summary of Revenue'!Y32</f>
        <v>17407127.852386065</v>
      </c>
      <c r="J34" s="346">
        <f>'[9]Summary of Revenue'!Z32</f>
        <v>20715067.919721525</v>
      </c>
      <c r="K34" s="346">
        <f>'[9]Summary of Revenue'!AA32</f>
        <v>18044747.955635339</v>
      </c>
      <c r="L34" s="346">
        <f>'[9]Summary of Revenue'!AB32</f>
        <v>13969372.842649167</v>
      </c>
      <c r="M34" s="346">
        <f>'[9]Summary of Revenue'!AC32</f>
        <v>8809435.8119519856</v>
      </c>
      <c r="N34" s="346">
        <f>'[9]Summary of Revenue'!AD32</f>
        <v>3257934.6178646553</v>
      </c>
      <c r="O34" s="346">
        <f>'[9]Summary of Revenue'!AE32</f>
        <v>-1769904.1334066335</v>
      </c>
      <c r="P34" s="346">
        <f>(SUM(C34:O34))/13</f>
        <v>8905991.3794295546</v>
      </c>
      <c r="R34" s="671"/>
    </row>
    <row r="35" spans="1:18">
      <c r="A35" s="854">
        <v>26</v>
      </c>
      <c r="B35" s="808"/>
      <c r="K35" s="346"/>
      <c r="L35" s="346"/>
      <c r="M35" s="346"/>
      <c r="N35" s="346"/>
      <c r="O35" s="346"/>
    </row>
    <row r="36" spans="1:18">
      <c r="A36" s="854">
        <v>27</v>
      </c>
      <c r="B36" s="808" t="s">
        <v>1172</v>
      </c>
      <c r="C36" s="346">
        <v>0</v>
      </c>
      <c r="D36" s="346">
        <v>0</v>
      </c>
      <c r="E36" s="346">
        <v>0</v>
      </c>
      <c r="F36" s="346">
        <v>0</v>
      </c>
      <c r="G36" s="346">
        <v>0</v>
      </c>
      <c r="H36" s="346">
        <v>0</v>
      </c>
      <c r="I36" s="346">
        <v>0</v>
      </c>
      <c r="J36" s="346">
        <v>0</v>
      </c>
      <c r="K36" s="346">
        <v>0</v>
      </c>
      <c r="L36" s="346">
        <v>0</v>
      </c>
      <c r="M36" s="346">
        <v>0</v>
      </c>
      <c r="N36" s="346">
        <v>0</v>
      </c>
      <c r="O36" s="346">
        <v>0</v>
      </c>
      <c r="P36" s="346">
        <f>(SUM(C36:O36))/13</f>
        <v>0</v>
      </c>
    </row>
    <row r="37" spans="1:18">
      <c r="A37" s="854">
        <v>28</v>
      </c>
      <c r="B37" s="808"/>
    </row>
    <row r="38" spans="1:18">
      <c r="A38" s="854">
        <v>29</v>
      </c>
      <c r="B38" s="808" t="s">
        <v>1173</v>
      </c>
      <c r="C38" s="346">
        <v>0</v>
      </c>
      <c r="D38" s="346">
        <v>0</v>
      </c>
      <c r="E38" s="346">
        <v>0</v>
      </c>
      <c r="F38" s="346">
        <v>0</v>
      </c>
      <c r="G38" s="346">
        <v>0</v>
      </c>
      <c r="H38" s="346">
        <v>0</v>
      </c>
      <c r="I38" s="346">
        <v>0</v>
      </c>
      <c r="J38" s="346">
        <v>0</v>
      </c>
      <c r="K38" s="346">
        <v>0</v>
      </c>
      <c r="L38" s="346">
        <v>0</v>
      </c>
      <c r="M38" s="346">
        <v>0</v>
      </c>
      <c r="N38" s="346">
        <v>0</v>
      </c>
      <c r="O38" s="346">
        <v>0</v>
      </c>
      <c r="P38" s="346">
        <f>(SUM(C38:O38))/13</f>
        <v>0</v>
      </c>
    </row>
    <row r="39" spans="1:18">
      <c r="A39" s="854">
        <v>30</v>
      </c>
      <c r="B39" s="808"/>
    </row>
    <row r="40" spans="1:18">
      <c r="A40" s="854">
        <v>31</v>
      </c>
      <c r="B40" s="808" t="s">
        <v>1174</v>
      </c>
      <c r="C40" s="346">
        <v>0</v>
      </c>
      <c r="D40" s="346">
        <v>0</v>
      </c>
      <c r="E40" s="346">
        <v>0</v>
      </c>
      <c r="F40" s="346">
        <v>0</v>
      </c>
      <c r="G40" s="346">
        <v>0</v>
      </c>
      <c r="H40" s="346">
        <v>0</v>
      </c>
      <c r="I40" s="346">
        <v>0</v>
      </c>
      <c r="J40" s="346">
        <v>0</v>
      </c>
      <c r="K40" s="346">
        <v>0</v>
      </c>
      <c r="L40" s="346">
        <v>0</v>
      </c>
      <c r="M40" s="346">
        <v>0</v>
      </c>
      <c r="N40" s="346">
        <v>0</v>
      </c>
      <c r="O40" s="346">
        <v>0</v>
      </c>
      <c r="P40" s="346">
        <f>(SUM(C40:O40))/13</f>
        <v>0</v>
      </c>
    </row>
    <row r="41" spans="1:18">
      <c r="A41" s="854">
        <v>32</v>
      </c>
      <c r="B41" s="1068"/>
    </row>
    <row r="42" spans="1:18" ht="15.75">
      <c r="A42" s="854">
        <v>33</v>
      </c>
      <c r="B42" s="515" t="s">
        <v>517</v>
      </c>
    </row>
    <row r="43" spans="1:18">
      <c r="A43" s="854">
        <v>34</v>
      </c>
      <c r="B43" s="695"/>
    </row>
    <row r="44" spans="1:18">
      <c r="A44" s="854">
        <v>35</v>
      </c>
      <c r="B44" s="808" t="s">
        <v>1171</v>
      </c>
      <c r="C44" s="360">
        <f>0</f>
        <v>0</v>
      </c>
      <c r="D44" s="360">
        <f>0</f>
        <v>0</v>
      </c>
      <c r="E44" s="360">
        <f>0</f>
        <v>0</v>
      </c>
      <c r="F44" s="360">
        <f>0</f>
        <v>0</v>
      </c>
      <c r="G44" s="360">
        <f>0</f>
        <v>0</v>
      </c>
      <c r="H44" s="360">
        <f>0</f>
        <v>0</v>
      </c>
      <c r="I44" s="360">
        <f>0</f>
        <v>0</v>
      </c>
      <c r="J44" s="360">
        <f>0</f>
        <v>0</v>
      </c>
      <c r="K44" s="360">
        <f>0</f>
        <v>0</v>
      </c>
      <c r="L44" s="360">
        <f>0</f>
        <v>0</v>
      </c>
      <c r="M44" s="360">
        <f>0</f>
        <v>0</v>
      </c>
      <c r="N44" s="360">
        <f>0</f>
        <v>0</v>
      </c>
      <c r="O44" s="360">
        <f>0</f>
        <v>0</v>
      </c>
      <c r="P44" s="346">
        <f>(SUM(C44:O44))/13</f>
        <v>0</v>
      </c>
    </row>
    <row r="45" spans="1:18">
      <c r="A45" s="854">
        <v>36</v>
      </c>
      <c r="B45" s="808"/>
    </row>
    <row r="46" spans="1:18">
      <c r="A46" s="854">
        <v>37</v>
      </c>
      <c r="B46" s="808" t="s">
        <v>1172</v>
      </c>
      <c r="C46" s="360">
        <f>0</f>
        <v>0</v>
      </c>
      <c r="D46" s="360">
        <f>0</f>
        <v>0</v>
      </c>
      <c r="E46" s="360">
        <f>0</f>
        <v>0</v>
      </c>
      <c r="F46" s="360">
        <f>0</f>
        <v>0</v>
      </c>
      <c r="G46" s="360">
        <f>0</f>
        <v>0</v>
      </c>
      <c r="H46" s="360">
        <f>0</f>
        <v>0</v>
      </c>
      <c r="I46" s="360">
        <f>0</f>
        <v>0</v>
      </c>
      <c r="J46" s="360">
        <f>0</f>
        <v>0</v>
      </c>
      <c r="K46" s="360">
        <f>0</f>
        <v>0</v>
      </c>
      <c r="L46" s="360">
        <f>0</f>
        <v>0</v>
      </c>
      <c r="M46" s="360">
        <f>0</f>
        <v>0</v>
      </c>
      <c r="N46" s="360">
        <f>0</f>
        <v>0</v>
      </c>
      <c r="O46" s="360">
        <f>0</f>
        <v>0</v>
      </c>
      <c r="P46" s="346">
        <f>(SUM(C46:O46))/13</f>
        <v>0</v>
      </c>
    </row>
    <row r="47" spans="1:18">
      <c r="A47" s="854">
        <v>38</v>
      </c>
      <c r="B47" s="808"/>
    </row>
    <row r="48" spans="1:18">
      <c r="A48" s="854">
        <v>39</v>
      </c>
      <c r="B48" s="808" t="s">
        <v>1173</v>
      </c>
      <c r="C48" s="360">
        <f>0</f>
        <v>0</v>
      </c>
      <c r="D48" s="360">
        <f>0</f>
        <v>0</v>
      </c>
      <c r="E48" s="360">
        <f>0</f>
        <v>0</v>
      </c>
      <c r="F48" s="360">
        <f>0</f>
        <v>0</v>
      </c>
      <c r="G48" s="360">
        <f>0</f>
        <v>0</v>
      </c>
      <c r="H48" s="360">
        <f>0</f>
        <v>0</v>
      </c>
      <c r="I48" s="360">
        <f>0</f>
        <v>0</v>
      </c>
      <c r="J48" s="360">
        <f>0</f>
        <v>0</v>
      </c>
      <c r="K48" s="360">
        <f>0</f>
        <v>0</v>
      </c>
      <c r="L48" s="360">
        <f>0</f>
        <v>0</v>
      </c>
      <c r="M48" s="360">
        <f>0</f>
        <v>0</v>
      </c>
      <c r="N48" s="360">
        <f>0</f>
        <v>0</v>
      </c>
      <c r="O48" s="360">
        <f>0</f>
        <v>0</v>
      </c>
      <c r="P48" s="346">
        <f>(SUM(C48:O48))/13</f>
        <v>0</v>
      </c>
    </row>
    <row r="49" spans="1:16">
      <c r="A49" s="854">
        <v>40</v>
      </c>
      <c r="B49" s="808"/>
    </row>
    <row r="50" spans="1:16">
      <c r="A50" s="854">
        <v>41</v>
      </c>
      <c r="B50" s="808" t="s">
        <v>1174</v>
      </c>
      <c r="C50" s="1069">
        <f>0</f>
        <v>0</v>
      </c>
      <c r="D50" s="1069">
        <f>0</f>
        <v>0</v>
      </c>
      <c r="E50" s="1069">
        <f>0</f>
        <v>0</v>
      </c>
      <c r="F50" s="1069">
        <f>0</f>
        <v>0</v>
      </c>
      <c r="G50" s="1069">
        <f>0</f>
        <v>0</v>
      </c>
      <c r="H50" s="1069">
        <f>0</f>
        <v>0</v>
      </c>
      <c r="I50" s="1069">
        <f>0</f>
        <v>0</v>
      </c>
      <c r="J50" s="1069">
        <f>0</f>
        <v>0</v>
      </c>
      <c r="K50" s="1069">
        <f>0</f>
        <v>0</v>
      </c>
      <c r="L50" s="1069">
        <f>0</f>
        <v>0</v>
      </c>
      <c r="M50" s="1069">
        <f>0</f>
        <v>0</v>
      </c>
      <c r="N50" s="1069">
        <f>0</f>
        <v>0</v>
      </c>
      <c r="O50" s="1069">
        <f>0</f>
        <v>0</v>
      </c>
      <c r="P50" s="346">
        <f>(SUM(C50:O50))/13</f>
        <v>0</v>
      </c>
    </row>
    <row r="54" spans="1:16">
      <c r="L54" s="80" t="s">
        <v>323</v>
      </c>
    </row>
    <row r="55" spans="1:16">
      <c r="B55" s="80" t="s">
        <v>518</v>
      </c>
      <c r="C55" s="671"/>
    </row>
    <row r="56" spans="1:16">
      <c r="B56" s="80" t="s">
        <v>1700</v>
      </c>
      <c r="C56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90" zoomScaleNormal="70" zoomScaleSheetLayoutView="9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8.44140625" defaultRowHeight="15"/>
  <cols>
    <col min="1" max="1" width="5.77734375" style="81" customWidth="1"/>
    <col min="2" max="2" width="7.109375" style="81" customWidth="1"/>
    <col min="3" max="3" width="48.33203125" style="81" customWidth="1"/>
    <col min="4" max="4" width="13.21875" style="81" bestFit="1" customWidth="1"/>
    <col min="5" max="7" width="13.109375" style="81" bestFit="1" customWidth="1"/>
    <col min="8" max="8" width="13.109375" style="74" bestFit="1" customWidth="1"/>
    <col min="9" max="10" width="13.109375" style="81" bestFit="1" customWidth="1"/>
    <col min="11" max="14" width="16.21875" style="81" customWidth="1"/>
    <col min="15" max="15" width="13.5546875" style="81" customWidth="1"/>
    <col min="16" max="16" width="13.21875" style="81" customWidth="1"/>
    <col min="17" max="17" width="13.77734375" style="81" customWidth="1"/>
    <col min="18" max="16384" width="8.44140625" style="81"/>
  </cols>
  <sheetData>
    <row r="1" spans="1:18">
      <c r="A1" s="1200" t="str">
        <f>Allocation!A1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</row>
    <row r="2" spans="1:18">
      <c r="A2" s="1200" t="str">
        <f>Allocation!A2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200"/>
    </row>
    <row r="3" spans="1:18">
      <c r="A3" s="1200" t="s">
        <v>510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691"/>
    </row>
    <row r="4" spans="1:18">
      <c r="A4" s="700" t="str">
        <f>Allocation!A3</f>
        <v>Base Period: Twelve Months Ended December 31, 2018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</row>
    <row r="5" spans="1:18">
      <c r="A5" s="167"/>
      <c r="B5" s="150"/>
      <c r="C5" s="150"/>
      <c r="D5" s="150"/>
      <c r="E5" s="150"/>
      <c r="F5" s="150"/>
      <c r="G5" s="150"/>
      <c r="H5" s="371"/>
      <c r="I5" s="150"/>
      <c r="J5" s="150"/>
      <c r="K5" s="150"/>
    </row>
    <row r="6" spans="1:18">
      <c r="A6" s="1027" t="str">
        <f>'B.1 B'!A6</f>
        <v>Data:__X___Base Period______Forecasted Period</v>
      </c>
      <c r="B6" s="1027"/>
      <c r="C6" s="74"/>
      <c r="P6" s="81" t="s">
        <v>1424</v>
      </c>
    </row>
    <row r="7" spans="1:18">
      <c r="A7" s="1027" t="str">
        <f>'B.1 B'!A7</f>
        <v>Type of Filing:___X____Original________Updated ________Revised</v>
      </c>
      <c r="B7" s="74"/>
      <c r="C7" s="1027"/>
      <c r="P7" s="81" t="s">
        <v>717</v>
      </c>
    </row>
    <row r="8" spans="1:18">
      <c r="A8" s="391" t="str">
        <f>'B.1 B'!A8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8">
      <c r="D9" s="857"/>
      <c r="E9" s="76"/>
      <c r="F9" s="855"/>
      <c r="G9" s="855"/>
      <c r="H9" s="75"/>
      <c r="I9" s="855"/>
      <c r="J9" s="76"/>
      <c r="K9" s="855"/>
    </row>
    <row r="10" spans="1:18">
      <c r="A10" s="855" t="s">
        <v>93</v>
      </c>
      <c r="B10" s="855" t="s">
        <v>94</v>
      </c>
      <c r="D10" s="854" t="s">
        <v>107</v>
      </c>
      <c r="E10" s="854" t="s">
        <v>107</v>
      </c>
      <c r="F10" s="854" t="s">
        <v>107</v>
      </c>
      <c r="G10" s="854" t="s">
        <v>107</v>
      </c>
      <c r="H10" s="854" t="s">
        <v>107</v>
      </c>
      <c r="I10" s="854" t="s">
        <v>107</v>
      </c>
      <c r="J10" s="854" t="s">
        <v>107</v>
      </c>
      <c r="K10" s="854" t="s">
        <v>1241</v>
      </c>
      <c r="L10" s="854" t="s">
        <v>1241</v>
      </c>
      <c r="M10" s="854" t="s">
        <v>1241</v>
      </c>
      <c r="N10" s="854" t="s">
        <v>1241</v>
      </c>
      <c r="O10" s="854" t="s">
        <v>1241</v>
      </c>
      <c r="P10" s="854" t="s">
        <v>1241</v>
      </c>
      <c r="Q10" s="956" t="s">
        <v>315</v>
      </c>
    </row>
    <row r="11" spans="1:18">
      <c r="A11" s="435" t="s">
        <v>99</v>
      </c>
      <c r="B11" s="435" t="s">
        <v>100</v>
      </c>
      <c r="C11" s="151"/>
      <c r="D11" s="613">
        <f>'WP B.4.1B'!C8</f>
        <v>43070</v>
      </c>
      <c r="E11" s="613">
        <f>'WP B.4.1B'!D8</f>
        <v>43101</v>
      </c>
      <c r="F11" s="613">
        <f>'WP B.4.1B'!E8</f>
        <v>43132</v>
      </c>
      <c r="G11" s="613">
        <f>'WP B.4.1B'!F8</f>
        <v>43160</v>
      </c>
      <c r="H11" s="613">
        <f>'WP B.4.1B'!G8</f>
        <v>43191</v>
      </c>
      <c r="I11" s="613">
        <f>'WP B.4.1B'!H8</f>
        <v>43221</v>
      </c>
      <c r="J11" s="613">
        <f>'WP B.4.1B'!I8</f>
        <v>43252</v>
      </c>
      <c r="K11" s="613">
        <f>'WP B.4.1B'!J8</f>
        <v>43282</v>
      </c>
      <c r="L11" s="613">
        <f>'WP B.4.1B'!K8</f>
        <v>43313</v>
      </c>
      <c r="M11" s="613">
        <f>'WP B.4.1B'!L8</f>
        <v>43344</v>
      </c>
      <c r="N11" s="613">
        <f>'WP B.4.1B'!M8</f>
        <v>43374</v>
      </c>
      <c r="O11" s="613">
        <f>'WP B.4.1B'!N8</f>
        <v>43405</v>
      </c>
      <c r="P11" s="613">
        <f>'WP B.4.1B'!O8</f>
        <v>43435</v>
      </c>
      <c r="Q11" s="521" t="s">
        <v>98</v>
      </c>
    </row>
    <row r="12" spans="1:18" ht="15.75">
      <c r="B12" s="921" t="s">
        <v>213</v>
      </c>
    </row>
    <row r="13" spans="1:18">
      <c r="A13" s="855">
        <v>1</v>
      </c>
      <c r="C13" s="620" t="s">
        <v>673</v>
      </c>
      <c r="D13" s="1070">
        <f>'[10]Division 009'!DA130+'[10]Division 009'!DA131</f>
        <v>10404257.697957151</v>
      </c>
      <c r="E13" s="1070">
        <f>'[10]Division 009'!DB130+'[10]Division 009'!DB131</f>
        <v>10404257.697957151</v>
      </c>
      <c r="F13" s="1070">
        <f>'[10]Division 009'!DC130+'[10]Division 009'!DC131</f>
        <v>10404257.697957151</v>
      </c>
      <c r="G13" s="1070">
        <f>'[10]Division 009'!DD130+'[10]Division 009'!DD131</f>
        <v>9114435</v>
      </c>
      <c r="H13" s="1070">
        <f>'[10]Division 009'!DE130+'[10]Division 009'!DE131</f>
        <v>9114435</v>
      </c>
      <c r="I13" s="1070">
        <f>'[10]Division 009'!DF130+'[10]Division 009'!DF131</f>
        <v>9114435</v>
      </c>
      <c r="J13" s="1070">
        <f>'[10]Division 009'!DG130+'[10]Division 009'!DG131</f>
        <v>9028253</v>
      </c>
      <c r="K13" s="1070">
        <f>'[10]Division 009'!DH130+'[10]Division 009'!DH131</f>
        <v>9000278.8750404827</v>
      </c>
      <c r="L13" s="1070">
        <f>'[10]Division 009'!DI130+'[10]Division 009'!DI131</f>
        <v>8972304.6007349268</v>
      </c>
      <c r="M13" s="1070">
        <f>'[10]Division 009'!DJ130+'[10]Division 009'!DJ131</f>
        <v>8944330.3264293708</v>
      </c>
      <c r="N13" s="1070">
        <f>'[10]Division 009'!DK130+'[10]Division 009'!DK131</f>
        <v>8916356.0521238148</v>
      </c>
      <c r="O13" s="1070">
        <f>'[10]Division 009'!DL130+'[10]Division 009'!DL131</f>
        <v>8888381.7778182589</v>
      </c>
      <c r="P13" s="1070">
        <f>'[10]Division 009'!DM130+'[10]Division 009'!DM131</f>
        <v>8860407.5035127029</v>
      </c>
      <c r="Q13" s="554">
        <f>(SUM(D13:P13))/13</f>
        <v>9320491.5561177712</v>
      </c>
    </row>
    <row r="14" spans="1:18" ht="14.25" customHeight="1">
      <c r="A14" s="855">
        <f>A13+1</f>
        <v>2</v>
      </c>
      <c r="B14" s="1071"/>
      <c r="C14" s="8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170"/>
    </row>
    <row r="15" spans="1:18">
      <c r="A15" s="855">
        <f t="shared" ref="A15:A49" si="0">A14+1</f>
        <v>3</v>
      </c>
      <c r="C15" s="620" t="s">
        <v>674</v>
      </c>
      <c r="D15" s="608">
        <f>'[10]Division 009'!DA132+'[10]Division 009'!DA133</f>
        <v>-66268035</v>
      </c>
      <c r="E15" s="608">
        <f>'[10]Division 009'!DB132+'[10]Division 009'!DB133</f>
        <v>-66268035</v>
      </c>
      <c r="F15" s="608">
        <f>'[10]Division 009'!DC132+'[10]Division 009'!DC133</f>
        <v>-66268035</v>
      </c>
      <c r="G15" s="608">
        <f>'[10]Division 009'!DD132+'[10]Division 009'!DD133</f>
        <v>-70393298</v>
      </c>
      <c r="H15" s="608">
        <f>'[10]Division 009'!DE132+'[10]Division 009'!DE133</f>
        <v>-70393298</v>
      </c>
      <c r="I15" s="608">
        <f>'[10]Division 009'!DF132+'[10]Division 009'!DF133</f>
        <v>-70393298</v>
      </c>
      <c r="J15" s="608">
        <f>'[10]Division 009'!DG132+'[10]Division 009'!DG133</f>
        <v>-71332054</v>
      </c>
      <c r="K15" s="608">
        <f>'[10]Division 009'!DH132+'[10]Division 009'!DH133</f>
        <v>-73997402.108422428</v>
      </c>
      <c r="L15" s="608">
        <f>'[10]Division 009'!DI132+'[10]Division 009'!DI133</f>
        <v>-76309391.189978927</v>
      </c>
      <c r="M15" s="608">
        <f>'[10]Division 009'!DJ132+'[10]Division 009'!DJ133</f>
        <v>-78668744.351516038</v>
      </c>
      <c r="N15" s="608">
        <f>'[10]Division 009'!DK132+'[10]Division 009'!DK133</f>
        <v>-79313578.065603375</v>
      </c>
      <c r="O15" s="608">
        <f>'[10]Division 009'!DL132+'[10]Division 009'!DL133</f>
        <v>-80049270.808809906</v>
      </c>
      <c r="P15" s="608">
        <f>'[10]Division 009'!DM132+'[10]Division 009'!DM133</f>
        <v>-80791089.958195508</v>
      </c>
      <c r="Q15" s="610">
        <f>(SUM(D15:P15))/13</f>
        <v>-73111194.575578928</v>
      </c>
    </row>
    <row r="16" spans="1:18">
      <c r="A16" s="855">
        <f t="shared" si="0"/>
        <v>4</v>
      </c>
      <c r="B16" s="1071"/>
      <c r="C16" s="88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10"/>
    </row>
    <row r="17" spans="1:18">
      <c r="A17" s="855">
        <f t="shared" si="0"/>
        <v>5</v>
      </c>
      <c r="C17" s="620" t="s">
        <v>675</v>
      </c>
      <c r="D17" s="608">
        <f>'[10]Division 009'!DA134+'[10]Division 009'!DA135+'[10]Division 009'!DA136</f>
        <v>-7784</v>
      </c>
      <c r="E17" s="608">
        <f>'[10]Division 009'!DB134+'[10]Division 009'!DB135+'[10]Division 009'!DB136</f>
        <v>-7784</v>
      </c>
      <c r="F17" s="608">
        <f>'[10]Division 009'!DC134+'[10]Division 009'!DC135+'[10]Division 009'!DC136</f>
        <v>-7784</v>
      </c>
      <c r="G17" s="608">
        <f>'[10]Division 009'!DD134+'[10]Division 009'!DD135+'[10]Division 009'!DD136</f>
        <v>-7784</v>
      </c>
      <c r="H17" s="608">
        <f>'[10]Division 009'!DE134+'[10]Division 009'!DE135+'[10]Division 009'!DE136</f>
        <v>-7784</v>
      </c>
      <c r="I17" s="608">
        <f>'[10]Division 009'!DF134+'[10]Division 009'!DF135+'[10]Division 009'!DF136</f>
        <v>-7784</v>
      </c>
      <c r="J17" s="608">
        <f>'[10]Division 009'!DG134+'[10]Division 009'!DG135+'[10]Division 009'!DG136</f>
        <v>-47285</v>
      </c>
      <c r="K17" s="608">
        <f>'[10]Division 009'!DH134+'[10]Division 009'!DH135+'[10]Division 009'!DH136</f>
        <v>-47285</v>
      </c>
      <c r="L17" s="608">
        <f>'[10]Division 009'!DI134+'[10]Division 009'!DI135+'[10]Division 009'!DI136</f>
        <v>-47285</v>
      </c>
      <c r="M17" s="608">
        <f>'[10]Division 009'!DJ134+'[10]Division 009'!DJ135+'[10]Division 009'!DJ136</f>
        <v>-47285</v>
      </c>
      <c r="N17" s="608">
        <f>'[10]Division 009'!DK134+'[10]Division 009'!DK135+'[10]Division 009'!DK136</f>
        <v>-47285</v>
      </c>
      <c r="O17" s="608">
        <f>'[10]Division 009'!DL134+'[10]Division 009'!DL135+'[10]Division 009'!DL136</f>
        <v>-47285</v>
      </c>
      <c r="P17" s="608">
        <f>'[10]Division 009'!DM134+'[10]Division 009'!DM135+'[10]Division 009'!DM136</f>
        <v>-47285</v>
      </c>
      <c r="Q17" s="610">
        <f>(SUM(D17:P17))/13</f>
        <v>-29053.76923076923</v>
      </c>
    </row>
    <row r="18" spans="1:18" ht="14.25" customHeight="1">
      <c r="A18" s="855">
        <f t="shared" si="0"/>
        <v>6</v>
      </c>
      <c r="B18" s="1071"/>
      <c r="C18" s="88"/>
      <c r="D18" s="77"/>
      <c r="E18" s="77"/>
      <c r="F18" s="77"/>
      <c r="G18" s="77"/>
      <c r="H18" s="77"/>
      <c r="I18" s="74"/>
      <c r="J18" s="74"/>
      <c r="K18" s="74"/>
      <c r="L18" s="430"/>
      <c r="M18" s="430"/>
      <c r="N18" s="430"/>
      <c r="O18" s="430"/>
    </row>
    <row r="19" spans="1:18">
      <c r="A19" s="855">
        <f t="shared" si="0"/>
        <v>7</v>
      </c>
      <c r="C19" s="858" t="s">
        <v>31</v>
      </c>
      <c r="D19" s="575">
        <f t="shared" ref="D19:P19" si="1">SUM(D13:D17)</f>
        <v>-55871561.302042849</v>
      </c>
      <c r="E19" s="575">
        <f t="shared" si="1"/>
        <v>-55871561.302042849</v>
      </c>
      <c r="F19" s="575">
        <f t="shared" si="1"/>
        <v>-55871561.302042849</v>
      </c>
      <c r="G19" s="575">
        <f t="shared" si="1"/>
        <v>-61286647</v>
      </c>
      <c r="H19" s="575">
        <f t="shared" si="1"/>
        <v>-61286647</v>
      </c>
      <c r="I19" s="575">
        <f t="shared" si="1"/>
        <v>-61286647</v>
      </c>
      <c r="J19" s="575">
        <f t="shared" si="1"/>
        <v>-62351086</v>
      </c>
      <c r="K19" s="575">
        <f t="shared" si="1"/>
        <v>-65044408.233381942</v>
      </c>
      <c r="L19" s="575">
        <f t="shared" si="1"/>
        <v>-67384371.589244008</v>
      </c>
      <c r="M19" s="575">
        <f t="shared" si="1"/>
        <v>-69771699.025086671</v>
      </c>
      <c r="N19" s="575">
        <f t="shared" si="1"/>
        <v>-70444507.013479561</v>
      </c>
      <c r="O19" s="575">
        <f t="shared" si="1"/>
        <v>-71208174.030991644</v>
      </c>
      <c r="P19" s="546">
        <f t="shared" si="1"/>
        <v>-71977967.454682797</v>
      </c>
      <c r="Q19" s="546">
        <f>(SUM(D19:P19))/13</f>
        <v>-63819756.788691945</v>
      </c>
      <c r="R19" s="610"/>
    </row>
    <row r="20" spans="1:18" ht="14.25" customHeight="1">
      <c r="A20" s="855">
        <f t="shared" si="0"/>
        <v>8</v>
      </c>
      <c r="B20" s="1071"/>
      <c r="C20" s="88"/>
      <c r="D20" s="77"/>
      <c r="E20" s="77"/>
      <c r="F20" s="77"/>
      <c r="G20" s="77"/>
      <c r="H20" s="77"/>
      <c r="I20" s="74"/>
      <c r="J20" s="74"/>
      <c r="K20" s="74"/>
      <c r="L20" s="430"/>
      <c r="M20" s="430"/>
      <c r="N20" s="430"/>
      <c r="O20" s="430"/>
    </row>
    <row r="21" spans="1:18" ht="15.75">
      <c r="A21" s="855">
        <f t="shared" si="0"/>
        <v>9</v>
      </c>
      <c r="B21" s="921" t="s">
        <v>214</v>
      </c>
      <c r="D21" s="74"/>
      <c r="E21" s="74"/>
      <c r="F21" s="74"/>
      <c r="G21" s="74"/>
      <c r="I21" s="74"/>
      <c r="J21" s="74"/>
      <c r="K21" s="74"/>
      <c r="L21" s="430"/>
      <c r="M21" s="430"/>
      <c r="N21" s="430"/>
      <c r="O21" s="430"/>
    </row>
    <row r="22" spans="1:18">
      <c r="A22" s="855">
        <f t="shared" si="0"/>
        <v>10</v>
      </c>
      <c r="C22" s="620" t="s">
        <v>673</v>
      </c>
      <c r="D22" s="1070">
        <f>'[10]Division 002'!DA134</f>
        <v>504522022</v>
      </c>
      <c r="E22" s="1070">
        <f>'[10]Division 002'!DB134</f>
        <v>504522022</v>
      </c>
      <c r="F22" s="1070">
        <f>'[10]Division 002'!DC134</f>
        <v>504522022</v>
      </c>
      <c r="G22" s="1070">
        <f>'[10]Division 002'!DD134</f>
        <v>440605947</v>
      </c>
      <c r="H22" s="1070">
        <f>'[10]Division 002'!DE134</f>
        <v>440605947</v>
      </c>
      <c r="I22" s="1070">
        <f>'[10]Division 002'!DF134</f>
        <v>440605947</v>
      </c>
      <c r="J22" s="1070">
        <f>'[10]Division 002'!DG134</f>
        <v>437021385</v>
      </c>
      <c r="K22" s="1070">
        <f>'[10]Division 002'!DH134</f>
        <v>437021385</v>
      </c>
      <c r="L22" s="1070">
        <f>'[10]Division 002'!DI134</f>
        <v>437021385</v>
      </c>
      <c r="M22" s="1070">
        <f>'[10]Division 002'!DJ134</f>
        <v>437021385</v>
      </c>
      <c r="N22" s="1070">
        <f>'[10]Division 002'!DK134</f>
        <v>437021385</v>
      </c>
      <c r="O22" s="1070">
        <f>'[10]Division 002'!DL134</f>
        <v>437021385</v>
      </c>
      <c r="P22" s="1070">
        <f>'[10]Division 002'!DM134</f>
        <v>437021385</v>
      </c>
      <c r="Q22" s="554">
        <f>(SUM(D22:P22))/13</f>
        <v>453425661.69230771</v>
      </c>
      <c r="R22" s="671"/>
    </row>
    <row r="23" spans="1:18">
      <c r="A23" s="855">
        <f t="shared" si="0"/>
        <v>11</v>
      </c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170"/>
    </row>
    <row r="24" spans="1:18">
      <c r="A24" s="855">
        <f t="shared" si="0"/>
        <v>12</v>
      </c>
      <c r="C24" s="620" t="s">
        <v>674</v>
      </c>
      <c r="D24" s="608">
        <f>'[10]Division 002'!DA136+'[10]Division 002'!DA137</f>
        <v>-17021092</v>
      </c>
      <c r="E24" s="608">
        <f>'[10]Division 002'!DB136+'[10]Division 002'!DB137</f>
        <v>-17021092</v>
      </c>
      <c r="F24" s="608">
        <f>'[10]Division 002'!DC136+'[10]Division 002'!DC137</f>
        <v>-17021092</v>
      </c>
      <c r="G24" s="608">
        <f>'[10]Division 002'!DD136+'[10]Division 002'!DD137</f>
        <v>-17345030</v>
      </c>
      <c r="H24" s="608">
        <f>'[10]Division 002'!DE136+'[10]Division 002'!DE137</f>
        <v>-17345030</v>
      </c>
      <c r="I24" s="608">
        <f>'[10]Division 002'!DF136+'[10]Division 002'!DF137</f>
        <v>-17345030</v>
      </c>
      <c r="J24" s="608">
        <f>'[10]Division 002'!DG136+'[10]Division 002'!DG137</f>
        <v>-17761671</v>
      </c>
      <c r="K24" s="608">
        <f>'[10]Division 002'!DH136+'[10]Division 002'!DH137</f>
        <v>-18284596.205559574</v>
      </c>
      <c r="L24" s="608">
        <f>'[10]Division 002'!DI136+'[10]Division 002'!DI137</f>
        <v>-18725819.153251659</v>
      </c>
      <c r="M24" s="608">
        <f>'[10]Division 002'!DJ136+'[10]Division 002'!DJ137</f>
        <v>-19281943.96596548</v>
      </c>
      <c r="N24" s="608">
        <f>'[10]Division 002'!DK136+'[10]Division 002'!DK137</f>
        <v>-19229012.042140186</v>
      </c>
      <c r="O24" s="608">
        <f>'[10]Division 002'!DL136+'[10]Division 002'!DL137</f>
        <v>-19100280.722794622</v>
      </c>
      <c r="P24" s="608">
        <f>'[10]Division 002'!DM136+'[10]Division 002'!DM137</f>
        <v>-18970283.831520461</v>
      </c>
      <c r="Q24" s="610">
        <f>(SUM(D24:P24))/13</f>
        <v>-18034767.147787075</v>
      </c>
    </row>
    <row r="25" spans="1:18" ht="14.25" customHeight="1">
      <c r="A25" s="855">
        <f t="shared" si="0"/>
        <v>13</v>
      </c>
      <c r="B25" s="1071"/>
      <c r="C25" s="88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10"/>
    </row>
    <row r="26" spans="1:18">
      <c r="A26" s="855">
        <f t="shared" si="0"/>
        <v>14</v>
      </c>
      <c r="C26" s="620" t="s">
        <v>675</v>
      </c>
      <c r="D26" s="608">
        <f>'[10]Division 002'!DA138+'[10]Division 002'!DA139+'[10]Division 002'!DA140</f>
        <v>31202176.240345001</v>
      </c>
      <c r="E26" s="608">
        <f>'[10]Division 002'!DB138+'[10]Division 002'!DB139+'[10]Division 002'!DB140</f>
        <v>24068825.590345003</v>
      </c>
      <c r="F26" s="608">
        <f>'[10]Division 002'!DC138+'[10]Division 002'!DC139+'[10]Division 002'!DC140</f>
        <v>21481062.100345004</v>
      </c>
      <c r="G26" s="608">
        <f>'[10]Division 002'!DD138+'[10]Division 002'!DD139+'[10]Division 002'!DD140</f>
        <v>25953641.740345001</v>
      </c>
      <c r="H26" s="608">
        <f>'[10]Division 002'!DE138+'[10]Division 002'!DE139+'[10]Division 002'!DE140</f>
        <v>21574355.060219627</v>
      </c>
      <c r="I26" s="608">
        <f>'[10]Division 002'!DF138+'[10]Division 002'!DF139+'[10]Division 002'!DF140</f>
        <v>22808807.777322352</v>
      </c>
      <c r="J26" s="608">
        <f>'[10]Division 002'!DG138+'[10]Division 002'!DG139+'[10]Division 002'!DG140</f>
        <v>24564903.601925977</v>
      </c>
      <c r="K26" s="608">
        <f>'[10]Division 002'!DH138+'[10]Division 002'!DH139+'[10]Division 002'!DH140</f>
        <v>24564903.601925977</v>
      </c>
      <c r="L26" s="608">
        <f>'[10]Division 002'!DI138+'[10]Division 002'!DI139+'[10]Division 002'!DI140</f>
        <v>24564903.601925977</v>
      </c>
      <c r="M26" s="608">
        <f>'[10]Division 002'!DJ138+'[10]Division 002'!DJ139+'[10]Division 002'!DJ140</f>
        <v>24564903.601925977</v>
      </c>
      <c r="N26" s="608">
        <f>'[10]Division 002'!DK138+'[10]Division 002'!DK139+'[10]Division 002'!DK140</f>
        <v>24564903.601925977</v>
      </c>
      <c r="O26" s="608">
        <f>'[10]Division 002'!DL138+'[10]Division 002'!DL139+'[10]Division 002'!DL140</f>
        <v>24564903.601925977</v>
      </c>
      <c r="P26" s="608">
        <f>'[10]Division 002'!DM138+'[10]Division 002'!DM139+'[10]Division 002'!DM140</f>
        <v>24564903.601925977</v>
      </c>
      <c r="Q26" s="610">
        <f>(SUM(D26:P26))/13</f>
        <v>24541784.132492598</v>
      </c>
    </row>
    <row r="27" spans="1:18" ht="14.25" customHeight="1">
      <c r="A27" s="855">
        <f t="shared" si="0"/>
        <v>15</v>
      </c>
      <c r="B27" s="1071"/>
      <c r="C27" s="88"/>
      <c r="D27" s="77"/>
      <c r="E27" s="77"/>
      <c r="F27" s="77"/>
      <c r="G27" s="77"/>
      <c r="H27" s="77"/>
      <c r="I27" s="74"/>
      <c r="J27" s="74"/>
      <c r="K27" s="74"/>
      <c r="L27" s="430"/>
      <c r="M27" s="430"/>
      <c r="N27" s="430"/>
      <c r="O27" s="430"/>
    </row>
    <row r="28" spans="1:18">
      <c r="A28" s="855">
        <f t="shared" si="0"/>
        <v>16</v>
      </c>
      <c r="C28" s="858" t="s">
        <v>68</v>
      </c>
      <c r="D28" s="575">
        <f t="shared" ref="D28:P28" si="2">SUM(D22:D26)</f>
        <v>518703106.240345</v>
      </c>
      <c r="E28" s="575">
        <f t="shared" si="2"/>
        <v>511569755.59034503</v>
      </c>
      <c r="F28" s="575">
        <f t="shared" si="2"/>
        <v>508981992.10034502</v>
      </c>
      <c r="G28" s="575">
        <f t="shared" si="2"/>
        <v>449214558.740345</v>
      </c>
      <c r="H28" s="575">
        <f t="shared" si="2"/>
        <v>444835272.06021965</v>
      </c>
      <c r="I28" s="575">
        <f t="shared" si="2"/>
        <v>446069724.77732235</v>
      </c>
      <c r="J28" s="575">
        <f t="shared" si="2"/>
        <v>443824617.60192597</v>
      </c>
      <c r="K28" s="575">
        <f t="shared" si="2"/>
        <v>443301692.39636642</v>
      </c>
      <c r="L28" s="575">
        <f t="shared" si="2"/>
        <v>442860469.44867432</v>
      </c>
      <c r="M28" s="575">
        <f t="shared" si="2"/>
        <v>442304344.63596046</v>
      </c>
      <c r="N28" s="575">
        <f t="shared" si="2"/>
        <v>442357276.55978578</v>
      </c>
      <c r="O28" s="575">
        <f t="shared" si="2"/>
        <v>442486007.87913132</v>
      </c>
      <c r="P28" s="546">
        <f t="shared" si="2"/>
        <v>442616004.77040553</v>
      </c>
      <c r="Q28" s="546">
        <f>(SUM(D28:P28))/13</f>
        <v>459932678.67701328</v>
      </c>
      <c r="R28" s="610"/>
    </row>
    <row r="29" spans="1:18" ht="15.75">
      <c r="A29" s="855">
        <f t="shared" si="0"/>
        <v>17</v>
      </c>
      <c r="B29" s="921" t="s">
        <v>1116</v>
      </c>
      <c r="C29" s="858"/>
      <c r="D29" s="375"/>
      <c r="E29" s="375"/>
      <c r="F29" s="375"/>
      <c r="G29" s="76"/>
      <c r="H29" s="76"/>
      <c r="I29" s="76"/>
      <c r="J29" s="76"/>
      <c r="K29" s="76"/>
      <c r="L29" s="430"/>
      <c r="M29" s="430"/>
      <c r="N29" s="430"/>
      <c r="O29" s="430"/>
    </row>
    <row r="30" spans="1:18">
      <c r="A30" s="855">
        <f t="shared" si="0"/>
        <v>18</v>
      </c>
      <c r="C30" s="620" t="s">
        <v>673</v>
      </c>
      <c r="D30" s="1070">
        <f>'[10]Division 012'!DA130+'[10]Division 012'!DA131</f>
        <v>6868</v>
      </c>
      <c r="E30" s="1070">
        <f>'[10]Division 012'!DB130+'[10]Division 012'!DB131</f>
        <v>6868</v>
      </c>
      <c r="F30" s="1070">
        <f>'[10]Division 012'!DC130+'[10]Division 012'!DC131</f>
        <v>6868</v>
      </c>
      <c r="G30" s="1070">
        <f>'[10]Division 012'!DD130+'[10]Division 012'!DD131</f>
        <v>10129</v>
      </c>
      <c r="H30" s="1070">
        <f>'[10]Division 012'!DE130+'[10]Division 012'!DE131</f>
        <v>10129</v>
      </c>
      <c r="I30" s="1070">
        <f>'[10]Division 012'!DF130+'[10]Division 012'!DF131</f>
        <v>10129</v>
      </c>
      <c r="J30" s="1070">
        <f>'[10]Division 012'!DG130+'[10]Division 012'!DG131</f>
        <v>68526</v>
      </c>
      <c r="K30" s="1070">
        <f>'[10]Division 012'!DH130+'[10]Division 012'!DH131</f>
        <v>68526</v>
      </c>
      <c r="L30" s="1070">
        <f>'[10]Division 012'!DI130+'[10]Division 012'!DI131</f>
        <v>68526</v>
      </c>
      <c r="M30" s="1070">
        <f>'[10]Division 012'!DJ130+'[10]Division 012'!DJ131</f>
        <v>68526</v>
      </c>
      <c r="N30" s="1070">
        <f>'[10]Division 012'!DK130+'[10]Division 012'!DK131</f>
        <v>68526</v>
      </c>
      <c r="O30" s="1070">
        <f>'[10]Division 012'!DL130+'[10]Division 012'!DL131</f>
        <v>68526</v>
      </c>
      <c r="P30" s="1070">
        <f>'[10]Division 012'!DM130+'[10]Division 012'!DM131</f>
        <v>68526</v>
      </c>
      <c r="Q30" s="554">
        <f>(SUM(D30:P30))/13</f>
        <v>40821</v>
      </c>
    </row>
    <row r="31" spans="1:18">
      <c r="A31" s="855">
        <f t="shared" si="0"/>
        <v>19</v>
      </c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170"/>
    </row>
    <row r="32" spans="1:18">
      <c r="A32" s="855">
        <f t="shared" si="0"/>
        <v>20</v>
      </c>
      <c r="C32" s="620" t="s">
        <v>674</v>
      </c>
      <c r="D32" s="608">
        <f>'[10]Division 012'!DA132+'[10]Division 012'!DA133</f>
        <v>-17234236</v>
      </c>
      <c r="E32" s="608">
        <f>'[10]Division 012'!DB132+'[10]Division 012'!DB133</f>
        <v>-17234236</v>
      </c>
      <c r="F32" s="608">
        <f>'[10]Division 012'!DC132+'[10]Division 012'!DC133</f>
        <v>-17234236</v>
      </c>
      <c r="G32" s="608">
        <f>'[10]Division 012'!DD132+'[10]Division 012'!DD133</f>
        <v>-16885721</v>
      </c>
      <c r="H32" s="608">
        <f>'[10]Division 012'!DE132+'[10]Division 012'!DE133</f>
        <v>-16885721</v>
      </c>
      <c r="I32" s="608">
        <f>'[10]Division 012'!DF132+'[10]Division 012'!DF133</f>
        <v>-16885721</v>
      </c>
      <c r="J32" s="608">
        <f>'[10]Division 012'!DG132+'[10]Division 012'!DG133</f>
        <v>-16728471</v>
      </c>
      <c r="K32" s="608">
        <f>'[10]Division 012'!DH132+'[10]Division 012'!DH133</f>
        <v>-16674329.340609109</v>
      </c>
      <c r="L32" s="608">
        <f>'[10]Division 012'!DI132+'[10]Division 012'!DI133</f>
        <v>-16579397.325323217</v>
      </c>
      <c r="M32" s="608">
        <f>'[10]Division 012'!DJ132+'[10]Division 012'!DJ133</f>
        <v>-16436786.161776451</v>
      </c>
      <c r="N32" s="608">
        <f>'[10]Division 012'!DK132+'[10]Division 012'!DK133</f>
        <v>-16303796.356638949</v>
      </c>
      <c r="O32" s="608">
        <f>'[10]Division 012'!DL132+'[10]Division 012'!DL133</f>
        <v>-16170611.632476818</v>
      </c>
      <c r="P32" s="608">
        <f>'[10]Division 012'!DM132+'[10]Division 012'!DM133</f>
        <v>-16037375.511528807</v>
      </c>
      <c r="Q32" s="610">
        <f>(SUM(D32:P32))/13</f>
        <v>-16714664.486796411</v>
      </c>
    </row>
    <row r="33" spans="1:18">
      <c r="A33" s="855">
        <f t="shared" si="0"/>
        <v>21</v>
      </c>
      <c r="B33" s="1071"/>
      <c r="C33" s="8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170"/>
    </row>
    <row r="34" spans="1:18">
      <c r="A34" s="855">
        <f t="shared" si="0"/>
        <v>22</v>
      </c>
      <c r="C34" s="620" t="s">
        <v>675</v>
      </c>
      <c r="D34" s="608">
        <f>'[10]Division 012'!DA134+'[10]Division 012'!DA135+'[10]Division 012'!DA136</f>
        <v>0</v>
      </c>
      <c r="E34" s="608">
        <f>'[10]Division 012'!DB134+'[10]Division 012'!DB135+'[10]Division 012'!DB136</f>
        <v>0</v>
      </c>
      <c r="F34" s="608">
        <f>'[10]Division 012'!DC134+'[10]Division 012'!DC135+'[10]Division 012'!DC136</f>
        <v>0</v>
      </c>
      <c r="G34" s="608">
        <f>'[10]Division 012'!DD134+'[10]Division 012'!DD135+'[10]Division 012'!DD136</f>
        <v>0</v>
      </c>
      <c r="H34" s="608">
        <f>'[10]Division 012'!DE134+'[10]Division 012'!DE135+'[10]Division 012'!DE136</f>
        <v>0</v>
      </c>
      <c r="I34" s="608">
        <f>'[10]Division 012'!DF134+'[10]Division 012'!DF135+'[10]Division 012'!DF136</f>
        <v>0</v>
      </c>
      <c r="J34" s="608">
        <f>'[10]Division 012'!DG134+'[10]Division 012'!DG135+'[10]Division 012'!DG136</f>
        <v>0</v>
      </c>
      <c r="K34" s="608">
        <f>'[10]Division 012'!DH134+'[10]Division 012'!DH135+'[10]Division 012'!DH136</f>
        <v>0</v>
      </c>
      <c r="L34" s="608">
        <f>'[10]Division 012'!DI134+'[10]Division 012'!DI135+'[10]Division 012'!DI136</f>
        <v>0</v>
      </c>
      <c r="M34" s="608">
        <f>'[10]Division 012'!DJ134+'[10]Division 012'!DJ135+'[10]Division 012'!DJ136</f>
        <v>0</v>
      </c>
      <c r="N34" s="608">
        <f>'[10]Division 012'!DK134+'[10]Division 012'!DK135+'[10]Division 012'!DK136</f>
        <v>0</v>
      </c>
      <c r="O34" s="608">
        <f>'[10]Division 012'!DL134+'[10]Division 012'!DL135+'[10]Division 012'!DL136</f>
        <v>0</v>
      </c>
      <c r="P34" s="608">
        <f>'[10]Division 012'!DM134+'[10]Division 012'!DM135+'[10]Division 012'!DM136</f>
        <v>0</v>
      </c>
      <c r="Q34" s="610">
        <f>(SUM(D34:P34))/13</f>
        <v>0</v>
      </c>
    </row>
    <row r="35" spans="1:18">
      <c r="A35" s="855">
        <f t="shared" si="0"/>
        <v>23</v>
      </c>
      <c r="B35" s="1071"/>
      <c r="C35" s="88"/>
      <c r="D35" s="77"/>
      <c r="E35" s="77"/>
      <c r="F35" s="77"/>
      <c r="G35" s="77"/>
      <c r="H35" s="77"/>
      <c r="I35" s="74"/>
      <c r="J35" s="74"/>
      <c r="K35" s="74"/>
      <c r="L35" s="430"/>
      <c r="M35" s="430"/>
      <c r="N35" s="430"/>
      <c r="O35" s="430"/>
    </row>
    <row r="36" spans="1:18">
      <c r="A36" s="855">
        <f t="shared" si="0"/>
        <v>24</v>
      </c>
      <c r="C36" s="858" t="s">
        <v>718</v>
      </c>
      <c r="D36" s="575">
        <f t="shared" ref="D36:P36" si="3">SUM(D30:D34)</f>
        <v>-17227368</v>
      </c>
      <c r="E36" s="575">
        <f t="shared" si="3"/>
        <v>-17227368</v>
      </c>
      <c r="F36" s="575">
        <f t="shared" si="3"/>
        <v>-17227368</v>
      </c>
      <c r="G36" s="575">
        <f t="shared" si="3"/>
        <v>-16875592</v>
      </c>
      <c r="H36" s="575">
        <f t="shared" si="3"/>
        <v>-16875592</v>
      </c>
      <c r="I36" s="575">
        <f t="shared" si="3"/>
        <v>-16875592</v>
      </c>
      <c r="J36" s="575">
        <f t="shared" si="3"/>
        <v>-16659945</v>
      </c>
      <c r="K36" s="575">
        <f>SUM(K30:K34)</f>
        <v>-16605803.340609109</v>
      </c>
      <c r="L36" s="575">
        <f t="shared" si="3"/>
        <v>-16510871.325323217</v>
      </c>
      <c r="M36" s="575">
        <f t="shared" si="3"/>
        <v>-16368260.161776451</v>
      </c>
      <c r="N36" s="575">
        <f t="shared" si="3"/>
        <v>-16235270.356638949</v>
      </c>
      <c r="O36" s="575">
        <f t="shared" si="3"/>
        <v>-16102085.632476818</v>
      </c>
      <c r="P36" s="546">
        <f t="shared" si="3"/>
        <v>-15968849.511528807</v>
      </c>
      <c r="Q36" s="546">
        <f>(SUM(D36:P36))/13</f>
        <v>-16673843.486796411</v>
      </c>
      <c r="R36" s="610"/>
    </row>
    <row r="37" spans="1:18">
      <c r="A37" s="855">
        <f t="shared" si="0"/>
        <v>25</v>
      </c>
      <c r="C37" s="858"/>
      <c r="D37" s="77"/>
      <c r="E37" s="77"/>
      <c r="F37" s="77"/>
      <c r="G37" s="74"/>
      <c r="I37" s="74"/>
      <c r="J37" s="74"/>
      <c r="K37" s="74"/>
      <c r="L37" s="430"/>
      <c r="M37" s="430"/>
      <c r="N37" s="430"/>
      <c r="O37" s="430"/>
    </row>
    <row r="38" spans="1:18" ht="15.75">
      <c r="A38" s="855">
        <f t="shared" si="0"/>
        <v>26</v>
      </c>
      <c r="B38" s="921" t="s">
        <v>676</v>
      </c>
      <c r="D38" s="74"/>
      <c r="E38" s="74"/>
      <c r="F38" s="74"/>
      <c r="G38" s="74"/>
      <c r="I38" s="74"/>
      <c r="J38" s="74"/>
      <c r="K38" s="74"/>
      <c r="L38" s="430"/>
      <c r="M38" s="430"/>
      <c r="N38" s="430"/>
      <c r="O38" s="430"/>
    </row>
    <row r="39" spans="1:18">
      <c r="A39" s="855">
        <f t="shared" si="0"/>
        <v>27</v>
      </c>
      <c r="C39" s="620" t="s">
        <v>673</v>
      </c>
      <c r="D39" s="1070">
        <f>'[10]Division 091'!DA130+'[10]Division 091'!DA131</f>
        <v>970543</v>
      </c>
      <c r="E39" s="1070">
        <f>'[10]Division 091'!DB130+'[10]Division 091'!DB131</f>
        <v>970543</v>
      </c>
      <c r="F39" s="1070">
        <f>'[10]Division 091'!DC130+'[10]Division 091'!DC131</f>
        <v>970543</v>
      </c>
      <c r="G39" s="1070">
        <f>'[10]Division 091'!DD130+'[10]Division 091'!DD131</f>
        <v>2022414</v>
      </c>
      <c r="H39" s="1070">
        <f>'[10]Division 091'!DE130+'[10]Division 091'!DE131</f>
        <v>2022414</v>
      </c>
      <c r="I39" s="1070">
        <f>'[10]Division 091'!DF130+'[10]Division 091'!DF131</f>
        <v>2022414</v>
      </c>
      <c r="J39" s="1070">
        <f>'[10]Division 091'!DG130+'[10]Division 091'!DG131</f>
        <v>1746795</v>
      </c>
      <c r="K39" s="1070">
        <f>'[10]Division 091'!DH130+'[10]Division 091'!DH131</f>
        <v>1746795</v>
      </c>
      <c r="L39" s="1070">
        <f>'[10]Division 091'!DI130+'[10]Division 091'!DI131</f>
        <v>1746795</v>
      </c>
      <c r="M39" s="1070">
        <f>'[10]Division 091'!DJ130+'[10]Division 091'!DJ131</f>
        <v>1746795</v>
      </c>
      <c r="N39" s="1070">
        <f>'[10]Division 091'!DK130+'[10]Division 091'!DK131</f>
        <v>1746795</v>
      </c>
      <c r="O39" s="1070">
        <f>'[10]Division 091'!DL130+'[10]Division 091'!DL131</f>
        <v>1746795</v>
      </c>
      <c r="P39" s="1070">
        <f>'[10]Division 091'!DM130+'[10]Division 091'!DM131</f>
        <v>1746795</v>
      </c>
      <c r="Q39" s="554">
        <f>(SUM(D39:P39))/13</f>
        <v>1631264.3076923077</v>
      </c>
    </row>
    <row r="40" spans="1:18">
      <c r="A40" s="855">
        <f t="shared" si="0"/>
        <v>28</v>
      </c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170"/>
    </row>
    <row r="41" spans="1:18">
      <c r="A41" s="855">
        <f t="shared" si="0"/>
        <v>29</v>
      </c>
      <c r="C41" s="620" t="s">
        <v>674</v>
      </c>
      <c r="D41" s="608">
        <f>'[10]Division 091'!DA132+'[10]Division 091'!DA133</f>
        <v>-4082724</v>
      </c>
      <c r="E41" s="608">
        <f>'[10]Division 091'!DB132+'[10]Division 091'!DB133</f>
        <v>-4082724</v>
      </c>
      <c r="F41" s="608">
        <f>'[10]Division 091'!DC132+'[10]Division 091'!DC133</f>
        <v>-4082724</v>
      </c>
      <c r="G41" s="608">
        <f>'[10]Division 091'!DD132+'[10]Division 091'!DD133</f>
        <v>-727963</v>
      </c>
      <c r="H41" s="608">
        <f>'[10]Division 091'!DE132+'[10]Division 091'!DE133</f>
        <v>-727963</v>
      </c>
      <c r="I41" s="608">
        <f>'[10]Division 091'!DF132+'[10]Division 091'!DF133</f>
        <v>-727963</v>
      </c>
      <c r="J41" s="608">
        <f>'[10]Division 091'!DG132+'[10]Division 091'!DG133</f>
        <v>-719976</v>
      </c>
      <c r="K41" s="608">
        <f>'[10]Division 091'!DH132+'[10]Division 091'!DH133</f>
        <v>-725287.28808689071</v>
      </c>
      <c r="L41" s="608">
        <f>'[10]Division 091'!DI132+'[10]Division 091'!DI133</f>
        <v>-730598.41085078195</v>
      </c>
      <c r="M41" s="608">
        <f>'[10]Division 091'!DJ132+'[10]Division 091'!DJ133</f>
        <v>-735909.53361467284</v>
      </c>
      <c r="N41" s="608">
        <f>'[10]Division 091'!DK132+'[10]Division 091'!DK133</f>
        <v>-748196.04646482423</v>
      </c>
      <c r="O41" s="608">
        <f>'[10]Division 091'!DL132+'[10]Division 091'!DL133</f>
        <v>-746839.31653570361</v>
      </c>
      <c r="P41" s="608">
        <f>'[10]Division 091'!DM132+'[10]Division 091'!DM133</f>
        <v>-745482.58660658298</v>
      </c>
      <c r="Q41" s="610">
        <f>(SUM(D41:P41))/13</f>
        <v>-1506488.4755507275</v>
      </c>
    </row>
    <row r="42" spans="1:18">
      <c r="A42" s="855">
        <f t="shared" si="0"/>
        <v>30</v>
      </c>
      <c r="B42" s="855"/>
      <c r="C42" s="88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170"/>
    </row>
    <row r="43" spans="1:18">
      <c r="A43" s="855">
        <f t="shared" si="0"/>
        <v>31</v>
      </c>
      <c r="C43" s="620" t="s">
        <v>675</v>
      </c>
      <c r="D43" s="608">
        <f>'[10]Division 091'!DA134+'[10]Division 091'!DA135+'[10]Division 091'!DA136</f>
        <v>-894648</v>
      </c>
      <c r="E43" s="608">
        <f>'[10]Division 091'!DB134+'[10]Division 091'!DB135+'[10]Division 091'!DB136</f>
        <v>-894648</v>
      </c>
      <c r="F43" s="608">
        <f>'[10]Division 091'!DC134+'[10]Division 091'!DC135+'[10]Division 091'!DC136</f>
        <v>-894648</v>
      </c>
      <c r="G43" s="608">
        <f>'[10]Division 091'!DD134+'[10]Division 091'!DD135+'[10]Division 091'!DD136</f>
        <v>-847457</v>
      </c>
      <c r="H43" s="608">
        <f>'[10]Division 091'!DE134+'[10]Division 091'!DE135+'[10]Division 091'!DE136</f>
        <v>-847457</v>
      </c>
      <c r="I43" s="608">
        <f>'[10]Division 091'!DF134+'[10]Division 091'!DF135+'[10]Division 091'!DF136</f>
        <v>-847457</v>
      </c>
      <c r="J43" s="608">
        <f>'[10]Division 091'!DG134+'[10]Division 091'!DG135+'[10]Division 091'!DG136</f>
        <v>-886040</v>
      </c>
      <c r="K43" s="608">
        <f>'[10]Division 091'!DH134+'[10]Division 091'!DH135+'[10]Division 091'!DH136</f>
        <v>-886040</v>
      </c>
      <c r="L43" s="608">
        <f>'[10]Division 091'!DI134+'[10]Division 091'!DI135+'[10]Division 091'!DI136</f>
        <v>-886040</v>
      </c>
      <c r="M43" s="608">
        <f>'[10]Division 091'!DJ134+'[10]Division 091'!DJ135+'[10]Division 091'!DJ136</f>
        <v>-886040</v>
      </c>
      <c r="N43" s="608">
        <f>'[10]Division 091'!DK134+'[10]Division 091'!DK135+'[10]Division 091'!DK136</f>
        <v>-886040</v>
      </c>
      <c r="O43" s="608">
        <f>'[10]Division 091'!DL134+'[10]Division 091'!DL135+'[10]Division 091'!DL136</f>
        <v>-886040</v>
      </c>
      <c r="P43" s="608">
        <f>'[10]Division 091'!DM134+'[10]Division 091'!DM135+'[10]Division 091'!DM136</f>
        <v>-886040</v>
      </c>
      <c r="Q43" s="610">
        <f>(SUM(D43:P43))/13</f>
        <v>-879122.69230769225</v>
      </c>
    </row>
    <row r="44" spans="1:18">
      <c r="A44" s="855">
        <f t="shared" si="0"/>
        <v>32</v>
      </c>
      <c r="C44" s="88"/>
      <c r="D44" s="608"/>
      <c r="E44" s="608"/>
      <c r="F44" s="608"/>
      <c r="G44" s="608"/>
      <c r="H44" s="608"/>
      <c r="I44" s="608"/>
      <c r="J44" s="608"/>
      <c r="K44" s="608"/>
      <c r="L44" s="610"/>
      <c r="M44" s="610"/>
      <c r="N44" s="610"/>
      <c r="O44" s="610"/>
      <c r="P44" s="610"/>
      <c r="Q44" s="170"/>
    </row>
    <row r="45" spans="1:18">
      <c r="A45" s="855">
        <f t="shared" si="0"/>
        <v>33</v>
      </c>
      <c r="C45" s="620" t="s">
        <v>439</v>
      </c>
      <c r="D45" s="608">
        <v>0</v>
      </c>
      <c r="E45" s="608">
        <v>0</v>
      </c>
      <c r="F45" s="608">
        <v>0</v>
      </c>
      <c r="G45" s="608">
        <v>0</v>
      </c>
      <c r="H45" s="608">
        <v>0</v>
      </c>
      <c r="I45" s="608">
        <v>0</v>
      </c>
      <c r="J45" s="608">
        <v>0</v>
      </c>
      <c r="K45" s="608">
        <v>0</v>
      </c>
      <c r="L45" s="608">
        <v>0</v>
      </c>
      <c r="M45" s="608">
        <v>0</v>
      </c>
      <c r="N45" s="608">
        <v>0</v>
      </c>
      <c r="O45" s="608">
        <v>0</v>
      </c>
      <c r="P45" s="608">
        <v>0</v>
      </c>
      <c r="Q45" s="610">
        <f>(SUM(D45:P45))/13</f>
        <v>0</v>
      </c>
    </row>
    <row r="46" spans="1:18">
      <c r="A46" s="855">
        <f t="shared" si="0"/>
        <v>34</v>
      </c>
      <c r="B46" s="1071"/>
      <c r="C46" s="88"/>
      <c r="D46" s="77"/>
      <c r="E46" s="77"/>
      <c r="F46" s="77"/>
      <c r="G46" s="77"/>
      <c r="H46" s="77"/>
      <c r="I46" s="74"/>
      <c r="J46" s="74"/>
      <c r="K46" s="74"/>
      <c r="L46" s="377"/>
      <c r="M46" s="430"/>
      <c r="N46" s="430"/>
      <c r="O46" s="430"/>
      <c r="P46" s="430"/>
    </row>
    <row r="47" spans="1:18">
      <c r="A47" s="855">
        <f t="shared" si="0"/>
        <v>35</v>
      </c>
      <c r="C47" s="858" t="s">
        <v>438</v>
      </c>
      <c r="D47" s="575">
        <f>SUM(D39:D46)</f>
        <v>-4006829</v>
      </c>
      <c r="E47" s="575">
        <f t="shared" ref="E47:P47" si="4">SUM(E39:E46)</f>
        <v>-4006829</v>
      </c>
      <c r="F47" s="575">
        <f t="shared" si="4"/>
        <v>-4006829</v>
      </c>
      <c r="G47" s="575">
        <f t="shared" si="4"/>
        <v>446994</v>
      </c>
      <c r="H47" s="575">
        <f t="shared" si="4"/>
        <v>446994</v>
      </c>
      <c r="I47" s="575">
        <f t="shared" si="4"/>
        <v>446994</v>
      </c>
      <c r="J47" s="575">
        <f t="shared" si="4"/>
        <v>140779</v>
      </c>
      <c r="K47" s="575">
        <f t="shared" si="4"/>
        <v>135467.71191310929</v>
      </c>
      <c r="L47" s="575">
        <f t="shared" si="4"/>
        <v>130156.58914921805</v>
      </c>
      <c r="M47" s="575">
        <f t="shared" si="4"/>
        <v>124845.46638532716</v>
      </c>
      <c r="N47" s="575">
        <f t="shared" si="4"/>
        <v>112558.95353517577</v>
      </c>
      <c r="O47" s="575">
        <f t="shared" si="4"/>
        <v>113915.68346429639</v>
      </c>
      <c r="P47" s="575">
        <f t="shared" si="4"/>
        <v>115272.41339341702</v>
      </c>
      <c r="Q47" s="546">
        <f>(SUM(D47:P47))/13</f>
        <v>-754346.86016611208</v>
      </c>
      <c r="R47" s="610"/>
    </row>
    <row r="48" spans="1:18">
      <c r="A48" s="855">
        <f t="shared" si="0"/>
        <v>36</v>
      </c>
      <c r="D48" s="74"/>
      <c r="E48" s="74"/>
      <c r="F48" s="74"/>
      <c r="G48" s="74"/>
      <c r="I48" s="74"/>
      <c r="J48" s="74"/>
      <c r="K48" s="74"/>
      <c r="L48" s="74"/>
      <c r="P48" s="430"/>
    </row>
    <row r="49" spans="1:17" ht="15.75" thickBot="1">
      <c r="A49" s="855">
        <f t="shared" si="0"/>
        <v>37</v>
      </c>
      <c r="B49" s="74"/>
      <c r="C49" s="81" t="s">
        <v>96</v>
      </c>
      <c r="D49" s="329">
        <f>D47+D36+D28+D19</f>
        <v>441597347.93830216</v>
      </c>
      <c r="E49" s="329">
        <f t="shared" ref="E49:P49" si="5">E47+E36+E28+E19</f>
        <v>434463997.28830218</v>
      </c>
      <c r="F49" s="329">
        <f t="shared" si="5"/>
        <v>431876233.79830217</v>
      </c>
      <c r="G49" s="329">
        <f t="shared" si="5"/>
        <v>371499313.740345</v>
      </c>
      <c r="H49" s="329">
        <f t="shared" si="5"/>
        <v>367120027.06021965</v>
      </c>
      <c r="I49" s="329">
        <f t="shared" si="5"/>
        <v>368354479.77732235</v>
      </c>
      <c r="J49" s="329">
        <f t="shared" si="5"/>
        <v>364954365.60192597</v>
      </c>
      <c r="K49" s="329">
        <f t="shared" si="5"/>
        <v>361786948.53428847</v>
      </c>
      <c r="L49" s="329">
        <f t="shared" si="5"/>
        <v>359095383.12325633</v>
      </c>
      <c r="M49" s="329">
        <f t="shared" si="5"/>
        <v>356289230.91548264</v>
      </c>
      <c r="N49" s="329">
        <f t="shared" si="5"/>
        <v>355790058.14320242</v>
      </c>
      <c r="O49" s="329">
        <f t="shared" si="5"/>
        <v>355289663.89912713</v>
      </c>
      <c r="P49" s="329">
        <f t="shared" si="5"/>
        <v>354784460.21758735</v>
      </c>
      <c r="Q49" s="329">
        <f>(SUM(D49:P49))/13</f>
        <v>378684731.54135871</v>
      </c>
    </row>
    <row r="50" spans="1:17" ht="15.75" thickTop="1">
      <c r="A50" s="74"/>
      <c r="B50" s="74"/>
    </row>
    <row r="51" spans="1:17">
      <c r="A51" s="74"/>
      <c r="B51" s="74"/>
      <c r="C51" s="74" t="s">
        <v>684</v>
      </c>
    </row>
    <row r="52" spans="1:17">
      <c r="A52" s="74"/>
      <c r="B52" s="74"/>
      <c r="C52" s="74" t="s">
        <v>1701</v>
      </c>
    </row>
    <row r="53" spans="1:17">
      <c r="A53" s="74"/>
      <c r="B53" s="74"/>
    </row>
    <row r="54" spans="1:17">
      <c r="A54" s="74"/>
      <c r="B54" s="74"/>
    </row>
    <row r="55" spans="1:17">
      <c r="A55" s="74"/>
      <c r="B55" s="74"/>
    </row>
    <row r="56" spans="1:17">
      <c r="A56" s="74"/>
      <c r="B56" s="74"/>
    </row>
    <row r="57" spans="1:17">
      <c r="D57" s="671"/>
    </row>
    <row r="58" spans="1:17">
      <c r="D58" s="671"/>
    </row>
    <row r="59" spans="1:17">
      <c r="D59" s="671"/>
    </row>
    <row r="61" spans="1:17">
      <c r="H61" s="81"/>
    </row>
    <row r="62" spans="1:17">
      <c r="H62" s="81"/>
    </row>
    <row r="63" spans="1:17">
      <c r="H63" s="81"/>
    </row>
    <row r="64" spans="1:17">
      <c r="C64" s="103"/>
      <c r="H64" s="81"/>
    </row>
    <row r="65" spans="3:16">
      <c r="C65" s="170"/>
      <c r="H65" s="81"/>
    </row>
    <row r="66" spans="3:16">
      <c r="H66" s="81"/>
    </row>
    <row r="69" spans="3:16">
      <c r="H69" s="81"/>
    </row>
    <row r="70" spans="3:16">
      <c r="H70" s="81"/>
    </row>
    <row r="71" spans="3:16">
      <c r="H71" s="81"/>
    </row>
    <row r="72" spans="3:16">
      <c r="C72" s="103"/>
      <c r="H72" s="81"/>
    </row>
    <row r="74" spans="3:16">
      <c r="H74" s="81"/>
      <c r="K74" s="103"/>
      <c r="L74" s="103"/>
      <c r="M74" s="103"/>
      <c r="N74" s="103"/>
      <c r="O74" s="103"/>
      <c r="P74" s="103"/>
    </row>
    <row r="78" spans="3:16">
      <c r="K78" s="671"/>
    </row>
  </sheetData>
  <mergeCells count="3">
    <mergeCell ref="A1:Q1"/>
    <mergeCell ref="A2:Q2"/>
    <mergeCell ref="A3:Q3"/>
  </mergeCells>
  <phoneticPr fontId="22" type="noConversion"/>
  <printOptions horizontalCentered="1"/>
  <pageMargins left="0.33" right="0.33" top="0.93" bottom="1" header="0.5" footer="0.5"/>
  <pageSetup scale="42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S74"/>
  <sheetViews>
    <sheetView view="pageBreakPreview" zoomScale="70" zoomScaleNormal="70" zoomScaleSheetLayoutView="70" workbookViewId="0">
      <pane xSplit="3" ySplit="11" topLeftCell="H12" activePane="bottomRight" state="frozen"/>
      <selection activeCell="I17" sqref="I17"/>
      <selection pane="topRight" activeCell="I17" sqref="I17"/>
      <selection pane="bottomLeft" activeCell="I17" sqref="I17"/>
      <selection pane="bottomRight" activeCell="P15" sqref="P15"/>
    </sheetView>
  </sheetViews>
  <sheetFormatPr defaultColWidth="8.44140625" defaultRowHeight="15"/>
  <cols>
    <col min="1" max="1" width="5" style="81" customWidth="1"/>
    <col min="2" max="2" width="5.6640625" style="81" customWidth="1"/>
    <col min="3" max="3" width="49.33203125" style="81" bestFit="1" customWidth="1"/>
    <col min="4" max="5" width="14.77734375" style="81" bestFit="1" customWidth="1"/>
    <col min="6" max="6" width="14.33203125" style="81" bestFit="1" customWidth="1"/>
    <col min="7" max="7" width="14.77734375" style="81" bestFit="1" customWidth="1"/>
    <col min="8" max="8" width="14.77734375" style="74" bestFit="1" customWidth="1"/>
    <col min="9" max="9" width="14.88671875" style="81" bestFit="1" customWidth="1"/>
    <col min="10" max="11" width="14.77734375" style="81" bestFit="1" customWidth="1"/>
    <col min="12" max="15" width="14.88671875" style="81" bestFit="1" customWidth="1"/>
    <col min="16" max="17" width="14.77734375" style="81" bestFit="1" customWidth="1"/>
    <col min="18" max="18" width="9.33203125" style="81" bestFit="1" customWidth="1"/>
    <col min="19" max="19" width="12.6640625" style="81" bestFit="1" customWidth="1"/>
    <col min="20" max="16384" width="8.44140625" style="81"/>
  </cols>
  <sheetData>
    <row r="1" spans="1:19">
      <c r="A1" s="1200" t="str">
        <f>Allocation!A1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</row>
    <row r="2" spans="1:19">
      <c r="A2" s="1200" t="str">
        <f>Allocation!A2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200"/>
    </row>
    <row r="3" spans="1:19">
      <c r="A3" s="1200" t="s">
        <v>510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</row>
    <row r="4" spans="1:19">
      <c r="A4" s="1200" t="str">
        <f>'WP B.4.1F'!A3:P3</f>
        <v>Forecasted Test Period: Twelve Months Ended March 31, 2020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1200"/>
    </row>
    <row r="5" spans="1:19">
      <c r="A5" s="167"/>
      <c r="B5" s="150"/>
      <c r="C5" s="150"/>
      <c r="D5" s="150"/>
      <c r="E5" s="150"/>
      <c r="F5" s="150"/>
      <c r="G5" s="150"/>
      <c r="H5" s="371"/>
      <c r="I5" s="150"/>
      <c r="J5" s="150"/>
      <c r="K5" s="150"/>
    </row>
    <row r="6" spans="1:19">
      <c r="A6" s="1027" t="str">
        <f>'B.1 F '!A6</f>
        <v>Data:______Base Period__X___Forecasted Period</v>
      </c>
      <c r="B6" s="1027"/>
      <c r="C6" s="74"/>
      <c r="P6" s="81" t="s">
        <v>1424</v>
      </c>
    </row>
    <row r="7" spans="1:19">
      <c r="A7" s="1027" t="str">
        <f>'B.1 F '!A7</f>
        <v>Type of Filing:___X____Original________Updated ________Revised</v>
      </c>
      <c r="B7" s="74"/>
      <c r="C7" s="1027"/>
      <c r="P7" s="81" t="s">
        <v>1167</v>
      </c>
    </row>
    <row r="8" spans="1:19">
      <c r="A8" s="391" t="str">
        <f>'B.1 F 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9">
      <c r="D9" s="857"/>
      <c r="E9" s="76"/>
      <c r="F9" s="855"/>
      <c r="G9" s="855"/>
      <c r="H9" s="75"/>
      <c r="I9" s="855"/>
      <c r="J9" s="76"/>
      <c r="K9" s="855"/>
    </row>
    <row r="10" spans="1:19">
      <c r="A10" s="855" t="s">
        <v>93</v>
      </c>
      <c r="B10" s="855" t="s">
        <v>94</v>
      </c>
      <c r="D10" s="854" t="s">
        <v>453</v>
      </c>
      <c r="E10" s="854" t="s">
        <v>453</v>
      </c>
      <c r="F10" s="854" t="s">
        <v>453</v>
      </c>
      <c r="G10" s="854" t="s">
        <v>453</v>
      </c>
      <c r="H10" s="854" t="s">
        <v>453</v>
      </c>
      <c r="I10" s="854" t="s">
        <v>1221</v>
      </c>
      <c r="J10" s="854" t="s">
        <v>1221</v>
      </c>
      <c r="K10" s="854" t="s">
        <v>1221</v>
      </c>
      <c r="L10" s="854" t="s">
        <v>1221</v>
      </c>
      <c r="M10" s="854" t="s">
        <v>1221</v>
      </c>
      <c r="N10" s="854" t="s">
        <v>1221</v>
      </c>
      <c r="O10" s="854" t="s">
        <v>1221</v>
      </c>
      <c r="P10" s="854" t="s">
        <v>1221</v>
      </c>
      <c r="Q10" s="956" t="s">
        <v>315</v>
      </c>
    </row>
    <row r="11" spans="1:19">
      <c r="A11" s="435" t="s">
        <v>99</v>
      </c>
      <c r="B11" s="435" t="s">
        <v>100</v>
      </c>
      <c r="C11" s="151"/>
      <c r="D11" s="613">
        <f>'WP B.4.1F'!C8</f>
        <v>43526</v>
      </c>
      <c r="E11" s="613">
        <f>'WP B.4.1F'!D8</f>
        <v>43556</v>
      </c>
      <c r="F11" s="613">
        <f>'WP B.4.1F'!E8</f>
        <v>43586</v>
      </c>
      <c r="G11" s="613">
        <f>'WP B.4.1F'!F8</f>
        <v>43617</v>
      </c>
      <c r="H11" s="613">
        <f>'WP B.4.1F'!G8</f>
        <v>43647</v>
      </c>
      <c r="I11" s="613">
        <f>'WP B.4.1F'!H8</f>
        <v>43678</v>
      </c>
      <c r="J11" s="613">
        <f>'WP B.4.1F'!I8</f>
        <v>43709</v>
      </c>
      <c r="K11" s="613">
        <f>'WP B.4.1F'!J8</f>
        <v>43739</v>
      </c>
      <c r="L11" s="613">
        <f>'WP B.4.1F'!K8</f>
        <v>43770</v>
      </c>
      <c r="M11" s="613">
        <f>'WP B.4.1F'!L8</f>
        <v>43800</v>
      </c>
      <c r="N11" s="613">
        <f>'WP B.4.1F'!M8</f>
        <v>43831</v>
      </c>
      <c r="O11" s="613">
        <f>'WP B.4.1F'!N8</f>
        <v>43862</v>
      </c>
      <c r="P11" s="613">
        <f>'WP B.4.1F'!O8</f>
        <v>43891</v>
      </c>
      <c r="Q11" s="521" t="s">
        <v>98</v>
      </c>
    </row>
    <row r="12" spans="1:19" ht="15.75">
      <c r="B12" s="921" t="s">
        <v>213</v>
      </c>
    </row>
    <row r="13" spans="1:19">
      <c r="A13" s="855">
        <v>1</v>
      </c>
      <c r="C13" s="620" t="s">
        <v>673</v>
      </c>
      <c r="D13" s="328">
        <f>'[10]Division 009'!DP130</f>
        <v>8776484.680596035</v>
      </c>
      <c r="E13" s="328">
        <f>'[10]Division 009'!DQ130</f>
        <v>8749796.1801961288</v>
      </c>
      <c r="F13" s="328">
        <f>'[10]Division 009'!DR130</f>
        <v>8725471.5184030719</v>
      </c>
      <c r="G13" s="328">
        <f>'[10]Division 009'!DS130</f>
        <v>8703434.4423585758</v>
      </c>
      <c r="H13" s="328">
        <f>'[10]Division 009'!DT130</f>
        <v>8683761.2049209308</v>
      </c>
      <c r="I13" s="328">
        <f>'[10]Division 009'!DU130</f>
        <v>8666451.8060901351</v>
      </c>
      <c r="J13" s="328">
        <f>'[10]Division 009'!DV130</f>
        <v>8651429.9930079021</v>
      </c>
      <c r="K13" s="328">
        <f>'[10]Division 009'!DW130</f>
        <v>8638772.0185325164</v>
      </c>
      <c r="L13" s="328">
        <f>'[10]Division 009'!DX130</f>
        <v>8628401.6298056953</v>
      </c>
      <c r="M13" s="328">
        <f>'[10]Division 009'!DY130</f>
        <v>8620395.0796857234</v>
      </c>
      <c r="N13" s="328">
        <f>'[10]Division 009'!DZ130</f>
        <v>8614752.3681726009</v>
      </c>
      <c r="O13" s="328">
        <f>'[10]Division 009'!EA130</f>
        <v>8611244.7366914693</v>
      </c>
      <c r="P13" s="328">
        <f>'[10]Division 009'!EB130</f>
        <v>8610100.9438171871</v>
      </c>
      <c r="Q13" s="346">
        <f>(SUM(D13:P13))/13</f>
        <v>8667730.5078675356</v>
      </c>
      <c r="S13" s="1192"/>
    </row>
    <row r="14" spans="1:19" ht="14.25" customHeight="1">
      <c r="A14" s="855">
        <f>A13+1</f>
        <v>2</v>
      </c>
      <c r="B14" s="1071"/>
      <c r="C14" s="88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430"/>
      <c r="S14" s="1193"/>
    </row>
    <row r="15" spans="1:19">
      <c r="A15" s="855">
        <f t="shared" ref="A15:A49" si="0">A14+1</f>
        <v>3</v>
      </c>
      <c r="C15" s="620" t="s">
        <v>674</v>
      </c>
      <c r="D15" s="377">
        <f>'[10]Division 009'!DP132</f>
        <v>-82081168.145582482</v>
      </c>
      <c r="E15" s="377">
        <f>'[10]Division 009'!DQ132</f>
        <v>-82591821.692685917</v>
      </c>
      <c r="F15" s="377">
        <f>'[10]Division 009'!DR132</f>
        <v>-83046060.935916215</v>
      </c>
      <c r="G15" s="377">
        <f>'[10]Division 009'!DS132</f>
        <v>-83454892.263006628</v>
      </c>
      <c r="H15" s="377">
        <f>'[10]Division 009'!DT132</f>
        <v>-83840032.384038717</v>
      </c>
      <c r="I15" s="377">
        <f>'[10]Division 009'!DU132</f>
        <v>-84155364.910569519</v>
      </c>
      <c r="J15" s="377">
        <f>'[10]Division 009'!DV132</f>
        <v>-84409706.665450513</v>
      </c>
      <c r="K15" s="377">
        <f>'[10]Division 009'!DW132</f>
        <v>-84769671.620398819</v>
      </c>
      <c r="L15" s="377">
        <f>'[10]Division 009'!DX132</f>
        <v>-85100020.869619414</v>
      </c>
      <c r="M15" s="377">
        <f>'[10]Division 009'!DY132</f>
        <v>-85357972.435820311</v>
      </c>
      <c r="N15" s="377">
        <f>'[10]Division 009'!DZ132</f>
        <v>-85508014.141214237</v>
      </c>
      <c r="O15" s="377">
        <f>'[10]Division 009'!EA132</f>
        <v>-85577666.201329216</v>
      </c>
      <c r="P15" s="377">
        <f>'[10]Division 009'!EB132</f>
        <v>-85597395.73730801</v>
      </c>
      <c r="Q15" s="430">
        <f t="shared" ref="Q15:Q41" si="1">(SUM(D15:P15))/13</f>
        <v>-84268445.230995387</v>
      </c>
      <c r="S15" s="1193"/>
    </row>
    <row r="16" spans="1:19" ht="14.25" customHeight="1">
      <c r="A16" s="855">
        <f t="shared" si="0"/>
        <v>4</v>
      </c>
      <c r="B16" s="1071"/>
      <c r="C16" s="88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430"/>
      <c r="S16" s="1193"/>
    </row>
    <row r="17" spans="1:19">
      <c r="A17" s="855">
        <f t="shared" si="0"/>
        <v>5</v>
      </c>
      <c r="C17" s="620" t="s">
        <v>675</v>
      </c>
      <c r="D17" s="377">
        <f>'[10]Division 009'!DP134</f>
        <v>-47285</v>
      </c>
      <c r="E17" s="377">
        <f>'[10]Division 009'!DQ134</f>
        <v>-47285</v>
      </c>
      <c r="F17" s="377">
        <f>'[10]Division 009'!DR134</f>
        <v>-47285</v>
      </c>
      <c r="G17" s="377">
        <f>'[10]Division 009'!DS134</f>
        <v>-47285</v>
      </c>
      <c r="H17" s="377">
        <f>'[10]Division 009'!DT134</f>
        <v>-47285</v>
      </c>
      <c r="I17" s="377">
        <f>'[10]Division 009'!DU134</f>
        <v>-47285</v>
      </c>
      <c r="J17" s="377">
        <f>'[10]Division 009'!DV134</f>
        <v>-47285</v>
      </c>
      <c r="K17" s="377">
        <f>'[10]Division 009'!DW134</f>
        <v>-47285</v>
      </c>
      <c r="L17" s="377">
        <f>'[10]Division 009'!DX134</f>
        <v>-47285</v>
      </c>
      <c r="M17" s="377">
        <f>'[10]Division 009'!DY134</f>
        <v>-47285</v>
      </c>
      <c r="N17" s="377">
        <f>'[10]Division 009'!DZ134</f>
        <v>-47285</v>
      </c>
      <c r="O17" s="377">
        <f>'[10]Division 009'!EA134</f>
        <v>-47285</v>
      </c>
      <c r="P17" s="377">
        <f>'[10]Division 009'!EB134</f>
        <v>-47285</v>
      </c>
      <c r="Q17" s="430">
        <f t="shared" si="1"/>
        <v>-47285</v>
      </c>
      <c r="S17" s="1193"/>
    </row>
    <row r="18" spans="1:19" ht="14.25" customHeight="1">
      <c r="A18" s="855">
        <f t="shared" si="0"/>
        <v>6</v>
      </c>
      <c r="B18" s="1071"/>
      <c r="C18" s="88"/>
      <c r="D18" s="377"/>
      <c r="E18" s="377"/>
      <c r="F18" s="377"/>
      <c r="G18" s="377"/>
      <c r="H18" s="377"/>
      <c r="I18" s="381"/>
      <c r="J18" s="381"/>
      <c r="K18" s="381"/>
      <c r="L18" s="377"/>
      <c r="M18" s="430"/>
      <c r="N18" s="430"/>
      <c r="O18" s="430"/>
      <c r="P18" s="430"/>
      <c r="Q18" s="430"/>
      <c r="S18" s="1193"/>
    </row>
    <row r="19" spans="1:19">
      <c r="A19" s="855">
        <f t="shared" si="0"/>
        <v>7</v>
      </c>
      <c r="C19" s="858" t="s">
        <v>31</v>
      </c>
      <c r="D19" s="575">
        <f t="shared" ref="D19:P19" si="2">SUM(D13:D17)</f>
        <v>-73351968.464986444</v>
      </c>
      <c r="E19" s="575">
        <f t="shared" si="2"/>
        <v>-73889310.512489796</v>
      </c>
      <c r="F19" s="575">
        <f t="shared" si="2"/>
        <v>-74367874.417513147</v>
      </c>
      <c r="G19" s="575">
        <f t="shared" si="2"/>
        <v>-74798742.820648044</v>
      </c>
      <c r="H19" s="575">
        <f t="shared" si="2"/>
        <v>-75203556.179117784</v>
      </c>
      <c r="I19" s="575">
        <f t="shared" si="2"/>
        <v>-75536198.104479387</v>
      </c>
      <c r="J19" s="575">
        <f t="shared" si="2"/>
        <v>-75805561.672442615</v>
      </c>
      <c r="K19" s="575">
        <f t="shared" si="2"/>
        <v>-76178184.601866305</v>
      </c>
      <c r="L19" s="575">
        <f t="shared" si="2"/>
        <v>-76518904.239813715</v>
      </c>
      <c r="M19" s="575">
        <f t="shared" si="2"/>
        <v>-76784862.356134593</v>
      </c>
      <c r="N19" s="575">
        <f t="shared" si="2"/>
        <v>-76940546.773041636</v>
      </c>
      <c r="O19" s="575">
        <f t="shared" si="2"/>
        <v>-77013706.464637741</v>
      </c>
      <c r="P19" s="575">
        <f t="shared" si="2"/>
        <v>-77034579.793490827</v>
      </c>
      <c r="Q19" s="346">
        <f t="shared" si="1"/>
        <v>-75647999.723127842</v>
      </c>
      <c r="R19" s="610"/>
      <c r="S19" s="1192"/>
    </row>
    <row r="20" spans="1:19" ht="14.25" customHeight="1">
      <c r="A20" s="855">
        <f t="shared" si="0"/>
        <v>8</v>
      </c>
      <c r="B20" s="1071"/>
      <c r="C20" s="88"/>
      <c r="D20" s="377"/>
      <c r="E20" s="377"/>
      <c r="F20" s="377"/>
      <c r="G20" s="377"/>
      <c r="H20" s="377"/>
      <c r="I20" s="381"/>
      <c r="J20" s="381"/>
      <c r="K20" s="381"/>
      <c r="L20" s="377"/>
      <c r="M20" s="430"/>
      <c r="N20" s="430"/>
      <c r="O20" s="430"/>
      <c r="P20" s="430"/>
      <c r="Q20" s="430"/>
    </row>
    <row r="21" spans="1:19" ht="15.75">
      <c r="A21" s="855">
        <f t="shared" si="0"/>
        <v>9</v>
      </c>
      <c r="B21" s="921" t="s">
        <v>214</v>
      </c>
      <c r="D21" s="381"/>
      <c r="E21" s="381"/>
      <c r="F21" s="381"/>
      <c r="G21" s="381"/>
      <c r="H21" s="381"/>
      <c r="I21" s="381"/>
      <c r="J21" s="381"/>
      <c r="K21" s="381"/>
      <c r="L21" s="381"/>
      <c r="M21" s="430"/>
      <c r="N21" s="430"/>
      <c r="O21" s="430"/>
      <c r="P21" s="430"/>
      <c r="Q21" s="430"/>
    </row>
    <row r="22" spans="1:19">
      <c r="A22" s="855">
        <f t="shared" si="0"/>
        <v>10</v>
      </c>
      <c r="C22" s="620" t="s">
        <v>673</v>
      </c>
      <c r="D22" s="328">
        <f>'[10]Division 002'!DP$134</f>
        <v>437021385</v>
      </c>
      <c r="E22" s="328">
        <f>'[10]Division 002'!DQ$134</f>
        <v>437021385</v>
      </c>
      <c r="F22" s="328">
        <f>'[10]Division 002'!DR$134</f>
        <v>437021385</v>
      </c>
      <c r="G22" s="328">
        <f>'[10]Division 002'!DS$134</f>
        <v>437021385</v>
      </c>
      <c r="H22" s="328">
        <f>'[10]Division 002'!DT$134</f>
        <v>437021385</v>
      </c>
      <c r="I22" s="328">
        <f>'[10]Division 002'!DU$134</f>
        <v>437021385</v>
      </c>
      <c r="J22" s="328">
        <f>'[10]Division 002'!DV$134</f>
        <v>437021385</v>
      </c>
      <c r="K22" s="328">
        <f>'[10]Division 002'!DW$134</f>
        <v>437021385</v>
      </c>
      <c r="L22" s="328">
        <f>'[10]Division 002'!DX$134</f>
        <v>437021385</v>
      </c>
      <c r="M22" s="328">
        <f>'[10]Division 002'!DY$134</f>
        <v>437021385</v>
      </c>
      <c r="N22" s="328">
        <f>'[10]Division 002'!DZ$134</f>
        <v>437021385</v>
      </c>
      <c r="O22" s="328">
        <f>'[10]Division 002'!EA$134</f>
        <v>437021385</v>
      </c>
      <c r="P22" s="328">
        <f>'[10]Division 002'!EB$134</f>
        <v>437021385</v>
      </c>
      <c r="Q22" s="346">
        <f t="shared" si="1"/>
        <v>437021385</v>
      </c>
    </row>
    <row r="23" spans="1:19">
      <c r="A23" s="855">
        <f t="shared" si="0"/>
        <v>11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430"/>
    </row>
    <row r="24" spans="1:19">
      <c r="A24" s="855">
        <f t="shared" si="0"/>
        <v>12</v>
      </c>
      <c r="C24" s="620" t="s">
        <v>674</v>
      </c>
      <c r="D24" s="377">
        <f>'[10]Division 002'!DP$136</f>
        <v>-18570283.641385976</v>
      </c>
      <c r="E24" s="377">
        <f>'[10]Division 002'!DQ$136</f>
        <v>-18438960.283071876</v>
      </c>
      <c r="F24" s="377">
        <f>'[10]Division 002'!DR$136</f>
        <v>-18317585.443959571</v>
      </c>
      <c r="G24" s="377">
        <f>'[10]Division 002'!DS$136</f>
        <v>-18206789.445902105</v>
      </c>
      <c r="H24" s="377">
        <f>'[10]Division 002'!DT$136</f>
        <v>-18107336.761196289</v>
      </c>
      <c r="I24" s="377">
        <f>'[10]Division 002'!DU$136</f>
        <v>-18019453.736199312</v>
      </c>
      <c r="J24" s="377">
        <f>'[10]Division 002'!DV$136</f>
        <v>-17942908.911224738</v>
      </c>
      <c r="K24" s="377">
        <f>'[10]Division 002'!DW$136</f>
        <v>-17900113.167299114</v>
      </c>
      <c r="L24" s="377">
        <f>'[10]Division 002'!DX$136</f>
        <v>-17865489.007787883</v>
      </c>
      <c r="M24" s="377">
        <f>'[10]Division 002'!DY$136</f>
        <v>-17838973.418293111</v>
      </c>
      <c r="N24" s="377">
        <f>'[10]Division 002'!DZ$136</f>
        <v>-17820497.829261757</v>
      </c>
      <c r="O24" s="377">
        <f>'[10]Division 002'!EA$136</f>
        <v>-17809130.753559101</v>
      </c>
      <c r="P24" s="377">
        <f>'[10]Division 002'!EB$136</f>
        <v>-17805459.917966794</v>
      </c>
      <c r="Q24" s="430">
        <f t="shared" si="1"/>
        <v>-18049460.178239048</v>
      </c>
    </row>
    <row r="25" spans="1:19" ht="14.25" customHeight="1">
      <c r="A25" s="855">
        <f t="shared" si="0"/>
        <v>13</v>
      </c>
      <c r="B25" s="1071"/>
      <c r="C25" s="88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430"/>
    </row>
    <row r="26" spans="1:19">
      <c r="A26" s="855">
        <f t="shared" si="0"/>
        <v>14</v>
      </c>
      <c r="C26" s="620" t="s">
        <v>675</v>
      </c>
      <c r="D26" s="377">
        <f>'[10]Division 002'!DP$138</f>
        <v>24564903.601925977</v>
      </c>
      <c r="E26" s="377">
        <f>'[10]Division 002'!DQ$138</f>
        <v>24564903.601925977</v>
      </c>
      <c r="F26" s="377">
        <f>'[10]Division 002'!DR$138</f>
        <v>24564903.601925977</v>
      </c>
      <c r="G26" s="377">
        <f>'[10]Division 002'!DS$138</f>
        <v>24564903.601925977</v>
      </c>
      <c r="H26" s="377">
        <f>'[10]Division 002'!DT$138</f>
        <v>24564903.601925977</v>
      </c>
      <c r="I26" s="377">
        <f>'[10]Division 002'!DU$138</f>
        <v>24564903.601925977</v>
      </c>
      <c r="J26" s="377">
        <f>'[10]Division 002'!DV$138</f>
        <v>24564903.601925977</v>
      </c>
      <c r="K26" s="377">
        <f>'[10]Division 002'!DW$138</f>
        <v>24564903.601925977</v>
      </c>
      <c r="L26" s="377">
        <f>'[10]Division 002'!DX$138</f>
        <v>24564903.601925977</v>
      </c>
      <c r="M26" s="377">
        <f>'[10]Division 002'!DY$138</f>
        <v>24564903.601925977</v>
      </c>
      <c r="N26" s="377">
        <f>'[10]Division 002'!DZ$138</f>
        <v>24564903.601925977</v>
      </c>
      <c r="O26" s="377">
        <f>'[10]Division 002'!EA$138</f>
        <v>24564903.601925977</v>
      </c>
      <c r="P26" s="377">
        <f>'[10]Division 002'!EB$138</f>
        <v>24564903.601925977</v>
      </c>
      <c r="Q26" s="430">
        <f t="shared" si="1"/>
        <v>24564903.601925973</v>
      </c>
    </row>
    <row r="27" spans="1:19" ht="14.25" customHeight="1">
      <c r="A27" s="855">
        <f t="shared" si="0"/>
        <v>15</v>
      </c>
      <c r="B27" s="1071"/>
      <c r="C27" s="88"/>
      <c r="D27" s="377"/>
      <c r="E27" s="377"/>
      <c r="F27" s="377"/>
      <c r="G27" s="377"/>
      <c r="H27" s="377"/>
      <c r="I27" s="381"/>
      <c r="J27" s="381"/>
      <c r="K27" s="381"/>
      <c r="L27" s="377"/>
      <c r="M27" s="430"/>
      <c r="N27" s="430"/>
      <c r="O27" s="430"/>
      <c r="P27" s="430"/>
      <c r="Q27" s="430"/>
    </row>
    <row r="28" spans="1:19">
      <c r="A28" s="855">
        <f t="shared" si="0"/>
        <v>16</v>
      </c>
      <c r="C28" s="858" t="s">
        <v>68</v>
      </c>
      <c r="D28" s="575">
        <f t="shared" ref="D28:P28" si="3">SUM(D22:D26)</f>
        <v>443016004.96054</v>
      </c>
      <c r="E28" s="575">
        <f t="shared" si="3"/>
        <v>443147328.31885409</v>
      </c>
      <c r="F28" s="575">
        <f t="shared" si="3"/>
        <v>443268703.15796638</v>
      </c>
      <c r="G28" s="575">
        <f t="shared" si="3"/>
        <v>443379499.15602386</v>
      </c>
      <c r="H28" s="575">
        <f t="shared" si="3"/>
        <v>443478951.84072965</v>
      </c>
      <c r="I28" s="575">
        <f t="shared" si="3"/>
        <v>443566834.86572665</v>
      </c>
      <c r="J28" s="575">
        <f t="shared" si="3"/>
        <v>443643379.69070125</v>
      </c>
      <c r="K28" s="575">
        <f t="shared" si="3"/>
        <v>443686175.43462688</v>
      </c>
      <c r="L28" s="575">
        <f t="shared" si="3"/>
        <v>443720799.59413809</v>
      </c>
      <c r="M28" s="575">
        <f t="shared" si="3"/>
        <v>443747315.18363285</v>
      </c>
      <c r="N28" s="575">
        <f t="shared" si="3"/>
        <v>443765790.77266419</v>
      </c>
      <c r="O28" s="575">
        <f t="shared" si="3"/>
        <v>443777157.84836686</v>
      </c>
      <c r="P28" s="575">
        <f t="shared" si="3"/>
        <v>443780828.68395919</v>
      </c>
      <c r="Q28" s="346">
        <f t="shared" si="1"/>
        <v>443536828.42368692</v>
      </c>
      <c r="R28" s="610"/>
    </row>
    <row r="29" spans="1:19" ht="15.75">
      <c r="A29" s="855">
        <f t="shared" si="0"/>
        <v>17</v>
      </c>
      <c r="B29" s="921" t="s">
        <v>1116</v>
      </c>
      <c r="C29" s="858"/>
      <c r="D29" s="382"/>
      <c r="E29" s="382"/>
      <c r="F29" s="382"/>
      <c r="G29" s="383"/>
      <c r="H29" s="383"/>
      <c r="I29" s="383"/>
      <c r="J29" s="383"/>
      <c r="K29" s="383"/>
      <c r="L29" s="377"/>
      <c r="M29" s="430"/>
      <c r="N29" s="430"/>
      <c r="O29" s="430"/>
      <c r="P29" s="430"/>
      <c r="Q29" s="430"/>
    </row>
    <row r="30" spans="1:19">
      <c r="A30" s="855">
        <f t="shared" si="0"/>
        <v>18</v>
      </c>
      <c r="C30" s="620" t="s">
        <v>673</v>
      </c>
      <c r="D30" s="328">
        <f>'[10]Division 012'!DP$130</f>
        <v>68526</v>
      </c>
      <c r="E30" s="328">
        <f>'[10]Division 012'!DQ$130</f>
        <v>68526</v>
      </c>
      <c r="F30" s="328">
        <f>'[10]Division 012'!DR$130</f>
        <v>68526</v>
      </c>
      <c r="G30" s="328">
        <f>'[10]Division 012'!DS$130</f>
        <v>68526</v>
      </c>
      <c r="H30" s="328">
        <f>'[10]Division 012'!DT$130</f>
        <v>68526</v>
      </c>
      <c r="I30" s="328">
        <f>'[10]Division 012'!DU$130</f>
        <v>68526</v>
      </c>
      <c r="J30" s="328">
        <f>'[10]Division 012'!DV$130</f>
        <v>68526</v>
      </c>
      <c r="K30" s="328">
        <f>'[10]Division 012'!DW$130</f>
        <v>68526</v>
      </c>
      <c r="L30" s="328">
        <f>'[10]Division 012'!DX$130</f>
        <v>68526</v>
      </c>
      <c r="M30" s="328">
        <f>'[10]Division 012'!DY$130</f>
        <v>68526</v>
      </c>
      <c r="N30" s="328">
        <f>'[10]Division 012'!DZ$130</f>
        <v>68526</v>
      </c>
      <c r="O30" s="328">
        <f>'[10]Division 012'!EA$130</f>
        <v>68526</v>
      </c>
      <c r="P30" s="328">
        <f>'[10]Division 012'!EB$130</f>
        <v>68526</v>
      </c>
      <c r="Q30" s="346">
        <f t="shared" si="1"/>
        <v>68526</v>
      </c>
    </row>
    <row r="31" spans="1:19">
      <c r="A31" s="855">
        <f t="shared" si="0"/>
        <v>19</v>
      </c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430"/>
    </row>
    <row r="32" spans="1:19">
      <c r="A32" s="855">
        <f t="shared" si="0"/>
        <v>20</v>
      </c>
      <c r="C32" s="620" t="s">
        <v>674</v>
      </c>
      <c r="D32" s="377">
        <f>'[10]Division 012'!DP$132</f>
        <v>-15634976.580374932</v>
      </c>
      <c r="E32" s="377">
        <f>'[10]Division 012'!DQ$132</f>
        <v>-15505027.48124956</v>
      </c>
      <c r="F32" s="377">
        <f>'[10]Division 012'!DR$132</f>
        <v>-15386303.171237642</v>
      </c>
      <c r="G32" s="377">
        <f>'[10]Division 012'!DS$132</f>
        <v>-15278584.829517515</v>
      </c>
      <c r="H32" s="377">
        <f>'[10]Division 012'!DT$132</f>
        <v>-15182292.867762554</v>
      </c>
      <c r="I32" s="377">
        <f>'[10]Division 012'!DU$132</f>
        <v>-15097501.176274849</v>
      </c>
      <c r="J32" s="377">
        <f>'[10]Division 012'!DV$132</f>
        <v>-15023889.236888055</v>
      </c>
      <c r="K32" s="377">
        <f>'[10]Division 012'!DW$132</f>
        <v>-14966937.521302374</v>
      </c>
      <c r="L32" s="377">
        <f>'[10]Division 012'!DX$132</f>
        <v>-14920220.17258252</v>
      </c>
      <c r="M32" s="377">
        <f>'[10]Division 012'!DY$132</f>
        <v>-14884093.869292762</v>
      </c>
      <c r="N32" s="377">
        <f>'[10]Division 012'!DZ$132</f>
        <v>-14858517.889625151</v>
      </c>
      <c r="O32" s="377">
        <f>'[10]Division 012'!EA$132</f>
        <v>-14842568.292984169</v>
      </c>
      <c r="P32" s="377">
        <f>'[10]Division 012'!EB$132</f>
        <v>-14837352.543710032</v>
      </c>
      <c r="Q32" s="430">
        <f t="shared" si="1"/>
        <v>-15109097.356369393</v>
      </c>
    </row>
    <row r="33" spans="1:18">
      <c r="A33" s="855">
        <f t="shared" si="0"/>
        <v>21</v>
      </c>
      <c r="B33" s="1071"/>
      <c r="C33" s="88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430"/>
    </row>
    <row r="34" spans="1:18">
      <c r="A34" s="855">
        <f t="shared" si="0"/>
        <v>22</v>
      </c>
      <c r="C34" s="620" t="s">
        <v>675</v>
      </c>
      <c r="D34" s="377">
        <f>'[10]Division 012'!DP$134</f>
        <v>0</v>
      </c>
      <c r="E34" s="377">
        <f>'[10]Division 012'!DQ$134</f>
        <v>0</v>
      </c>
      <c r="F34" s="377">
        <f>'[10]Division 012'!DR$134</f>
        <v>0</v>
      </c>
      <c r="G34" s="377">
        <f>'[10]Division 012'!DS$134</f>
        <v>0</v>
      </c>
      <c r="H34" s="377">
        <f>'[10]Division 012'!DT$134</f>
        <v>0</v>
      </c>
      <c r="I34" s="377">
        <f>'[10]Division 012'!DU$134</f>
        <v>0</v>
      </c>
      <c r="J34" s="377">
        <f>'[10]Division 012'!DV$134</f>
        <v>0</v>
      </c>
      <c r="K34" s="377">
        <f>'[10]Division 012'!DW$134</f>
        <v>0</v>
      </c>
      <c r="L34" s="377">
        <f>'[10]Division 012'!DX$134</f>
        <v>0</v>
      </c>
      <c r="M34" s="377">
        <f>'[10]Division 012'!DY$134</f>
        <v>0</v>
      </c>
      <c r="N34" s="377">
        <f>'[10]Division 012'!DZ$134</f>
        <v>0</v>
      </c>
      <c r="O34" s="377">
        <f>'[10]Division 012'!EA$134</f>
        <v>0</v>
      </c>
      <c r="P34" s="377">
        <f>'[10]Division 012'!EB$134</f>
        <v>0</v>
      </c>
      <c r="Q34" s="430">
        <f t="shared" si="1"/>
        <v>0</v>
      </c>
    </row>
    <row r="35" spans="1:18">
      <c r="A35" s="855">
        <f t="shared" si="0"/>
        <v>23</v>
      </c>
      <c r="B35" s="1071"/>
      <c r="C35" s="88"/>
      <c r="D35" s="377"/>
      <c r="E35" s="377"/>
      <c r="F35" s="377"/>
      <c r="G35" s="377"/>
      <c r="H35" s="377"/>
      <c r="I35" s="381"/>
      <c r="J35" s="381"/>
      <c r="K35" s="381"/>
      <c r="L35" s="377"/>
      <c r="M35" s="430"/>
      <c r="N35" s="430"/>
      <c r="O35" s="430"/>
      <c r="P35" s="430"/>
      <c r="Q35" s="430"/>
    </row>
    <row r="36" spans="1:18">
      <c r="A36" s="855">
        <f t="shared" si="0"/>
        <v>24</v>
      </c>
      <c r="C36" s="858" t="s">
        <v>718</v>
      </c>
      <c r="D36" s="575">
        <f t="shared" ref="D36:P36" si="4">SUM(D30:D34)</f>
        <v>-15566450.580374932</v>
      </c>
      <c r="E36" s="575">
        <f t="shared" si="4"/>
        <v>-15436501.48124956</v>
      </c>
      <c r="F36" s="575">
        <f t="shared" si="4"/>
        <v>-15317777.171237642</v>
      </c>
      <c r="G36" s="575">
        <f t="shared" si="4"/>
        <v>-15210058.829517515</v>
      </c>
      <c r="H36" s="575">
        <f t="shared" si="4"/>
        <v>-15113766.867762554</v>
      </c>
      <c r="I36" s="575">
        <f t="shared" si="4"/>
        <v>-15028975.176274849</v>
      </c>
      <c r="J36" s="575">
        <f t="shared" si="4"/>
        <v>-14955363.236888055</v>
      </c>
      <c r="K36" s="575">
        <f t="shared" si="4"/>
        <v>-14898411.521302374</v>
      </c>
      <c r="L36" s="575">
        <f t="shared" si="4"/>
        <v>-14851694.17258252</v>
      </c>
      <c r="M36" s="575">
        <f t="shared" si="4"/>
        <v>-14815567.869292762</v>
      </c>
      <c r="N36" s="575">
        <f t="shared" si="4"/>
        <v>-14789991.889625151</v>
      </c>
      <c r="O36" s="575">
        <f t="shared" si="4"/>
        <v>-14774042.292984169</v>
      </c>
      <c r="P36" s="575">
        <f t="shared" si="4"/>
        <v>-14768826.543710032</v>
      </c>
      <c r="Q36" s="346">
        <f t="shared" si="1"/>
        <v>-15040571.356369393</v>
      </c>
      <c r="R36" s="610"/>
    </row>
    <row r="37" spans="1:18">
      <c r="A37" s="855">
        <f t="shared" si="0"/>
        <v>25</v>
      </c>
      <c r="C37" s="858"/>
      <c r="D37" s="377"/>
      <c r="E37" s="377"/>
      <c r="F37" s="377"/>
      <c r="G37" s="381"/>
      <c r="H37" s="381"/>
      <c r="I37" s="381"/>
      <c r="J37" s="381"/>
      <c r="K37" s="381"/>
      <c r="L37" s="377"/>
      <c r="M37" s="430"/>
      <c r="N37" s="430"/>
      <c r="O37" s="430"/>
      <c r="P37" s="430"/>
      <c r="Q37" s="430"/>
    </row>
    <row r="38" spans="1:18" ht="15.75">
      <c r="A38" s="855">
        <f t="shared" si="0"/>
        <v>26</v>
      </c>
      <c r="B38" s="921" t="s">
        <v>676</v>
      </c>
      <c r="D38" s="381"/>
      <c r="E38" s="381"/>
      <c r="F38" s="381"/>
      <c r="G38" s="381"/>
      <c r="H38" s="381"/>
      <c r="I38" s="381"/>
      <c r="J38" s="381"/>
      <c r="K38" s="381"/>
      <c r="L38" s="381"/>
      <c r="M38" s="430"/>
      <c r="N38" s="430"/>
      <c r="O38" s="430"/>
      <c r="P38" s="430"/>
      <c r="Q38" s="430"/>
    </row>
    <row r="39" spans="1:18">
      <c r="A39" s="855">
        <f t="shared" si="0"/>
        <v>27</v>
      </c>
      <c r="C39" s="620" t="s">
        <v>673</v>
      </c>
      <c r="D39" s="328">
        <f>'[10]Division 091'!DP$130</f>
        <v>1746795</v>
      </c>
      <c r="E39" s="328">
        <f>'[10]Division 091'!DQ$130</f>
        <v>1746795</v>
      </c>
      <c r="F39" s="328">
        <f>'[10]Division 091'!DR$130</f>
        <v>1746795</v>
      </c>
      <c r="G39" s="328">
        <f>'[10]Division 091'!DS$130</f>
        <v>1746795</v>
      </c>
      <c r="H39" s="328">
        <f>'[10]Division 091'!DT$130</f>
        <v>1746795</v>
      </c>
      <c r="I39" s="328">
        <f>'[10]Division 091'!DU$130</f>
        <v>1746795</v>
      </c>
      <c r="J39" s="328">
        <f>'[10]Division 091'!DV$130</f>
        <v>1746795</v>
      </c>
      <c r="K39" s="328">
        <f>'[10]Division 091'!DW$130</f>
        <v>1746795</v>
      </c>
      <c r="L39" s="328">
        <f>'[10]Division 091'!DX$130</f>
        <v>1746795</v>
      </c>
      <c r="M39" s="328">
        <f>'[10]Division 091'!DY$130</f>
        <v>1746795</v>
      </c>
      <c r="N39" s="328">
        <f>'[10]Division 091'!DZ$130</f>
        <v>1746795</v>
      </c>
      <c r="O39" s="328">
        <f>'[10]Division 091'!EA$130</f>
        <v>1746795</v>
      </c>
      <c r="P39" s="328">
        <f>'[10]Division 091'!EB$130</f>
        <v>1746795</v>
      </c>
      <c r="Q39" s="346">
        <f t="shared" si="1"/>
        <v>1746795</v>
      </c>
    </row>
    <row r="40" spans="1:18">
      <c r="A40" s="855">
        <f t="shared" si="0"/>
        <v>28</v>
      </c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430"/>
    </row>
    <row r="41" spans="1:18">
      <c r="A41" s="855">
        <f t="shared" si="0"/>
        <v>29</v>
      </c>
      <c r="C41" s="620" t="s">
        <v>674</v>
      </c>
      <c r="D41" s="377">
        <f>'[10]Division 091'!DP$132</f>
        <v>-727874.28353272099</v>
      </c>
      <c r="E41" s="377">
        <f>'[10]Division 091'!DQ$132</f>
        <v>-726607.1018137834</v>
      </c>
      <c r="F41" s="377">
        <f>'[10]Division 091'!DR$132</f>
        <v>-725452.15618995158</v>
      </c>
      <c r="G41" s="377">
        <f>'[10]Division 091'!DS$132</f>
        <v>-724405.82614202879</v>
      </c>
      <c r="H41" s="377">
        <f>'[10]Division 091'!DT$132</f>
        <v>-723471.73218921176</v>
      </c>
      <c r="I41" s="377">
        <f>'[10]Division 091'!DU$132</f>
        <v>-722649.87433150085</v>
      </c>
      <c r="J41" s="377">
        <f>'[10]Division 091'!DV$132</f>
        <v>-721936.63204969873</v>
      </c>
      <c r="K41" s="377">
        <f>'[10]Division 091'!DW$132</f>
        <v>-727577.32958444604</v>
      </c>
      <c r="L41" s="377">
        <f>'[10]Division 091'!DX$132</f>
        <v>-727154.28584899183</v>
      </c>
      <c r="M41" s="377">
        <f>'[10]Division 091'!DY$132</f>
        <v>-726827.67120029544</v>
      </c>
      <c r="N41" s="377">
        <f>'[10]Division 091'!DZ$132</f>
        <v>-726597.48563835723</v>
      </c>
      <c r="O41" s="377">
        <f>'[10]Division 091'!EA$132</f>
        <v>-724748.22413475881</v>
      </c>
      <c r="P41" s="377">
        <f>'[10]Division 091'!EB$132</f>
        <v>-724701.56489923084</v>
      </c>
      <c r="Q41" s="430">
        <f t="shared" si="1"/>
        <v>-725384.93596576736</v>
      </c>
    </row>
    <row r="42" spans="1:18">
      <c r="A42" s="855">
        <f t="shared" si="0"/>
        <v>30</v>
      </c>
      <c r="B42" s="855"/>
      <c r="C42" s="88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430"/>
    </row>
    <row r="43" spans="1:18">
      <c r="A43" s="855">
        <f t="shared" si="0"/>
        <v>31</v>
      </c>
      <c r="C43" s="620" t="s">
        <v>675</v>
      </c>
      <c r="D43" s="377">
        <f>'[10]Division 091'!DP$134</f>
        <v>-886040</v>
      </c>
      <c r="E43" s="377">
        <f>'[10]Division 091'!DQ$134</f>
        <v>-886040</v>
      </c>
      <c r="F43" s="377">
        <f>'[10]Division 091'!DR$134</f>
        <v>-886040</v>
      </c>
      <c r="G43" s="377">
        <f>'[10]Division 091'!DS$134</f>
        <v>-886040</v>
      </c>
      <c r="H43" s="377">
        <f>'[10]Division 091'!DT$134</f>
        <v>-886040</v>
      </c>
      <c r="I43" s="377">
        <f>'[10]Division 091'!DU$134</f>
        <v>-886040</v>
      </c>
      <c r="J43" s="377">
        <f>'[10]Division 091'!DV$134</f>
        <v>-886040</v>
      </c>
      <c r="K43" s="377">
        <f>'[10]Division 091'!DW$134</f>
        <v>-886040</v>
      </c>
      <c r="L43" s="377">
        <f>'[10]Division 091'!DX$134</f>
        <v>-886040</v>
      </c>
      <c r="M43" s="377">
        <f>'[10]Division 091'!DY$134</f>
        <v>-886040</v>
      </c>
      <c r="N43" s="377">
        <f>'[10]Division 091'!DZ$134</f>
        <v>-886040</v>
      </c>
      <c r="O43" s="377">
        <f>'[10]Division 091'!EA$134</f>
        <v>-886040</v>
      </c>
      <c r="P43" s="377">
        <f>'[10]Division 091'!EB$134</f>
        <v>-886040</v>
      </c>
      <c r="Q43" s="430">
        <f>(SUM(D43:P43))/13</f>
        <v>-886040</v>
      </c>
    </row>
    <row r="44" spans="1:18">
      <c r="A44" s="855">
        <f t="shared" si="0"/>
        <v>32</v>
      </c>
      <c r="D44" s="377"/>
      <c r="E44" s="377"/>
      <c r="F44" s="377"/>
      <c r="G44" s="377"/>
      <c r="H44" s="377"/>
      <c r="I44" s="377"/>
      <c r="J44" s="377"/>
      <c r="K44" s="377"/>
      <c r="L44" s="377"/>
      <c r="M44" s="430"/>
      <c r="N44" s="430"/>
      <c r="O44" s="430"/>
      <c r="P44" s="430"/>
      <c r="Q44" s="430"/>
    </row>
    <row r="45" spans="1:18">
      <c r="A45" s="855">
        <f t="shared" si="0"/>
        <v>33</v>
      </c>
      <c r="C45" s="620" t="s">
        <v>439</v>
      </c>
      <c r="D45" s="377">
        <f>'WP B.5 B'!P45</f>
        <v>0</v>
      </c>
      <c r="E45" s="377">
        <f>D45</f>
        <v>0</v>
      </c>
      <c r="F45" s="377">
        <f t="shared" ref="F45:J45" si="5">E45</f>
        <v>0</v>
      </c>
      <c r="G45" s="377">
        <f t="shared" si="5"/>
        <v>0</v>
      </c>
      <c r="H45" s="377">
        <f t="shared" si="5"/>
        <v>0</v>
      </c>
      <c r="I45" s="377">
        <f t="shared" si="5"/>
        <v>0</v>
      </c>
      <c r="J45" s="377">
        <f t="shared" si="5"/>
        <v>0</v>
      </c>
      <c r="K45" s="377">
        <f t="shared" ref="K45:P45" si="6">J45</f>
        <v>0</v>
      </c>
      <c r="L45" s="377">
        <f t="shared" si="6"/>
        <v>0</v>
      </c>
      <c r="M45" s="377">
        <f t="shared" si="6"/>
        <v>0</v>
      </c>
      <c r="N45" s="377">
        <f t="shared" si="6"/>
        <v>0</v>
      </c>
      <c r="O45" s="377">
        <f t="shared" si="6"/>
        <v>0</v>
      </c>
      <c r="P45" s="377">
        <f t="shared" si="6"/>
        <v>0</v>
      </c>
      <c r="Q45" s="430">
        <f>(SUM(D45:P45))/13</f>
        <v>0</v>
      </c>
    </row>
    <row r="46" spans="1:18">
      <c r="A46" s="855">
        <f t="shared" si="0"/>
        <v>34</v>
      </c>
      <c r="B46" s="1071"/>
      <c r="C46" s="88"/>
      <c r="D46" s="377"/>
      <c r="E46" s="377"/>
      <c r="F46" s="377"/>
      <c r="G46" s="377"/>
      <c r="H46" s="377"/>
      <c r="I46" s="381"/>
      <c r="J46" s="381"/>
      <c r="K46" s="381"/>
      <c r="L46" s="377"/>
      <c r="M46" s="430"/>
      <c r="N46" s="430"/>
      <c r="O46" s="430"/>
      <c r="P46" s="430"/>
      <c r="Q46" s="430"/>
    </row>
    <row r="47" spans="1:18">
      <c r="A47" s="855">
        <f t="shared" si="0"/>
        <v>35</v>
      </c>
      <c r="C47" s="858" t="s">
        <v>438</v>
      </c>
      <c r="D47" s="575">
        <f>SUM(D39:D45)</f>
        <v>132880.71646727901</v>
      </c>
      <c r="E47" s="575">
        <f t="shared" ref="E47:P47" si="7">SUM(E39:E45)</f>
        <v>134147.8981862166</v>
      </c>
      <c r="F47" s="575">
        <f t="shared" si="7"/>
        <v>135302.84381004842</v>
      </c>
      <c r="G47" s="575">
        <f t="shared" si="7"/>
        <v>136349.17385797121</v>
      </c>
      <c r="H47" s="575">
        <f t="shared" si="7"/>
        <v>137283.26781078824</v>
      </c>
      <c r="I47" s="575">
        <f t="shared" si="7"/>
        <v>138105.12566849915</v>
      </c>
      <c r="J47" s="575">
        <f t="shared" si="7"/>
        <v>138818.36795030127</v>
      </c>
      <c r="K47" s="575">
        <f t="shared" si="7"/>
        <v>133177.67041555396</v>
      </c>
      <c r="L47" s="575">
        <f t="shared" si="7"/>
        <v>133600.71415100817</v>
      </c>
      <c r="M47" s="575">
        <f t="shared" si="7"/>
        <v>133927.32879970456</v>
      </c>
      <c r="N47" s="575">
        <f t="shared" si="7"/>
        <v>134157.51436164277</v>
      </c>
      <c r="O47" s="575">
        <f t="shared" si="7"/>
        <v>136006.77586524119</v>
      </c>
      <c r="P47" s="575">
        <f t="shared" si="7"/>
        <v>136053.43510076916</v>
      </c>
      <c r="Q47" s="346">
        <f>(SUM(D47:P47))/13</f>
        <v>135370.06403423261</v>
      </c>
      <c r="R47" s="610"/>
    </row>
    <row r="48" spans="1:18">
      <c r="A48" s="855">
        <f t="shared" si="0"/>
        <v>36</v>
      </c>
      <c r="D48" s="381"/>
      <c r="E48" s="381"/>
      <c r="F48" s="381"/>
      <c r="G48" s="381"/>
      <c r="H48" s="381"/>
      <c r="I48" s="381"/>
      <c r="J48" s="381"/>
      <c r="K48" s="381"/>
      <c r="L48" s="381"/>
      <c r="M48" s="430"/>
      <c r="N48" s="430"/>
      <c r="O48" s="430"/>
      <c r="P48" s="430"/>
      <c r="Q48" s="430"/>
    </row>
    <row r="49" spans="1:17" ht="15.75" thickBot="1">
      <c r="A49" s="855">
        <f t="shared" si="0"/>
        <v>37</v>
      </c>
      <c r="B49" s="74"/>
      <c r="C49" s="81" t="s">
        <v>96</v>
      </c>
      <c r="D49" s="329">
        <f>D47+D36+D28+D19</f>
        <v>354230466.63164592</v>
      </c>
      <c r="E49" s="329">
        <f t="shared" ref="E49:P49" si="8">E47+E36+E28+E19</f>
        <v>353955664.22330093</v>
      </c>
      <c r="F49" s="329">
        <f t="shared" si="8"/>
        <v>353718354.41302568</v>
      </c>
      <c r="G49" s="329">
        <f t="shared" si="8"/>
        <v>353507046.67971623</v>
      </c>
      <c r="H49" s="329">
        <f t="shared" si="8"/>
        <v>353298912.06166011</v>
      </c>
      <c r="I49" s="329">
        <f t="shared" si="8"/>
        <v>353139766.71064091</v>
      </c>
      <c r="J49" s="329">
        <f t="shared" si="8"/>
        <v>353021273.1493209</v>
      </c>
      <c r="K49" s="329">
        <f t="shared" si="8"/>
        <v>352742756.98187375</v>
      </c>
      <c r="L49" s="329">
        <f t="shared" si="8"/>
        <v>352483801.89589286</v>
      </c>
      <c r="M49" s="329">
        <f t="shared" si="8"/>
        <v>352280812.28700519</v>
      </c>
      <c r="N49" s="329">
        <f t="shared" si="8"/>
        <v>352169409.62435901</v>
      </c>
      <c r="O49" s="329">
        <f t="shared" si="8"/>
        <v>352125415.86661017</v>
      </c>
      <c r="P49" s="329">
        <f t="shared" si="8"/>
        <v>352113475.7818591</v>
      </c>
      <c r="Q49" s="346">
        <f>(SUM(D49:P49))/13</f>
        <v>352983627.40822387</v>
      </c>
    </row>
    <row r="50" spans="1:17" ht="15.75" thickTop="1">
      <c r="A50" s="74"/>
      <c r="B50" s="74"/>
    </row>
    <row r="51" spans="1:17">
      <c r="A51" s="74"/>
      <c r="B51" s="74"/>
      <c r="C51" s="74" t="s">
        <v>684</v>
      </c>
    </row>
    <row r="52" spans="1:17">
      <c r="A52" s="74"/>
      <c r="B52" s="74"/>
      <c r="C52" s="74" t="s">
        <v>1702</v>
      </c>
      <c r="D52" s="671"/>
    </row>
    <row r="53" spans="1:17">
      <c r="A53" s="74"/>
      <c r="B53" s="74"/>
    </row>
    <row r="58" spans="1:17">
      <c r="D58" s="825"/>
    </row>
    <row r="59" spans="1:17">
      <c r="C59" s="103"/>
      <c r="D59" s="825"/>
    </row>
    <row r="60" spans="1:17">
      <c r="C60" s="103"/>
      <c r="D60" s="1072"/>
      <c r="H60" s="802"/>
    </row>
    <row r="61" spans="1:17">
      <c r="D61" s="825"/>
    </row>
    <row r="62" spans="1:17">
      <c r="C62" s="103"/>
      <c r="E62" s="103"/>
    </row>
    <row r="65" spans="3:4">
      <c r="C65" s="80"/>
    </row>
    <row r="66" spans="3:4">
      <c r="C66" s="80"/>
    </row>
    <row r="67" spans="3:4">
      <c r="C67" s="80"/>
    </row>
    <row r="68" spans="3:4">
      <c r="C68" s="80"/>
      <c r="D68" s="1073"/>
    </row>
    <row r="69" spans="3:4">
      <c r="C69" s="80"/>
    </row>
    <row r="70" spans="3:4">
      <c r="C70" s="80"/>
      <c r="D70" s="1072"/>
    </row>
    <row r="71" spans="3:4">
      <c r="C71" s="80"/>
    </row>
    <row r="72" spans="3:4">
      <c r="C72" s="80"/>
      <c r="D72" s="1073"/>
    </row>
    <row r="73" spans="3:4">
      <c r="C73" s="80"/>
    </row>
    <row r="74" spans="3:4">
      <c r="C74" s="80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38" right="0.34" top="0.84" bottom="1" header="0.5" footer="0.5"/>
  <pageSetup scale="41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90" zoomScaleNormal="100" zoomScaleSheetLayoutView="90" workbookViewId="0">
      <selection activeCell="D22" sqref="D22"/>
    </sheetView>
  </sheetViews>
  <sheetFormatPr defaultRowHeight="15"/>
  <cols>
    <col min="1" max="1" width="36.88671875" customWidth="1"/>
    <col min="2" max="2" width="28.5546875" customWidth="1"/>
    <col min="3" max="3" width="16.5546875" bestFit="1" customWidth="1"/>
    <col min="4" max="4" width="25.21875" bestFit="1" customWidth="1"/>
    <col min="5" max="5" width="19.88671875" bestFit="1" customWidth="1"/>
  </cols>
  <sheetData>
    <row r="1" spans="1:5">
      <c r="A1" s="1195" t="str">
        <f>'Table of Contents'!A1:C1</f>
        <v>Atmos Energy Corporation, Kentucky/Mid-States Division</v>
      </c>
      <c r="B1" s="1195"/>
    </row>
    <row r="2" spans="1:5">
      <c r="A2" s="1196" t="str">
        <f>'Table of Contents'!A2:C2</f>
        <v>Kentucky Jurisdiction Case No. 2018-00281</v>
      </c>
      <c r="B2" s="1196"/>
    </row>
    <row r="3" spans="1:5">
      <c r="A3" s="1197" t="str">
        <f>'Table of Contents'!A3:C3</f>
        <v>Base Period: Twelve Months Ended December 31, 2018</v>
      </c>
      <c r="B3" s="1197"/>
    </row>
    <row r="4" spans="1:5">
      <c r="A4" s="1197" t="str">
        <f>'Table of Contents'!A4:C4</f>
        <v>Forecasted Test Period: Twelve Months Ended March 31, 2020</v>
      </c>
      <c r="B4" s="1197"/>
    </row>
    <row r="5" spans="1:5">
      <c r="A5" s="1197" t="s">
        <v>1610</v>
      </c>
      <c r="B5" s="1197"/>
    </row>
    <row r="9" spans="1:5" ht="15.75">
      <c r="B9" s="1146"/>
      <c r="C9" s="793"/>
      <c r="D9" s="1146" t="s">
        <v>1664</v>
      </c>
      <c r="E9" s="1146" t="s">
        <v>1444</v>
      </c>
    </row>
    <row r="10" spans="1:5" ht="15.75">
      <c r="A10" s="102" t="s">
        <v>1611</v>
      </c>
      <c r="B10" s="1147"/>
      <c r="C10" s="1152">
        <v>43555</v>
      </c>
      <c r="D10" s="793">
        <f>'[3]KY ADIT-Feb 2019 ALG'!$R$218</f>
        <v>-33781755.559027769</v>
      </c>
      <c r="E10" s="793"/>
    </row>
    <row r="11" spans="1:5" ht="15.75">
      <c r="A11" s="102" t="s">
        <v>1612</v>
      </c>
      <c r="B11" s="1147"/>
      <c r="C11" s="1152">
        <v>43585</v>
      </c>
      <c r="D11" s="793">
        <f>'[3]KY ADIT-Feb 2019 ALG'!$S$218</f>
        <v>-33664787.945406757</v>
      </c>
      <c r="E11" s="793">
        <f>'[3]KY ADIT-August 2018'!$S$212</f>
        <v>121980.51134762984</v>
      </c>
    </row>
    <row r="12" spans="1:5">
      <c r="B12" s="1147"/>
      <c r="C12" s="1152">
        <v>43616</v>
      </c>
      <c r="D12" s="793">
        <f>'[3]KY ADIT-Feb 2019 ALG'!$T$218</f>
        <v>-33558180.320420749</v>
      </c>
      <c r="E12" s="793">
        <f>'[3]KY ADIT-August 2018'!$T$212</f>
        <v>121980.51134762984</v>
      </c>
    </row>
    <row r="13" spans="1:5">
      <c r="B13" s="1147"/>
      <c r="C13" s="1152">
        <v>43646</v>
      </c>
      <c r="D13" s="793">
        <f>'[3]KY ADIT-Feb 2019 ALG'!$U$218</f>
        <v>-33461598.49088797</v>
      </c>
      <c r="E13" s="793">
        <f>'[3]KY ADIT-August 2018'!$U$212</f>
        <v>121980.51134762984</v>
      </c>
    </row>
    <row r="14" spans="1:5">
      <c r="B14" s="1147"/>
      <c r="C14" s="1152">
        <v>43677</v>
      </c>
      <c r="D14" s="793">
        <f>'[3]KY ADIT-Feb 2019 ALG'!$V$218</f>
        <v>-33375376.649990194</v>
      </c>
      <c r="E14" s="793">
        <f>'[3]KY ADIT-August 2018'!$V$212</f>
        <v>121980.51134762984</v>
      </c>
    </row>
    <row r="15" spans="1:5">
      <c r="B15" s="1147"/>
      <c r="C15" s="1152">
        <v>43708</v>
      </c>
      <c r="D15" s="793">
        <f>'[3]KY ADIT-Feb 2019 ALG'!$W$218</f>
        <v>-33299514.797727421</v>
      </c>
      <c r="E15" s="793">
        <f>'[3]KY ADIT-August 2018'!$W$212</f>
        <v>121980.51134762984</v>
      </c>
    </row>
    <row r="16" spans="1:5">
      <c r="B16" s="1147"/>
      <c r="C16" s="1152">
        <v>43738</v>
      </c>
      <c r="D16" s="793">
        <f>'[3]KY ADIT-Feb 2019 ALG'!$X$218</f>
        <v>-33233678.74091788</v>
      </c>
      <c r="E16" s="793">
        <f>'[3]KY ADIT-August 2018'!$X$212</f>
        <v>121980.51134762984</v>
      </c>
    </row>
    <row r="17" spans="2:5">
      <c r="B17" s="1147"/>
      <c r="C17" s="1152">
        <v>43769</v>
      </c>
      <c r="D17" s="793">
        <f>'[3]KY ADIT-Feb 2019 ALG'!$Y$218</f>
        <v>-33178202.672743343</v>
      </c>
      <c r="E17" s="793">
        <f>'[3]KY ADIT-August 2018'!$Y$212</f>
        <v>121980.51134762984</v>
      </c>
    </row>
    <row r="18" spans="2:5">
      <c r="B18" s="1147"/>
      <c r="C18" s="1152">
        <v>43799</v>
      </c>
      <c r="D18" s="793">
        <f>'[3]KY ADIT-Feb 2019 ALG'!$Z$218</f>
        <v>-33132752.400022034</v>
      </c>
      <c r="E18" s="793">
        <f>'[3]KY ADIT-August 2018'!$Z$212</f>
        <v>121980.51134762984</v>
      </c>
    </row>
    <row r="19" spans="2:5">
      <c r="B19" s="1147"/>
      <c r="C19" s="1152">
        <v>43830</v>
      </c>
      <c r="D19" s="793">
        <f>'[3]KY ADIT-Feb 2019 ALG'!$AA$218</f>
        <v>-33097662.115935728</v>
      </c>
      <c r="E19" s="793">
        <f>'[3]KY ADIT-August 2018'!$AA$212</f>
        <v>121980.51134762984</v>
      </c>
    </row>
    <row r="20" spans="2:5">
      <c r="B20" s="1147"/>
      <c r="C20" s="1152">
        <v>43861</v>
      </c>
      <c r="D20" s="793">
        <f>'[3]KY ADIT-Feb 2019 ALG'!$AB$218</f>
        <v>-33072931.82048443</v>
      </c>
      <c r="E20" s="793">
        <f>'[3]KY ADIT-August 2018'!$AB$212</f>
        <v>121980.51134762984</v>
      </c>
    </row>
    <row r="21" spans="2:5">
      <c r="B21" s="1147"/>
      <c r="C21" s="1152">
        <v>43890</v>
      </c>
      <c r="D21" s="793">
        <f>'[3]KY ADIT-Feb 2019 ALG'!$AC$218</f>
        <v>-33057558.934122812</v>
      </c>
      <c r="E21" s="793">
        <f>'[3]KY ADIT-August 2018'!$AC$212</f>
        <v>121980.51134762984</v>
      </c>
    </row>
    <row r="22" spans="2:5">
      <c r="B22" s="1147"/>
      <c r="C22" s="1152">
        <v>43921</v>
      </c>
      <c r="D22" s="804">
        <f>'[3]KY ADIT-Feb 2019 ALG'!$AD$218</f>
        <v>-33052546.036396198</v>
      </c>
      <c r="E22" s="804">
        <f>'[3]KY ADIT-August 2018'!$AD$212</f>
        <v>121980.51134762984</v>
      </c>
    </row>
    <row r="23" spans="2:5" ht="15.75">
      <c r="B23" s="1147"/>
      <c r="C23" s="793" t="s">
        <v>1445</v>
      </c>
      <c r="D23" s="102">
        <f>AVERAGE(D10:D22)</f>
        <v>-33305118.960314102</v>
      </c>
      <c r="E23" s="102">
        <f>SUM(E11:E22)</f>
        <v>1463766.1361715582</v>
      </c>
    </row>
    <row r="24" spans="2:5">
      <c r="B24" s="1147"/>
    </row>
    <row r="25" spans="2:5">
      <c r="B25" s="1147"/>
      <c r="D25" s="793"/>
    </row>
    <row r="26" spans="2:5">
      <c r="B26" s="1147"/>
    </row>
    <row r="27" spans="2:5">
      <c r="B27" s="1147"/>
    </row>
    <row r="28" spans="2:5">
      <c r="B28" s="1147"/>
    </row>
    <row r="29" spans="2:5">
      <c r="B29" s="1147"/>
    </row>
    <row r="30" spans="2:5">
      <c r="B30" s="1147"/>
    </row>
    <row r="31" spans="2:5">
      <c r="B31" s="1147"/>
    </row>
    <row r="32" spans="2:5">
      <c r="B32" s="1147"/>
    </row>
    <row r="33" spans="2:2">
      <c r="B33" s="1147"/>
    </row>
    <row r="34" spans="2:2">
      <c r="B34" s="1147"/>
    </row>
  </sheetData>
  <mergeCells count="5">
    <mergeCell ref="A4:B4"/>
    <mergeCell ref="A5:B5"/>
    <mergeCell ref="A1:B1"/>
    <mergeCell ref="A2:B2"/>
    <mergeCell ref="A3:B3"/>
  </mergeCells>
  <pageMargins left="0.7" right="0.7" top="0.75" bottom="0.75" header="0.3" footer="0.3"/>
  <pageSetup scale="36" orientation="portrait" r:id="rId1"/>
  <colBreaks count="1" manualBreakCount="1">
    <brk id="5" max="3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80" zoomScaleNormal="80" zoomScaleSheetLayoutView="8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200" t="str">
        <f>Allocation!A1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</row>
    <row r="2" spans="1:19">
      <c r="A2" s="1200" t="str">
        <f>Allocation!A2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200"/>
    </row>
    <row r="3" spans="1:19">
      <c r="A3" s="1200" t="s">
        <v>1231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</row>
    <row r="4" spans="1:19">
      <c r="A4" s="1200" t="str">
        <f>Allocation!A3</f>
        <v>Base Period: Twelve Months Ended December 31, 2018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1200"/>
    </row>
    <row r="5" spans="1:19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9">
      <c r="A6" s="48" t="str">
        <f>'B.1 B'!A6</f>
        <v>Data:__X___Base Period______Forecasted Period</v>
      </c>
      <c r="B6" s="48"/>
      <c r="C6" s="35"/>
      <c r="P6" s="1" t="s">
        <v>1425</v>
      </c>
    </row>
    <row r="7" spans="1:19">
      <c r="A7" s="48" t="str">
        <f>'B.1 B'!A7</f>
        <v>Type of Filing:___X____Original________Updated ________Revised</v>
      </c>
      <c r="B7" s="35"/>
      <c r="C7" s="48"/>
      <c r="P7" s="1" t="s">
        <v>806</v>
      </c>
    </row>
    <row r="8" spans="1:19">
      <c r="A8" s="51" t="str">
        <f>'B.1 B'!A8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9">
      <c r="D9" s="54"/>
      <c r="E9" s="221"/>
      <c r="F9" s="2"/>
      <c r="G9" s="2"/>
      <c r="H9" s="75"/>
      <c r="I9" s="2"/>
      <c r="J9" s="221"/>
      <c r="K9" s="2"/>
    </row>
    <row r="10" spans="1:19">
      <c r="A10" s="2" t="s">
        <v>93</v>
      </c>
      <c r="B10" s="2" t="s">
        <v>94</v>
      </c>
      <c r="D10" s="53" t="s">
        <v>107</v>
      </c>
      <c r="E10" s="53" t="s">
        <v>107</v>
      </c>
      <c r="F10" s="53" t="s">
        <v>107</v>
      </c>
      <c r="G10" s="53" t="s">
        <v>107</v>
      </c>
      <c r="H10" s="53" t="s">
        <v>107</v>
      </c>
      <c r="I10" s="53" t="s">
        <v>107</v>
      </c>
      <c r="J10" s="53" t="s">
        <v>107</v>
      </c>
      <c r="K10" s="611" t="s">
        <v>453</v>
      </c>
      <c r="L10" s="53" t="s">
        <v>453</v>
      </c>
      <c r="M10" s="53" t="s">
        <v>453</v>
      </c>
      <c r="N10" s="53" t="s">
        <v>453</v>
      </c>
      <c r="O10" s="53" t="s">
        <v>453</v>
      </c>
      <c r="P10" s="53" t="s">
        <v>453</v>
      </c>
      <c r="Q10" s="99" t="s">
        <v>315</v>
      </c>
    </row>
    <row r="11" spans="1:19">
      <c r="A11" s="9" t="s">
        <v>99</v>
      </c>
      <c r="B11" s="9" t="s">
        <v>100</v>
      </c>
      <c r="C11" s="6"/>
      <c r="D11" s="348">
        <f>'WP B.4.1B'!C8</f>
        <v>43070</v>
      </c>
      <c r="E11" s="348">
        <f>'WP B.4.1B'!D8</f>
        <v>43101</v>
      </c>
      <c r="F11" s="348">
        <f>'WP B.4.1B'!E8</f>
        <v>43132</v>
      </c>
      <c r="G11" s="348">
        <f>'WP B.4.1B'!F8</f>
        <v>43160</v>
      </c>
      <c r="H11" s="348">
        <f>'WP B.4.1B'!G8</f>
        <v>43191</v>
      </c>
      <c r="I11" s="348">
        <f>'WP B.4.1B'!H8</f>
        <v>43221</v>
      </c>
      <c r="J11" s="348">
        <f>'WP B.4.1B'!I8</f>
        <v>43252</v>
      </c>
      <c r="K11" s="348">
        <f>'WP B.4.1B'!J8</f>
        <v>43282</v>
      </c>
      <c r="L11" s="348">
        <f>'WP B.4.1B'!K8</f>
        <v>43313</v>
      </c>
      <c r="M11" s="348">
        <f>'WP B.4.1B'!L8</f>
        <v>43344</v>
      </c>
      <c r="N11" s="348">
        <f>'WP B.4.1B'!M8</f>
        <v>43374</v>
      </c>
      <c r="O11" s="348">
        <f>'WP B.4.1B'!N8</f>
        <v>43405</v>
      </c>
      <c r="P11" s="348">
        <f>'WP B.4.1B'!O8</f>
        <v>43435</v>
      </c>
      <c r="Q11" s="56" t="s">
        <v>98</v>
      </c>
    </row>
    <row r="12" spans="1:19" ht="15.75">
      <c r="B12" s="12" t="s">
        <v>213</v>
      </c>
      <c r="G12" s="81"/>
    </row>
    <row r="13" spans="1:19">
      <c r="A13" s="2">
        <v>1</v>
      </c>
      <c r="B13" s="372"/>
      <c r="C13" s="4" t="s">
        <v>52</v>
      </c>
      <c r="D13" s="377">
        <f>-'[11]Div 09'!J$13</f>
        <v>-796177.7</v>
      </c>
      <c r="E13" s="377">
        <f>-'[11]Div 09'!K$13</f>
        <v>-785153.87</v>
      </c>
      <c r="F13" s="377">
        <f>-'[11]Div 09'!L$13</f>
        <v>-784131.87</v>
      </c>
      <c r="G13" s="377">
        <f>-'[11]Div 09'!M$13</f>
        <v>-786031.87</v>
      </c>
      <c r="H13" s="377">
        <f>-'[11]Div 09'!N$13</f>
        <v>-714675.29</v>
      </c>
      <c r="I13" s="377">
        <f>-'[11]Div 09'!O$13</f>
        <v>-707426.83</v>
      </c>
      <c r="J13" s="377">
        <f>-'[11]Div 09'!P$13</f>
        <v>-705984.83</v>
      </c>
      <c r="K13" s="377">
        <f>-'[11]Div 09'!Q$13</f>
        <v>-747234.09333333327</v>
      </c>
      <c r="L13" s="377">
        <f>-'[11]Div 09'!R$13</f>
        <v>-747234.09333333327</v>
      </c>
      <c r="M13" s="377">
        <f>-'[11]Div 09'!S$13</f>
        <v>-747234.09333333327</v>
      </c>
      <c r="N13" s="377">
        <f>-'[11]Div 09'!T$13</f>
        <v>-747234.09333333327</v>
      </c>
      <c r="O13" s="377">
        <f>-'[11]Div 09'!U$13</f>
        <v>-747234.09333333327</v>
      </c>
      <c r="P13" s="377">
        <f>-'[11]Div 09'!V$13</f>
        <v>-747234.09333333327</v>
      </c>
      <c r="Q13" s="311">
        <f>SUM(D13:P13)/13</f>
        <v>-750998.98615384637</v>
      </c>
      <c r="S13" s="794"/>
    </row>
    <row r="14" spans="1:19">
      <c r="A14" s="54">
        <v>2</v>
      </c>
      <c r="B14" s="373"/>
      <c r="D14" s="77"/>
      <c r="E14" s="42"/>
      <c r="F14" s="42"/>
      <c r="G14" s="77"/>
      <c r="H14" s="77"/>
      <c r="I14" s="42"/>
      <c r="J14" s="42"/>
      <c r="K14" s="42"/>
      <c r="L14" s="42"/>
      <c r="P14" s="311"/>
    </row>
    <row r="15" spans="1:19" ht="15.75">
      <c r="A15" s="2">
        <v>3</v>
      </c>
      <c r="B15" s="12" t="s">
        <v>214</v>
      </c>
      <c r="D15" s="35"/>
      <c r="E15" s="35"/>
      <c r="F15" s="35"/>
      <c r="G15" s="74"/>
      <c r="I15" s="35"/>
      <c r="J15" s="35"/>
      <c r="K15" s="35"/>
      <c r="L15" s="380"/>
      <c r="M15" s="311"/>
      <c r="N15" s="311"/>
      <c r="O15" s="311"/>
      <c r="P15" s="311"/>
    </row>
    <row r="16" spans="1:19">
      <c r="A16" s="54">
        <v>4</v>
      </c>
      <c r="B16" s="372">
        <v>15560</v>
      </c>
      <c r="C16" s="4" t="s">
        <v>52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7">
        <v>0</v>
      </c>
      <c r="Q16" s="311">
        <f>(SUM(D16:P16))/13</f>
        <v>0</v>
      </c>
    </row>
    <row r="17" spans="1:17">
      <c r="A17" s="2">
        <v>5</v>
      </c>
      <c r="B17" s="374"/>
      <c r="C17" s="4"/>
      <c r="D17" s="77"/>
      <c r="E17" s="42"/>
      <c r="F17" s="42"/>
      <c r="G17" s="77"/>
      <c r="H17" s="77"/>
      <c r="I17" s="74"/>
      <c r="J17" s="74"/>
      <c r="K17" s="74"/>
      <c r="L17" s="379"/>
      <c r="M17" s="311"/>
      <c r="N17" s="311"/>
      <c r="O17" s="311"/>
      <c r="P17" s="311"/>
    </row>
    <row r="18" spans="1:17" ht="15.75">
      <c r="A18" s="54">
        <v>6</v>
      </c>
      <c r="B18" s="12" t="s">
        <v>1116</v>
      </c>
      <c r="C18" s="22"/>
      <c r="D18" s="375"/>
      <c r="E18" s="168"/>
      <c r="F18" s="168"/>
      <c r="G18" s="76"/>
      <c r="H18" s="76"/>
      <c r="I18" s="76"/>
      <c r="J18" s="76"/>
      <c r="K18" s="76"/>
      <c r="L18" s="379"/>
      <c r="M18" s="311"/>
      <c r="N18" s="311"/>
      <c r="O18" s="311"/>
      <c r="P18" s="311"/>
    </row>
    <row r="19" spans="1:17">
      <c r="A19" s="2">
        <v>7</v>
      </c>
      <c r="B19" s="372">
        <v>15560</v>
      </c>
      <c r="C19" s="4" t="s">
        <v>52</v>
      </c>
      <c r="D19" s="382">
        <v>0</v>
      </c>
      <c r="E19" s="382">
        <v>0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0</v>
      </c>
      <c r="O19" s="382">
        <v>0</v>
      </c>
      <c r="P19" s="382">
        <v>0</v>
      </c>
      <c r="Q19" s="311">
        <f>(SUM(D19:P19))/13</f>
        <v>0</v>
      </c>
    </row>
    <row r="20" spans="1:17">
      <c r="A20" s="54">
        <v>8</v>
      </c>
      <c r="B20" s="374"/>
      <c r="C20" s="4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</row>
    <row r="21" spans="1:17" ht="15.75">
      <c r="A21" s="2">
        <v>9</v>
      </c>
      <c r="B21" s="12" t="s">
        <v>676</v>
      </c>
      <c r="D21" s="35"/>
      <c r="E21" s="35"/>
      <c r="F21" s="35"/>
      <c r="G21" s="74"/>
      <c r="I21" s="35"/>
      <c r="J21" s="35"/>
      <c r="K21" s="35"/>
      <c r="L21" s="380"/>
      <c r="M21" s="311"/>
      <c r="N21" s="311"/>
      <c r="O21" s="311"/>
      <c r="P21" s="311"/>
    </row>
    <row r="22" spans="1:17">
      <c r="A22" s="54">
        <v>10</v>
      </c>
      <c r="B22" s="372">
        <v>15560</v>
      </c>
      <c r="C22" s="4" t="s">
        <v>52</v>
      </c>
      <c r="D22" s="382" t="str">
        <f>'[11]Div 91'!J$13</f>
        <v>0</v>
      </c>
      <c r="E22" s="382" t="str">
        <f>'[11]Div 91'!K$13</f>
        <v>0</v>
      </c>
      <c r="F22" s="382" t="str">
        <f>'[11]Div 91'!L$13</f>
        <v>0</v>
      </c>
      <c r="G22" s="382" t="str">
        <f>'[11]Div 91'!M$13</f>
        <v>0</v>
      </c>
      <c r="H22" s="382" t="str">
        <f>'[11]Div 91'!N$13</f>
        <v>0</v>
      </c>
      <c r="I22" s="382" t="str">
        <f>'[11]Div 91'!O$13</f>
        <v>0</v>
      </c>
      <c r="J22" s="382" t="str">
        <f>'[11]Div 91'!P$13</f>
        <v>0</v>
      </c>
      <c r="K22" s="382">
        <f>'[11]Div 91'!Q$13</f>
        <v>0</v>
      </c>
      <c r="L22" s="382">
        <f>'[11]Div 91'!R$13</f>
        <v>0</v>
      </c>
      <c r="M22" s="382">
        <f>'[11]Div 91'!S$13</f>
        <v>0</v>
      </c>
      <c r="N22" s="382">
        <f>'[11]Div 91'!T$13</f>
        <v>0</v>
      </c>
      <c r="O22" s="382">
        <f>'[11]Div 91'!U$13</f>
        <v>0</v>
      </c>
      <c r="P22" s="382">
        <f>'[11]Div 91'!V$13</f>
        <v>0</v>
      </c>
      <c r="Q22" s="311">
        <f>(SUM(D22:P22))/13</f>
        <v>0</v>
      </c>
    </row>
    <row r="23" spans="1:17">
      <c r="A23" s="2"/>
      <c r="B23" s="373"/>
      <c r="D23" s="77"/>
      <c r="E23" s="42"/>
      <c r="F23" s="42"/>
      <c r="G23" s="77"/>
      <c r="H23" s="77"/>
      <c r="I23" s="77"/>
      <c r="J23" s="77"/>
      <c r="K23" s="77"/>
      <c r="L23" s="379"/>
      <c r="M23" s="311"/>
      <c r="N23" s="311"/>
      <c r="O23" s="311"/>
      <c r="P23" s="311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79"/>
      <c r="M24" s="311"/>
      <c r="N24" s="311"/>
      <c r="O24" s="311"/>
      <c r="P24" s="311"/>
    </row>
    <row r="25" spans="1:17">
      <c r="A25" s="35"/>
      <c r="B25" s="35"/>
      <c r="P25" s="311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200" t="str">
        <f>Allocation!A1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</row>
    <row r="2" spans="1:17">
      <c r="A2" s="1200" t="str">
        <f>Allocation!A2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200"/>
    </row>
    <row r="3" spans="1:17">
      <c r="A3" s="1200" t="s">
        <v>1231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</row>
    <row r="4" spans="1:17">
      <c r="A4" s="1200" t="str">
        <f>Allocation!A3</f>
        <v>Base Period: Twelve Months Ended December 31, 2018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1200"/>
    </row>
    <row r="5" spans="1:17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7">
      <c r="A6" s="48" t="str">
        <f>'B.1 F '!A6</f>
        <v>Data:______Base Period__X___Forecasted Period</v>
      </c>
      <c r="B6" s="48"/>
      <c r="C6" s="35"/>
      <c r="P6" s="1" t="s">
        <v>1424</v>
      </c>
    </row>
    <row r="7" spans="1:17">
      <c r="A7" s="48" t="str">
        <f>'B.1 F '!A7</f>
        <v>Type of Filing:___X____Original________Updated ________Revised</v>
      </c>
      <c r="B7" s="35"/>
      <c r="C7" s="48"/>
      <c r="P7" s="1" t="s">
        <v>1167</v>
      </c>
    </row>
    <row r="8" spans="1:17">
      <c r="A8" s="51" t="str">
        <f>'B.1 F 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7">
      <c r="D9" s="54"/>
      <c r="E9" s="221"/>
      <c r="F9" s="2"/>
      <c r="G9" s="2"/>
      <c r="H9" s="75"/>
      <c r="I9" s="2"/>
      <c r="J9" s="221"/>
      <c r="K9" s="2"/>
    </row>
    <row r="10" spans="1:17">
      <c r="A10" s="2" t="s">
        <v>93</v>
      </c>
      <c r="B10" s="2" t="s">
        <v>94</v>
      </c>
      <c r="D10" s="53" t="s">
        <v>453</v>
      </c>
      <c r="E10" s="787" t="s">
        <v>453</v>
      </c>
      <c r="F10" s="787" t="s">
        <v>453</v>
      </c>
      <c r="G10" s="787" t="s">
        <v>453</v>
      </c>
      <c r="H10" s="787" t="s">
        <v>453</v>
      </c>
      <c r="I10" s="611" t="s">
        <v>43</v>
      </c>
      <c r="J10" s="611" t="s">
        <v>43</v>
      </c>
      <c r="K10" s="611" t="s">
        <v>43</v>
      </c>
      <c r="L10" s="611" t="s">
        <v>43</v>
      </c>
      <c r="M10" s="611" t="s">
        <v>43</v>
      </c>
      <c r="N10" s="611" t="s">
        <v>43</v>
      </c>
      <c r="O10" s="611" t="s">
        <v>43</v>
      </c>
      <c r="P10" s="611" t="s">
        <v>43</v>
      </c>
      <c r="Q10" s="99" t="s">
        <v>315</v>
      </c>
    </row>
    <row r="11" spans="1:17">
      <c r="A11" s="9" t="s">
        <v>99</v>
      </c>
      <c r="B11" s="9" t="s">
        <v>100</v>
      </c>
      <c r="C11" s="6"/>
      <c r="D11" s="348">
        <f>'WP B.4.1F'!C8</f>
        <v>43526</v>
      </c>
      <c r="E11" s="348">
        <f>'WP B.4.1F'!D8</f>
        <v>43556</v>
      </c>
      <c r="F11" s="348">
        <f>'WP B.4.1F'!E8</f>
        <v>43586</v>
      </c>
      <c r="G11" s="348">
        <f>'WP B.4.1F'!F8</f>
        <v>43617</v>
      </c>
      <c r="H11" s="348">
        <f>'WP B.4.1F'!G8</f>
        <v>43647</v>
      </c>
      <c r="I11" s="348">
        <f>'WP B.4.1F'!H8</f>
        <v>43678</v>
      </c>
      <c r="J11" s="348">
        <f>'WP B.4.1F'!I8</f>
        <v>43709</v>
      </c>
      <c r="K11" s="348">
        <f>'WP B.4.1F'!J8</f>
        <v>43739</v>
      </c>
      <c r="L11" s="348">
        <f>'WP B.4.1F'!K8</f>
        <v>43770</v>
      </c>
      <c r="M11" s="348">
        <f>'WP B.4.1F'!L8</f>
        <v>43800</v>
      </c>
      <c r="N11" s="348">
        <f>'WP B.4.1F'!M8</f>
        <v>43831</v>
      </c>
      <c r="O11" s="348">
        <f>'WP B.4.1F'!N8</f>
        <v>43862</v>
      </c>
      <c r="P11" s="348">
        <f>'WP B.4.1F'!O8</f>
        <v>43891</v>
      </c>
      <c r="Q11" s="56" t="s">
        <v>98</v>
      </c>
    </row>
    <row r="12" spans="1:17" ht="15.75">
      <c r="B12" s="12" t="s">
        <v>213</v>
      </c>
      <c r="G12" s="81"/>
    </row>
    <row r="13" spans="1:17">
      <c r="A13" s="2">
        <v>1</v>
      </c>
      <c r="B13" s="372"/>
      <c r="C13" s="4" t="s">
        <v>52</v>
      </c>
      <c r="D13" s="377">
        <f>-'[11]Div 09'!Y$13</f>
        <v>-747234.09333333327</v>
      </c>
      <c r="E13" s="377">
        <f>-'[11]Div 09'!Z$13</f>
        <v>-747234.09333333327</v>
      </c>
      <c r="F13" s="377">
        <f>-'[11]Div 09'!AA$13</f>
        <v>-747234.09333333327</v>
      </c>
      <c r="G13" s="377">
        <f>-'[11]Div 09'!AB$13</f>
        <v>-747234.09333333327</v>
      </c>
      <c r="H13" s="377">
        <f>-'[11]Div 09'!AC$13</f>
        <v>-747234.09333333327</v>
      </c>
      <c r="I13" s="377">
        <f>-'[11]Div 09'!AD$13</f>
        <v>-747234.09333333327</v>
      </c>
      <c r="J13" s="377">
        <f>-'[11]Div 09'!AE$13</f>
        <v>-747234.09333333327</v>
      </c>
      <c r="K13" s="377">
        <f>-'[11]Div 09'!AF$13</f>
        <v>-747234.09333333327</v>
      </c>
      <c r="L13" s="377">
        <f>-'[11]Div 09'!AG$13</f>
        <v>-747234.09333333327</v>
      </c>
      <c r="M13" s="377">
        <f>-'[11]Div 09'!AH$13</f>
        <v>-747234.09333333327</v>
      </c>
      <c r="N13" s="377">
        <f>-'[11]Div 09'!AI$13</f>
        <v>-747234.09333333327</v>
      </c>
      <c r="O13" s="377">
        <f>-'[11]Div 09'!AJ$13</f>
        <v>-747234.09333333327</v>
      </c>
      <c r="P13" s="377">
        <f>-'[11]Div 09'!AK$13</f>
        <v>-747234.09333333327</v>
      </c>
      <c r="Q13" s="1">
        <f>SUM(D13:P13)/13</f>
        <v>-747234.0933333335</v>
      </c>
    </row>
    <row r="14" spans="1:17">
      <c r="A14" s="54">
        <v>2</v>
      </c>
      <c r="B14" s="373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1"/>
      <c r="O14" s="81"/>
      <c r="P14" s="430"/>
    </row>
    <row r="15" spans="1:17" ht="15.75">
      <c r="A15" s="2">
        <v>3</v>
      </c>
      <c r="B15" s="12" t="s">
        <v>214</v>
      </c>
      <c r="D15" s="74"/>
      <c r="E15" s="74"/>
      <c r="F15" s="74"/>
      <c r="G15" s="74"/>
      <c r="I15" s="74"/>
      <c r="J15" s="74"/>
      <c r="K15" s="74"/>
      <c r="L15" s="381"/>
      <c r="M15" s="430"/>
      <c r="N15" s="430"/>
      <c r="O15" s="430"/>
      <c r="P15" s="430"/>
    </row>
    <row r="16" spans="1:17">
      <c r="A16" s="54">
        <v>4</v>
      </c>
      <c r="B16" s="372">
        <v>15560</v>
      </c>
      <c r="C16" s="4" t="s">
        <v>52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1">
        <f>SUM(D16:P16)/13</f>
        <v>0</v>
      </c>
    </row>
    <row r="17" spans="1:17">
      <c r="A17" s="2">
        <v>5</v>
      </c>
      <c r="B17" s="374"/>
      <c r="C17" s="4"/>
      <c r="D17" s="77"/>
      <c r="E17" s="77"/>
      <c r="F17" s="77"/>
      <c r="G17" s="77"/>
      <c r="H17" s="77"/>
      <c r="I17" s="74"/>
      <c r="J17" s="74"/>
      <c r="K17" s="74"/>
      <c r="L17" s="377"/>
      <c r="M17" s="430"/>
      <c r="N17" s="430"/>
      <c r="O17" s="430"/>
      <c r="P17" s="430"/>
    </row>
    <row r="18" spans="1:17" ht="15.75">
      <c r="A18" s="54">
        <v>6</v>
      </c>
      <c r="B18" s="12" t="s">
        <v>1116</v>
      </c>
      <c r="C18" s="22"/>
      <c r="D18" s="375"/>
      <c r="E18" s="375"/>
      <c r="F18" s="375"/>
      <c r="G18" s="76"/>
      <c r="H18" s="76"/>
      <c r="I18" s="76"/>
      <c r="J18" s="76"/>
      <c r="K18" s="76"/>
      <c r="L18" s="377"/>
      <c r="M18" s="430"/>
      <c r="N18" s="430"/>
      <c r="O18" s="430"/>
      <c r="P18" s="430"/>
    </row>
    <row r="19" spans="1:17">
      <c r="A19" s="2">
        <v>7</v>
      </c>
      <c r="B19" s="372">
        <v>15560</v>
      </c>
      <c r="C19" s="4" t="s">
        <v>52</v>
      </c>
      <c r="D19" s="382">
        <v>0</v>
      </c>
      <c r="E19" s="382">
        <v>0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0</v>
      </c>
      <c r="O19" s="382">
        <v>0</v>
      </c>
      <c r="P19" s="382">
        <v>0</v>
      </c>
      <c r="Q19" s="1">
        <f>SUM(D19:P19)/13</f>
        <v>0</v>
      </c>
    </row>
    <row r="20" spans="1:17">
      <c r="A20" s="54">
        <v>8</v>
      </c>
      <c r="B20" s="374"/>
      <c r="C20" s="4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</row>
    <row r="21" spans="1:17" ht="15.75">
      <c r="A21" s="2">
        <v>9</v>
      </c>
      <c r="B21" s="12" t="s">
        <v>676</v>
      </c>
      <c r="D21" s="74"/>
      <c r="E21" s="74"/>
      <c r="F21" s="74"/>
      <c r="G21" s="74"/>
      <c r="I21" s="74"/>
      <c r="J21" s="74"/>
      <c r="K21" s="74"/>
      <c r="L21" s="381"/>
      <c r="M21" s="430"/>
      <c r="N21" s="430"/>
      <c r="O21" s="430"/>
      <c r="P21" s="430"/>
    </row>
    <row r="22" spans="1:17">
      <c r="A22" s="54">
        <v>10</v>
      </c>
      <c r="B22" s="372">
        <v>15560</v>
      </c>
      <c r="C22" s="4" t="s">
        <v>52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1">
        <f>SUM(D22:P22)/13</f>
        <v>0</v>
      </c>
    </row>
    <row r="23" spans="1:17">
      <c r="A23" s="2"/>
      <c r="B23" s="373"/>
      <c r="D23" s="77"/>
      <c r="E23" s="42"/>
      <c r="F23" s="42"/>
      <c r="G23" s="77"/>
      <c r="H23" s="77"/>
      <c r="I23" s="77"/>
      <c r="J23" s="77"/>
      <c r="K23" s="77"/>
      <c r="L23" s="379"/>
      <c r="M23" s="311"/>
      <c r="N23" s="311"/>
      <c r="O23" s="311"/>
      <c r="P23" s="311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79"/>
      <c r="M24" s="311"/>
      <c r="N24" s="311"/>
      <c r="O24" s="311"/>
      <c r="P24" s="311"/>
    </row>
    <row r="25" spans="1:17">
      <c r="A25" s="35"/>
      <c r="B25" s="35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workbookViewId="0">
      <selection activeCell="C41" sqref="C4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195" t="str">
        <f>'Table of Contents'!A1:C1</f>
        <v>Atmos Energy Corporation, Kentucky/Mid-States Division</v>
      </c>
      <c r="B1" s="1195"/>
      <c r="C1" s="1195"/>
    </row>
    <row r="2" spans="1:3">
      <c r="A2" s="1195" t="str">
        <f>'Table of Contents'!A2:C2</f>
        <v>Kentucky Jurisdiction Case No. 2018-00281</v>
      </c>
      <c r="B2" s="1195"/>
      <c r="C2" s="1195"/>
    </row>
    <row r="3" spans="1:3">
      <c r="A3" s="1195" t="str">
        <f>'Table of Contents'!A3:C3</f>
        <v>Base Period: Twelve Months Ended December 31, 2018</v>
      </c>
      <c r="B3" s="1195"/>
      <c r="C3" s="1195"/>
    </row>
    <row r="4" spans="1:3">
      <c r="A4" s="1195" t="str">
        <f>'Table of Contents'!A4:C4</f>
        <v>Forecasted Test Period: Twelve Months Ended March 31, 2020</v>
      </c>
      <c r="B4" s="1195"/>
      <c r="C4" s="1195"/>
    </row>
    <row r="14" spans="1:3" ht="15.75">
      <c r="A14" s="302" t="s">
        <v>58</v>
      </c>
      <c r="B14" s="302" t="s">
        <v>614</v>
      </c>
      <c r="C14" s="302" t="s">
        <v>985</v>
      </c>
    </row>
    <row r="15" spans="1:3">
      <c r="A15" s="78"/>
      <c r="B15" s="40"/>
      <c r="C15" s="40"/>
    </row>
    <row r="16" spans="1:3">
      <c r="A16" s="78" t="s">
        <v>170</v>
      </c>
      <c r="B16" s="78">
        <v>1</v>
      </c>
      <c r="C16" s="78" t="s">
        <v>1000</v>
      </c>
    </row>
  </sheetData>
  <mergeCells count="4"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E14" sqref="E14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195" t="str">
        <f>'Table of Contents'!A1:C1</f>
        <v>Atmos Energy Corporation, Kentucky/Mid-States Division</v>
      </c>
      <c r="B1" s="1195"/>
      <c r="C1" s="1195"/>
    </row>
    <row r="2" spans="1:3">
      <c r="A2" s="1195" t="str">
        <f>'Table of Contents'!A2:C2</f>
        <v>Kentucky Jurisdiction Case No. 2018-00281</v>
      </c>
      <c r="B2" s="1195"/>
      <c r="C2" s="1195"/>
    </row>
    <row r="3" spans="1:3">
      <c r="A3" s="1195" t="str">
        <f>'Table of Contents'!A3:C3</f>
        <v>Base Period: Twelve Months Ended December 31, 2018</v>
      </c>
      <c r="B3" s="1195"/>
      <c r="C3" s="1195"/>
    </row>
    <row r="4" spans="1:3">
      <c r="A4" s="1195" t="str">
        <f>'Table of Contents'!A4:C4</f>
        <v>Forecasted Test Period: Twelve Months Ended March 31, 2020</v>
      </c>
      <c r="B4" s="1195"/>
      <c r="C4" s="1195"/>
    </row>
    <row r="9" spans="1:3" ht="15.75">
      <c r="A9" s="1211" t="s">
        <v>1426</v>
      </c>
      <c r="B9" s="1211"/>
      <c r="C9" s="1211"/>
    </row>
    <row r="11" spans="1:3" ht="15.75">
      <c r="A11" s="1199" t="s">
        <v>59</v>
      </c>
      <c r="B11" s="1199"/>
      <c r="C11" s="1199"/>
    </row>
    <row r="14" spans="1:3">
      <c r="A14" s="222" t="s">
        <v>58</v>
      </c>
      <c r="B14" s="521" t="s">
        <v>614</v>
      </c>
      <c r="C14" s="60" t="s">
        <v>985</v>
      </c>
    </row>
    <row r="15" spans="1:3">
      <c r="A15" s="78"/>
      <c r="B15" s="195"/>
      <c r="C15" s="40"/>
    </row>
    <row r="16" spans="1:3">
      <c r="A16" s="226" t="s">
        <v>369</v>
      </c>
      <c r="B16" s="461">
        <v>1</v>
      </c>
      <c r="C16" s="40" t="s">
        <v>59</v>
      </c>
    </row>
    <row r="17" spans="1:3">
      <c r="A17" s="226" t="s">
        <v>140</v>
      </c>
      <c r="B17" s="461">
        <v>1</v>
      </c>
      <c r="C17" s="40" t="s">
        <v>124</v>
      </c>
    </row>
    <row r="18" spans="1:3">
      <c r="A18" s="226" t="s">
        <v>1168</v>
      </c>
      <c r="B18" s="461">
        <v>10</v>
      </c>
      <c r="C18" s="40" t="s">
        <v>1138</v>
      </c>
    </row>
    <row r="19" spans="1:3">
      <c r="A19" s="226" t="s">
        <v>3</v>
      </c>
      <c r="B19" s="461">
        <v>10</v>
      </c>
      <c r="C19" s="40" t="s">
        <v>460</v>
      </c>
    </row>
    <row r="20" spans="1:3">
      <c r="A20" s="226" t="s">
        <v>459</v>
      </c>
      <c r="B20" s="461">
        <v>2</v>
      </c>
      <c r="C20" t="s">
        <v>461</v>
      </c>
    </row>
    <row r="21" spans="1:3">
      <c r="B21" s="80"/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activeCell="L34" sqref="L34"/>
    </sheetView>
  </sheetViews>
  <sheetFormatPr defaultColWidth="10.109375" defaultRowHeight="15"/>
  <cols>
    <col min="1" max="1" width="5.21875" style="40" customWidth="1"/>
    <col min="2" max="2" width="2.21875" style="40" customWidth="1"/>
    <col min="3" max="3" width="26.109375" style="40" customWidth="1"/>
    <col min="4" max="4" width="13.21875" style="40" customWidth="1"/>
    <col min="5" max="5" width="2.33203125" style="40" customWidth="1"/>
    <col min="6" max="6" width="13.21875" style="40" customWidth="1"/>
    <col min="7" max="7" width="2.109375" style="40" customWidth="1"/>
    <col min="8" max="8" width="12.88671875" style="40" customWidth="1"/>
    <col min="9" max="9" width="2.109375" style="40" customWidth="1"/>
    <col min="10" max="10" width="13.88671875" style="40" customWidth="1"/>
    <col min="11" max="11" width="4.88671875" style="40" customWidth="1"/>
    <col min="12" max="12" width="6.5546875" style="40" bestFit="1" customWidth="1"/>
    <col min="13" max="13" width="11.109375" style="40" customWidth="1"/>
    <col min="14" max="14" width="8" style="40" bestFit="1" customWidth="1"/>
    <col min="15" max="15" width="12" style="40" customWidth="1"/>
    <col min="16" max="16" width="10.109375" style="40" customWidth="1"/>
    <col min="17" max="17" width="3.21875" style="40" customWidth="1"/>
    <col min="18" max="18" width="11.88671875" style="40" customWidth="1"/>
    <col min="19" max="19" width="1.33203125" style="40" customWidth="1"/>
    <col min="20" max="20" width="12.33203125" style="40" customWidth="1"/>
    <col min="21" max="21" width="1.6640625" style="40" customWidth="1"/>
    <col min="22" max="22" width="10.5546875" style="40" bestFit="1" customWidth="1"/>
    <col min="23" max="23" width="0.88671875" style="40" customWidth="1"/>
    <col min="24" max="24" width="10.44140625" style="40" bestFit="1" customWidth="1"/>
    <col min="25" max="16384" width="10.109375" style="40"/>
  </cols>
  <sheetData>
    <row r="1" spans="1:24" s="1" customFormat="1">
      <c r="A1" s="1212" t="str">
        <f>'Table of Contents'!A1:C1</f>
        <v>Atmos Energy Corporation, Kentucky/Mid-States Division</v>
      </c>
      <c r="B1" s="1212"/>
      <c r="C1" s="1212"/>
      <c r="D1" s="1212"/>
      <c r="E1" s="1212"/>
      <c r="F1" s="1212"/>
      <c r="G1" s="1212"/>
      <c r="H1" s="1212"/>
      <c r="I1" s="1212"/>
      <c r="J1" s="1212"/>
    </row>
    <row r="2" spans="1:24" s="1" customFormat="1">
      <c r="A2" s="1212" t="str">
        <f>'Table of Contents'!A2:C2</f>
        <v>Kentucky Jurisdiction Case No. 2018-00281</v>
      </c>
      <c r="B2" s="1212"/>
      <c r="C2" s="1212"/>
      <c r="D2" s="1212"/>
      <c r="E2" s="1212"/>
      <c r="F2" s="1212"/>
      <c r="G2" s="1212"/>
      <c r="H2" s="1212"/>
      <c r="I2" s="1212"/>
      <c r="J2" s="1212"/>
    </row>
    <row r="3" spans="1:24" s="1" customFormat="1">
      <c r="A3" s="1212" t="s">
        <v>59</v>
      </c>
      <c r="B3" s="1212"/>
      <c r="C3" s="1212"/>
      <c r="D3" s="1212"/>
      <c r="E3" s="1212"/>
      <c r="F3" s="1212"/>
      <c r="G3" s="1212"/>
      <c r="H3" s="1212"/>
      <c r="I3" s="1212"/>
      <c r="J3" s="1212"/>
    </row>
    <row r="4" spans="1:24" s="1" customFormat="1">
      <c r="A4" s="1212" t="str">
        <f>'Table of Contents'!A4:C4</f>
        <v>Forecasted Test Period: Twelve Months Ended March 31, 2020</v>
      </c>
      <c r="B4" s="1212"/>
      <c r="C4" s="1212"/>
      <c r="D4" s="1212"/>
      <c r="E4" s="1212"/>
      <c r="F4" s="1212"/>
      <c r="G4" s="1212"/>
      <c r="H4" s="1212"/>
      <c r="I4" s="1212"/>
      <c r="J4" s="1212"/>
    </row>
    <row r="5" spans="1:24" s="1" customFormat="1">
      <c r="A5" s="436"/>
      <c r="B5" s="436"/>
      <c r="C5" s="436"/>
      <c r="D5" s="436"/>
      <c r="E5" s="436"/>
      <c r="F5" s="436"/>
      <c r="G5" s="436"/>
      <c r="H5" s="436"/>
      <c r="I5" s="436"/>
      <c r="J5" s="436"/>
    </row>
    <row r="6" spans="1:24" s="1" customFormat="1"/>
    <row r="7" spans="1:24" s="1" customFormat="1">
      <c r="A7" s="4" t="s">
        <v>860</v>
      </c>
      <c r="I7" s="4"/>
      <c r="J7" s="376" t="s">
        <v>1427</v>
      </c>
    </row>
    <row r="8" spans="1:24" s="1" customFormat="1">
      <c r="A8" s="4" t="s">
        <v>615</v>
      </c>
      <c r="H8" s="4"/>
      <c r="I8" s="4"/>
      <c r="J8" s="489" t="s">
        <v>265</v>
      </c>
    </row>
    <row r="9" spans="1:24" s="1" customFormat="1">
      <c r="A9" s="5" t="s">
        <v>365</v>
      </c>
      <c r="B9" s="6"/>
      <c r="C9" s="6"/>
      <c r="D9" s="6"/>
      <c r="E9" s="6"/>
      <c r="F9" s="6"/>
      <c r="G9" s="6"/>
      <c r="H9" s="5"/>
      <c r="I9" s="5"/>
      <c r="J9" s="550" t="s">
        <v>1709</v>
      </c>
    </row>
    <row r="10" spans="1:24" s="1" customFormat="1">
      <c r="D10" s="54" t="s">
        <v>44</v>
      </c>
      <c r="F10" s="2" t="s">
        <v>43</v>
      </c>
      <c r="J10" s="2" t="s">
        <v>43</v>
      </c>
      <c r="R10" s="736"/>
      <c r="S10" s="736"/>
      <c r="T10" s="736"/>
      <c r="U10" s="736"/>
      <c r="V10" s="736"/>
      <c r="W10" s="736"/>
      <c r="X10" s="736"/>
    </row>
    <row r="11" spans="1:24" s="1" customFormat="1">
      <c r="A11" s="2" t="s">
        <v>93</v>
      </c>
      <c r="D11" s="2" t="s">
        <v>429</v>
      </c>
      <c r="F11" s="2" t="s">
        <v>429</v>
      </c>
      <c r="H11" s="2" t="s">
        <v>396</v>
      </c>
      <c r="J11" s="2" t="s">
        <v>429</v>
      </c>
      <c r="R11" s="736"/>
      <c r="S11" s="736"/>
      <c r="T11" s="736"/>
      <c r="U11" s="736"/>
      <c r="V11" s="736"/>
      <c r="W11" s="736"/>
      <c r="X11" s="736"/>
    </row>
    <row r="12" spans="1:24">
      <c r="A12" s="9" t="s">
        <v>99</v>
      </c>
      <c r="B12" s="6"/>
      <c r="C12" s="5" t="s">
        <v>985</v>
      </c>
      <c r="D12" s="9" t="s">
        <v>427</v>
      </c>
      <c r="E12" s="6"/>
      <c r="F12" s="9" t="s">
        <v>427</v>
      </c>
      <c r="G12" s="6"/>
      <c r="H12" s="9" t="s">
        <v>1111</v>
      </c>
      <c r="I12" s="6"/>
      <c r="J12" s="9" t="s">
        <v>428</v>
      </c>
      <c r="K12" s="1"/>
      <c r="L12" s="736"/>
      <c r="M12" s="1"/>
      <c r="N12" s="1"/>
      <c r="O12" s="744"/>
      <c r="P12" s="745"/>
      <c r="R12" s="736"/>
      <c r="S12" s="736"/>
      <c r="T12" s="736"/>
      <c r="U12" s="736"/>
      <c r="V12" s="746"/>
      <c r="W12" s="746"/>
      <c r="X12" s="736"/>
    </row>
    <row r="13" spans="1:24">
      <c r="D13" s="188"/>
      <c r="F13" s="188"/>
      <c r="H13" s="188"/>
      <c r="J13" s="188"/>
      <c r="L13" s="736"/>
      <c r="O13" s="745"/>
      <c r="P13" s="745"/>
      <c r="R13" s="747"/>
      <c r="S13" s="736"/>
      <c r="T13" s="736"/>
      <c r="U13" s="736"/>
      <c r="V13" s="747"/>
      <c r="W13" s="747"/>
      <c r="X13" s="736"/>
    </row>
    <row r="14" spans="1:24">
      <c r="F14" s="195"/>
      <c r="L14" s="736"/>
      <c r="O14" s="666"/>
      <c r="P14" s="666"/>
      <c r="R14" s="736"/>
      <c r="S14" s="736"/>
      <c r="T14" s="736"/>
      <c r="U14" s="736"/>
      <c r="V14" s="736"/>
      <c r="W14" s="736"/>
      <c r="X14" s="736"/>
    </row>
    <row r="15" spans="1:24">
      <c r="A15" s="188">
        <v>1</v>
      </c>
      <c r="C15" s="180" t="s">
        <v>738</v>
      </c>
      <c r="D15" s="307">
        <f>+'C.2'!D14</f>
        <v>173370896.8290579</v>
      </c>
      <c r="E15" s="195"/>
      <c r="F15" s="307">
        <f>'C.2'!O14</f>
        <v>169717865.83695579</v>
      </c>
      <c r="G15" s="187"/>
      <c r="H15" s="476">
        <f>A.1!G30</f>
        <v>8924832</v>
      </c>
      <c r="I15" s="187"/>
      <c r="J15" s="476">
        <f>+F15+H15</f>
        <v>178642697.83695579</v>
      </c>
      <c r="K15" s="187"/>
      <c r="L15" s="760"/>
      <c r="M15" s="476"/>
      <c r="N15" s="187"/>
      <c r="O15" s="669"/>
      <c r="P15" s="667"/>
      <c r="Q15" s="187"/>
      <c r="R15" s="748"/>
      <c r="S15" s="748"/>
      <c r="T15" s="748"/>
      <c r="U15" s="736"/>
      <c r="V15" s="736"/>
      <c r="W15" s="736"/>
      <c r="X15" s="736"/>
    </row>
    <row r="16" spans="1:24">
      <c r="D16" s="195"/>
      <c r="E16" s="195"/>
      <c r="F16" s="223"/>
      <c r="G16" s="187"/>
      <c r="H16" s="187"/>
      <c r="I16" s="187"/>
      <c r="J16" s="187"/>
      <c r="K16" s="187"/>
      <c r="L16" s="754"/>
      <c r="M16" s="187"/>
      <c r="N16" s="187"/>
      <c r="O16" s="668"/>
      <c r="P16" s="667"/>
      <c r="Q16" s="187"/>
      <c r="R16" s="749"/>
      <c r="S16" s="749"/>
      <c r="T16" s="750"/>
      <c r="U16" s="736"/>
      <c r="V16" s="736"/>
      <c r="W16" s="736"/>
      <c r="X16" s="736"/>
    </row>
    <row r="17" spans="1:24">
      <c r="A17" s="188">
        <v>2</v>
      </c>
      <c r="C17" s="180" t="s">
        <v>990</v>
      </c>
      <c r="D17" s="195"/>
      <c r="E17" s="195"/>
      <c r="F17" s="223"/>
      <c r="G17" s="187"/>
      <c r="H17" s="187"/>
      <c r="I17" s="187"/>
      <c r="J17" s="187"/>
      <c r="K17" s="187"/>
      <c r="L17" s="754"/>
      <c r="M17" s="187"/>
      <c r="N17" s="187"/>
      <c r="O17" s="668"/>
      <c r="P17" s="667"/>
      <c r="Q17" s="187"/>
      <c r="R17" s="749"/>
      <c r="S17" s="749"/>
      <c r="T17" s="750"/>
      <c r="U17" s="736"/>
      <c r="V17" s="736"/>
      <c r="W17" s="736"/>
      <c r="X17" s="736"/>
    </row>
    <row r="18" spans="1:24">
      <c r="A18" s="188">
        <v>3</v>
      </c>
      <c r="C18" s="249" t="s">
        <v>24</v>
      </c>
      <c r="D18" s="309">
        <f>+'C.2'!D17</f>
        <v>83882421.513938576</v>
      </c>
      <c r="E18" s="513"/>
      <c r="F18" s="309">
        <f>'C.2'!O17</f>
        <v>78382354.15325588</v>
      </c>
      <c r="G18" s="309"/>
      <c r="H18" s="309"/>
      <c r="I18" s="309"/>
      <c r="J18" s="309">
        <f>+F18+H18</f>
        <v>78382354.15325588</v>
      </c>
      <c r="K18" s="187"/>
      <c r="L18" s="760"/>
      <c r="M18" s="187"/>
      <c r="O18" s="669"/>
      <c r="P18" s="667"/>
      <c r="Q18" s="187"/>
      <c r="R18" s="748"/>
      <c r="S18" s="751"/>
      <c r="T18" s="748"/>
      <c r="U18" s="736"/>
      <c r="V18" s="736"/>
      <c r="W18" s="736"/>
      <c r="X18" s="736"/>
    </row>
    <row r="19" spans="1:24">
      <c r="A19" s="188">
        <v>4</v>
      </c>
      <c r="C19" s="249" t="s">
        <v>457</v>
      </c>
      <c r="D19" s="309">
        <f>SUM('C.2'!D18:D25)</f>
        <v>28531136.548180934</v>
      </c>
      <c r="E19" s="513"/>
      <c r="F19" s="309">
        <f>SUM('C.2'!O18:O25)</f>
        <v>27221546.353791106</v>
      </c>
      <c r="G19" s="309"/>
      <c r="H19" s="309">
        <f>+(H15*H.1!E19)</f>
        <v>44624.160000000003</v>
      </c>
      <c r="I19" s="309"/>
      <c r="J19" s="309">
        <f>+F19+H19</f>
        <v>27266170.513791107</v>
      </c>
      <c r="K19" s="187"/>
      <c r="L19" s="760"/>
      <c r="M19" s="667"/>
      <c r="N19" s="742"/>
      <c r="O19" s="669"/>
      <c r="P19" s="667"/>
      <c r="Q19" s="187"/>
      <c r="R19" s="748"/>
      <c r="S19" s="751"/>
      <c r="T19" s="748"/>
      <c r="U19" s="736"/>
      <c r="V19" s="736"/>
      <c r="W19" s="736"/>
      <c r="X19" s="736"/>
    </row>
    <row r="20" spans="1:24">
      <c r="A20" s="188">
        <v>5</v>
      </c>
      <c r="C20" s="180" t="s">
        <v>1051</v>
      </c>
      <c r="D20" s="309">
        <f>+'C.2'!D26</f>
        <v>20643161.685444809</v>
      </c>
      <c r="E20" s="513"/>
      <c r="F20" s="309">
        <f>+'C.2'!O26</f>
        <v>15749357.714761427</v>
      </c>
      <c r="G20" s="524"/>
      <c r="H20" s="309"/>
      <c r="I20" s="524"/>
      <c r="J20" s="524">
        <f>+F20+H20</f>
        <v>15749357.714761427</v>
      </c>
      <c r="K20" s="187"/>
      <c r="L20" s="760"/>
      <c r="M20" s="187"/>
      <c r="N20" s="743"/>
      <c r="O20" s="669"/>
      <c r="P20" s="667"/>
      <c r="Q20" s="187"/>
      <c r="R20" s="748"/>
      <c r="S20" s="751"/>
      <c r="T20" s="748"/>
      <c r="U20" s="736"/>
      <c r="V20" s="736"/>
      <c r="W20" s="736"/>
      <c r="X20" s="736"/>
    </row>
    <row r="21" spans="1:24">
      <c r="A21" s="188">
        <v>6</v>
      </c>
      <c r="C21" s="180" t="s">
        <v>626</v>
      </c>
      <c r="D21" s="309">
        <f>+'C.2'!D27</f>
        <v>6491573.604999451</v>
      </c>
      <c r="E21" s="513"/>
      <c r="F21" s="309">
        <f>+'C.2'!O27</f>
        <v>7449243.0489659142</v>
      </c>
      <c r="G21" s="524"/>
      <c r="H21" s="309">
        <f>(H15*H.1!E21)</f>
        <v>17849.664000000001</v>
      </c>
      <c r="I21" s="524"/>
      <c r="J21" s="524">
        <f>+F21+H21</f>
        <v>7467092.712965914</v>
      </c>
      <c r="K21" s="187"/>
      <c r="L21" s="760"/>
      <c r="M21" s="667"/>
      <c r="N21" s="742"/>
      <c r="O21" s="669"/>
      <c r="P21" s="667"/>
      <c r="Q21" s="187"/>
      <c r="R21" s="748"/>
      <c r="S21" s="751"/>
      <c r="T21" s="748"/>
      <c r="U21" s="736"/>
      <c r="V21" s="736"/>
      <c r="W21" s="736"/>
      <c r="X21" s="736"/>
    </row>
    <row r="22" spans="1:24">
      <c r="A22" s="188">
        <v>7</v>
      </c>
      <c r="C22" s="180"/>
      <c r="D22" s="406"/>
      <c r="E22" s="406"/>
      <c r="F22" s="524"/>
      <c r="G22" s="524"/>
      <c r="H22" s="309"/>
      <c r="I22" s="524"/>
      <c r="J22" s="524"/>
      <c r="K22" s="187"/>
      <c r="L22" s="754"/>
      <c r="M22" s="187"/>
      <c r="O22" s="669"/>
      <c r="P22" s="667"/>
      <c r="Q22" s="187"/>
      <c r="R22" s="752"/>
      <c r="S22" s="752"/>
      <c r="T22" s="753"/>
      <c r="U22" s="736"/>
      <c r="V22" s="736"/>
      <c r="W22" s="736"/>
      <c r="X22" s="736"/>
    </row>
    <row r="23" spans="1:24">
      <c r="A23" s="188">
        <v>8</v>
      </c>
      <c r="C23" s="180" t="s">
        <v>304</v>
      </c>
      <c r="D23" s="525">
        <f>+E!E23</f>
        <v>6320921.5391450496</v>
      </c>
      <c r="E23" s="406"/>
      <c r="F23" s="525">
        <f>E!G23</f>
        <v>7855097.8686497556</v>
      </c>
      <c r="G23" s="524"/>
      <c r="H23" s="525">
        <f>((+H15-H19-H21)*0.05)+((+H15-H19-H21-((+H15-H19-H21)*0.05))*0.21)</f>
        <v>2211158.3649119996</v>
      </c>
      <c r="I23" s="524"/>
      <c r="J23" s="526">
        <f>+F23+H23</f>
        <v>10066256.233561754</v>
      </c>
      <c r="K23" s="187"/>
      <c r="L23" s="760"/>
      <c r="M23" s="187"/>
      <c r="N23" s="187"/>
      <c r="O23" s="669"/>
      <c r="P23" s="667"/>
      <c r="Q23" s="187"/>
      <c r="R23" s="748"/>
      <c r="S23" s="751"/>
      <c r="T23" s="748"/>
      <c r="U23" s="736"/>
      <c r="V23" s="736"/>
      <c r="W23" s="736"/>
      <c r="X23" s="736"/>
    </row>
    <row r="24" spans="1:24">
      <c r="A24" s="188">
        <v>9</v>
      </c>
      <c r="C24" s="180" t="s">
        <v>1120</v>
      </c>
      <c r="D24" s="476">
        <f>SUM(D18:D23)</f>
        <v>145869214.89170882</v>
      </c>
      <c r="F24" s="307">
        <f>SUM(F18:F23)</f>
        <v>136657599.13942409</v>
      </c>
      <c r="G24" s="187"/>
      <c r="H24" s="476">
        <f>SUM(H18:H23)</f>
        <v>2273632.1889119996</v>
      </c>
      <c r="I24" s="187"/>
      <c r="J24" s="476">
        <f>SUM(J18:J23)</f>
        <v>138931231.32833609</v>
      </c>
      <c r="K24" s="187"/>
      <c r="L24" s="760"/>
      <c r="M24" s="187"/>
      <c r="N24" s="187"/>
      <c r="O24" s="669"/>
      <c r="P24" s="667"/>
      <c r="Q24" s="187"/>
      <c r="R24" s="748"/>
      <c r="S24" s="751"/>
      <c r="T24" s="748"/>
      <c r="U24" s="736"/>
      <c r="V24" s="736"/>
      <c r="W24" s="736"/>
      <c r="X24" s="736"/>
    </row>
    <row r="25" spans="1:24">
      <c r="D25" s="187"/>
      <c r="F25" s="223"/>
      <c r="G25" s="187"/>
      <c r="H25" s="187"/>
      <c r="I25" s="187"/>
      <c r="J25" s="187"/>
      <c r="K25" s="187"/>
      <c r="L25" s="754"/>
      <c r="M25" s="187"/>
      <c r="N25" s="187"/>
      <c r="O25" s="668"/>
      <c r="P25" s="667"/>
      <c r="Q25" s="187"/>
      <c r="R25" s="748"/>
      <c r="S25" s="751"/>
      <c r="T25" s="748"/>
      <c r="U25" s="736"/>
      <c r="V25" s="736"/>
      <c r="W25" s="736"/>
      <c r="X25" s="736"/>
    </row>
    <row r="26" spans="1:24" ht="15.75" thickBot="1">
      <c r="A26" s="188">
        <v>10</v>
      </c>
      <c r="C26" s="180" t="s">
        <v>793</v>
      </c>
      <c r="D26" s="522">
        <f>D15-D24</f>
        <v>27501681.937349081</v>
      </c>
      <c r="F26" s="523">
        <f>F15-F24</f>
        <v>33060266.6975317</v>
      </c>
      <c r="G26" s="187"/>
      <c r="H26" s="523">
        <f>H15-H24</f>
        <v>6651199.8110880004</v>
      </c>
      <c r="I26" s="187"/>
      <c r="J26" s="522">
        <f>J15-J24</f>
        <v>39711466.508619696</v>
      </c>
      <c r="K26" s="187"/>
      <c r="L26" s="760"/>
      <c r="M26" s="187"/>
      <c r="N26" s="187"/>
      <c r="O26" s="669"/>
      <c r="P26" s="667"/>
      <c r="Q26" s="187"/>
      <c r="R26" s="748"/>
      <c r="S26" s="751"/>
      <c r="T26" s="748"/>
      <c r="U26" s="736"/>
      <c r="V26" s="736"/>
      <c r="W26" s="736"/>
      <c r="X26" s="736"/>
    </row>
    <row r="27" spans="1:24" ht="15.75" thickTop="1">
      <c r="F27" s="223"/>
      <c r="G27" s="187"/>
      <c r="H27" s="187"/>
      <c r="I27" s="187"/>
      <c r="J27" s="187"/>
      <c r="K27" s="187"/>
      <c r="L27" s="754"/>
      <c r="M27" s="187"/>
      <c r="N27" s="187"/>
      <c r="O27" s="187"/>
      <c r="P27" s="187"/>
      <c r="Q27" s="187"/>
      <c r="R27" s="736"/>
      <c r="S27" s="752"/>
      <c r="T27" s="750"/>
      <c r="U27" s="736"/>
      <c r="V27" s="736"/>
      <c r="W27" s="736"/>
      <c r="X27" s="736"/>
    </row>
    <row r="28" spans="1:24">
      <c r="A28" s="188">
        <v>11</v>
      </c>
      <c r="C28" s="180" t="s">
        <v>271</v>
      </c>
      <c r="D28" s="309">
        <f>+'B.1 B'!F27</f>
        <v>414060907.81372249</v>
      </c>
      <c r="E28" s="406"/>
      <c r="F28" s="309">
        <f>+'B.1 F '!F27</f>
        <v>499515227.74746406</v>
      </c>
      <c r="G28" s="524"/>
      <c r="H28" s="524"/>
      <c r="I28" s="524"/>
      <c r="J28" s="524">
        <f>+'B.1 F '!F27</f>
        <v>499515227.74746406</v>
      </c>
      <c r="K28" s="187"/>
      <c r="L28" s="754"/>
      <c r="M28" s="187"/>
      <c r="N28" s="187"/>
      <c r="O28" s="187"/>
      <c r="P28" s="187"/>
      <c r="Q28" s="187"/>
      <c r="R28" s="748"/>
      <c r="S28" s="752"/>
      <c r="T28" s="748"/>
      <c r="U28" s="736"/>
      <c r="V28" s="736"/>
      <c r="W28" s="736"/>
      <c r="X28" s="736"/>
    </row>
    <row r="29" spans="1:24"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736"/>
      <c r="S29" s="736"/>
      <c r="T29" s="754"/>
      <c r="U29" s="736"/>
      <c r="V29" s="736"/>
      <c r="W29" s="736"/>
      <c r="X29" s="736"/>
    </row>
    <row r="30" spans="1:24">
      <c r="A30" s="188">
        <v>12</v>
      </c>
      <c r="C30" s="180" t="s">
        <v>737</v>
      </c>
      <c r="D30" s="303">
        <f>(D26/D28)</f>
        <v>6.6419411778234141E-2</v>
      </c>
      <c r="F30" s="303">
        <f>(F26/F28)</f>
        <v>6.6184702409604446E-2</v>
      </c>
      <c r="H30" s="227"/>
      <c r="J30" s="303">
        <f>(J26/J28)</f>
        <v>7.950001181684957E-2</v>
      </c>
      <c r="K30" s="187"/>
      <c r="L30" s="187"/>
      <c r="M30" s="187"/>
      <c r="R30" s="755"/>
      <c r="S30" s="736"/>
      <c r="T30" s="755"/>
      <c r="U30" s="736"/>
      <c r="V30" s="755"/>
      <c r="W30" s="755"/>
      <c r="X30" s="755"/>
    </row>
    <row r="31" spans="1:24">
      <c r="F31" s="187"/>
      <c r="H31" s="227"/>
      <c r="J31" s="187"/>
      <c r="K31" s="187"/>
      <c r="L31" s="187"/>
      <c r="M31" s="187"/>
      <c r="R31" s="736"/>
      <c r="S31" s="736"/>
      <c r="T31" s="736"/>
      <c r="U31" s="736"/>
      <c r="V31" s="736"/>
      <c r="W31" s="736"/>
      <c r="X31" s="736"/>
    </row>
    <row r="32" spans="1:24">
      <c r="F32" s="187"/>
      <c r="H32" s="187"/>
      <c r="J32" s="187"/>
      <c r="K32" s="187"/>
      <c r="L32" s="187"/>
      <c r="M32" s="187"/>
      <c r="R32" s="736"/>
      <c r="S32" s="736"/>
      <c r="T32" s="736"/>
      <c r="U32" s="736"/>
      <c r="V32" s="736"/>
      <c r="W32" s="736"/>
      <c r="X32" s="736"/>
    </row>
    <row r="33" spans="3:24">
      <c r="C33" s="672"/>
      <c r="D33" s="673"/>
      <c r="E33" s="673"/>
      <c r="F33" s="673"/>
      <c r="G33" s="673"/>
      <c r="H33" s="673"/>
      <c r="I33" s="673"/>
      <c r="J33" s="673"/>
      <c r="K33" s="187"/>
      <c r="L33" s="187"/>
      <c r="M33" s="187"/>
      <c r="R33" s="736"/>
      <c r="S33" s="736"/>
      <c r="T33" s="736"/>
      <c r="U33" s="736"/>
      <c r="V33" s="736"/>
      <c r="W33" s="736"/>
      <c r="X33" s="736"/>
    </row>
    <row r="34" spans="3:24">
      <c r="F34" s="187"/>
      <c r="K34" s="187"/>
      <c r="L34" s="187"/>
      <c r="M34" s="187"/>
    </row>
    <row r="35" spans="3:24">
      <c r="F35" s="187"/>
      <c r="K35" s="187"/>
      <c r="L35" s="187"/>
      <c r="M35" s="187"/>
    </row>
  </sheetData>
  <mergeCells count="4">
    <mergeCell ref="A1:J1"/>
    <mergeCell ref="A2:J2"/>
    <mergeCell ref="A3:J3"/>
    <mergeCell ref="A4:J4"/>
  </mergeCells>
  <phoneticPr fontId="22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70" zoomScaleNormal="90" zoomScaleSheetLayoutView="70" workbookViewId="0">
      <selection activeCell="M38" sqref="M38"/>
    </sheetView>
  </sheetViews>
  <sheetFormatPr defaultColWidth="7.109375" defaultRowHeight="15"/>
  <cols>
    <col min="1" max="1" width="3.5546875" style="40" customWidth="1"/>
    <col min="2" max="2" width="2.21875" style="40" customWidth="1"/>
    <col min="3" max="3" width="27.5546875" style="40" customWidth="1"/>
    <col min="4" max="4" width="13.109375" style="40" bestFit="1" customWidth="1"/>
    <col min="5" max="5" width="1.33203125" style="40" customWidth="1"/>
    <col min="6" max="6" width="12.6640625" style="40" customWidth="1"/>
    <col min="7" max="7" width="6.21875" style="40" bestFit="1" customWidth="1"/>
    <col min="8" max="8" width="7.33203125" style="40" customWidth="1"/>
    <col min="9" max="9" width="6" style="40" customWidth="1"/>
    <col min="10" max="10" width="1.44140625" style="40" customWidth="1"/>
    <col min="11" max="11" width="12.88671875" style="40" customWidth="1"/>
    <col min="12" max="12" width="1.44140625" style="40" customWidth="1"/>
    <col min="13" max="13" width="11.5546875" style="40" customWidth="1"/>
    <col min="14" max="14" width="17.6640625" style="40" customWidth="1"/>
    <col min="15" max="15" width="13.44140625" style="40" customWidth="1"/>
    <col min="16" max="16" width="11.77734375" style="40" bestFit="1" customWidth="1"/>
    <col min="17" max="17" width="2.109375" style="40" customWidth="1"/>
    <col min="18" max="18" width="8.5546875" style="40" customWidth="1"/>
    <col min="19" max="21" width="7.109375" style="40"/>
    <col min="22" max="22" width="8" style="40" bestFit="1" customWidth="1"/>
    <col min="23" max="23" width="9.21875" style="40" customWidth="1"/>
    <col min="24" max="16384" width="7.109375" style="40"/>
  </cols>
  <sheetData>
    <row r="1" spans="1:20" s="1" customFormat="1">
      <c r="A1" s="1213" t="str">
        <f>'Table of Contents'!A1:C1</f>
        <v>Atmos Energy Corporation, Kentucky/Mid-States Division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</row>
    <row r="2" spans="1:20" s="1" customFormat="1">
      <c r="A2" s="1213" t="str">
        <f>'Table of Contents'!A2:C2</f>
        <v>Kentucky Jurisdiction Case No. 2018-00281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O2" s="1213"/>
    </row>
    <row r="3" spans="1:20" s="1" customFormat="1">
      <c r="A3" s="1213" t="s">
        <v>398</v>
      </c>
      <c r="B3" s="1213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3"/>
      <c r="N3" s="1213"/>
      <c r="O3" s="1213"/>
    </row>
    <row r="4" spans="1:20" s="1" customFormat="1">
      <c r="A4" s="1213" t="str">
        <f>'Table of Contents'!A3:C3</f>
        <v>Base Period: Twelve Months Ended December 31, 2018</v>
      </c>
      <c r="B4" s="1213"/>
      <c r="C4" s="1213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</row>
    <row r="5" spans="1:20" s="1" customFormat="1">
      <c r="A5" s="1213" t="str">
        <f>'Table of Contents'!A4:C4</f>
        <v>Forecasted Test Period: Twelve Months Ended March 31, 2020</v>
      </c>
      <c r="B5" s="1213"/>
      <c r="C5" s="1213"/>
      <c r="D5" s="1213"/>
      <c r="E5" s="1213"/>
      <c r="F5" s="1213"/>
      <c r="G5" s="1213"/>
      <c r="H5" s="1213"/>
      <c r="I5" s="1213"/>
      <c r="J5" s="1213"/>
      <c r="K5" s="1213"/>
      <c r="L5" s="1213"/>
      <c r="M5" s="1213"/>
      <c r="N5" s="1213"/>
      <c r="O5" s="1213"/>
    </row>
    <row r="6" spans="1:20" s="1" customFormat="1">
      <c r="C6" s="250"/>
    </row>
    <row r="7" spans="1:20" s="1" customFormat="1">
      <c r="A7" s="4" t="str">
        <f>'C.1'!A7</f>
        <v>Data:__X____Base Period___X___Forecasted Period</v>
      </c>
      <c r="K7" s="251"/>
      <c r="O7" s="376" t="s">
        <v>1428</v>
      </c>
    </row>
    <row r="8" spans="1:20" s="1" customFormat="1">
      <c r="A8" s="4" t="str">
        <f>'C.1'!A8</f>
        <v>Type of Filing:___X____Original________Updated ________Revised</v>
      </c>
      <c r="K8" s="251"/>
      <c r="O8" s="491" t="s">
        <v>266</v>
      </c>
    </row>
    <row r="9" spans="1:20" s="1" customFormat="1">
      <c r="A9" s="51" t="str">
        <f>'C.1'!A9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252"/>
      <c r="L9" s="6"/>
      <c r="M9" s="33"/>
      <c r="N9" s="33"/>
      <c r="O9" s="492" t="str">
        <f>'C.1'!J9</f>
        <v>Witness: Waller, Densman</v>
      </c>
    </row>
    <row r="10" spans="1:20">
      <c r="A10" s="1"/>
      <c r="B10" s="1"/>
      <c r="C10" s="1"/>
      <c r="D10" s="2" t="s">
        <v>1127</v>
      </c>
      <c r="E10" s="1"/>
      <c r="F10" s="1"/>
      <c r="G10" s="253"/>
      <c r="H10" s="78" t="s">
        <v>1359</v>
      </c>
      <c r="K10" s="188" t="s">
        <v>43</v>
      </c>
      <c r="O10" s="78" t="s">
        <v>128</v>
      </c>
    </row>
    <row r="11" spans="1:20">
      <c r="A11" s="205" t="s">
        <v>93</v>
      </c>
      <c r="C11" s="188" t="s">
        <v>1130</v>
      </c>
      <c r="D11" s="205" t="s">
        <v>739</v>
      </c>
      <c r="F11" s="78" t="s">
        <v>450</v>
      </c>
      <c r="G11" s="78" t="s">
        <v>448</v>
      </c>
      <c r="H11" s="188" t="s">
        <v>1360</v>
      </c>
      <c r="I11" s="78" t="s">
        <v>448</v>
      </c>
      <c r="K11" s="205" t="s">
        <v>739</v>
      </c>
      <c r="M11" s="78" t="s">
        <v>127</v>
      </c>
      <c r="N11" s="78" t="s">
        <v>448</v>
      </c>
      <c r="O11" s="78" t="s">
        <v>129</v>
      </c>
    </row>
    <row r="12" spans="1:20">
      <c r="A12" s="254" t="s">
        <v>99</v>
      </c>
      <c r="B12" s="190"/>
      <c r="C12" s="254" t="s">
        <v>1129</v>
      </c>
      <c r="D12" s="228" t="s">
        <v>1128</v>
      </c>
      <c r="E12" s="190"/>
      <c r="F12" s="228" t="s">
        <v>987</v>
      </c>
      <c r="G12" s="255" t="s">
        <v>449</v>
      </c>
      <c r="H12" s="228" t="s">
        <v>1361</v>
      </c>
      <c r="I12" s="255" t="s">
        <v>449</v>
      </c>
      <c r="J12" s="190"/>
      <c r="K12" s="228" t="s">
        <v>1128</v>
      </c>
      <c r="L12" s="190"/>
      <c r="M12" s="429" t="s">
        <v>987</v>
      </c>
      <c r="N12" s="255" t="s">
        <v>449</v>
      </c>
      <c r="O12" s="222" t="s">
        <v>988</v>
      </c>
    </row>
    <row r="13" spans="1:20">
      <c r="C13" s="15"/>
      <c r="D13" s="188"/>
      <c r="F13" s="188"/>
      <c r="H13" s="188"/>
      <c r="K13" s="209"/>
      <c r="M13" s="764"/>
      <c r="O13" s="188"/>
    </row>
    <row r="14" spans="1:20">
      <c r="A14" s="256">
        <v>1</v>
      </c>
      <c r="C14" s="180" t="s">
        <v>738</v>
      </c>
      <c r="D14" s="527">
        <f>+'C.2.1 B'!D33</f>
        <v>173370896.8290579</v>
      </c>
      <c r="E14" s="195"/>
      <c r="F14" s="307">
        <f>+K14-D14</f>
        <v>-3653030.9921021163</v>
      </c>
      <c r="G14" s="264" t="s">
        <v>1065</v>
      </c>
      <c r="H14" s="223"/>
      <c r="I14" s="195"/>
      <c r="J14" s="195"/>
      <c r="K14" s="527">
        <f>'C.2.1 F'!D28</f>
        <v>169717865.83695579</v>
      </c>
      <c r="L14" s="259"/>
      <c r="M14" s="307">
        <v>0</v>
      </c>
      <c r="N14" s="259"/>
      <c r="O14" s="307">
        <f>+K14+M14</f>
        <v>169717865.83695579</v>
      </c>
      <c r="P14" s="257"/>
    </row>
    <row r="15" spans="1:20">
      <c r="A15" s="234">
        <v>2</v>
      </c>
      <c r="C15" s="253"/>
      <c r="D15" s="259"/>
      <c r="E15" s="195"/>
      <c r="F15" s="259"/>
      <c r="G15" s="259"/>
      <c r="H15" s="259"/>
      <c r="I15" s="195"/>
      <c r="J15" s="195"/>
      <c r="K15" s="259"/>
      <c r="L15" s="259"/>
      <c r="M15" s="465"/>
      <c r="N15" s="259"/>
      <c r="O15" s="465"/>
      <c r="P15" s="257"/>
    </row>
    <row r="16" spans="1:20">
      <c r="A16" s="256">
        <v>3</v>
      </c>
      <c r="C16" s="180" t="s">
        <v>990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465"/>
      <c r="N16" s="195"/>
      <c r="O16" s="465"/>
      <c r="P16" s="257"/>
      <c r="Q16" s="227"/>
      <c r="S16" s="227"/>
      <c r="T16" s="257"/>
    </row>
    <row r="17" spans="1:23">
      <c r="A17" s="234">
        <v>4</v>
      </c>
      <c r="C17" s="249" t="s">
        <v>24</v>
      </c>
      <c r="D17" s="397">
        <f>+'C.2.1 B'!D105</f>
        <v>83882421.513938576</v>
      </c>
      <c r="E17" s="195"/>
      <c r="F17" s="309">
        <f t="shared" ref="F17:F28" si="0">+K17-D17-H17</f>
        <v>-5500067.3606826961</v>
      </c>
      <c r="G17" s="264" t="s">
        <v>1065</v>
      </c>
      <c r="H17" s="223"/>
      <c r="I17" s="195"/>
      <c r="J17" s="195"/>
      <c r="K17" s="397">
        <f>'C.2.1 F'!D100</f>
        <v>78382354.15325588</v>
      </c>
      <c r="L17" s="259"/>
      <c r="M17" s="309">
        <v>0</v>
      </c>
      <c r="N17" s="259"/>
      <c r="O17" s="309">
        <f t="shared" ref="O17:O22" si="1">+K17+M17</f>
        <v>78382354.15325588</v>
      </c>
      <c r="P17" s="257"/>
      <c r="Q17" s="227"/>
      <c r="S17" s="227"/>
      <c r="T17" s="257"/>
    </row>
    <row r="18" spans="1:23">
      <c r="A18" s="256">
        <v>5</v>
      </c>
      <c r="C18" s="249" t="s">
        <v>635</v>
      </c>
      <c r="D18" s="528">
        <f>+'C.2.1 B'!D39+'C.2.1 B'!D43</f>
        <v>0</v>
      </c>
      <c r="E18" s="195"/>
      <c r="F18" s="309">
        <f t="shared" si="0"/>
        <v>0</v>
      </c>
      <c r="G18" s="264" t="s">
        <v>1065</v>
      </c>
      <c r="H18" s="223"/>
      <c r="I18" s="195"/>
      <c r="J18" s="195"/>
      <c r="K18" s="397">
        <f>'C.2.1 F'!D34+'C.2.1 F'!D38</f>
        <v>0</v>
      </c>
      <c r="L18" s="223"/>
      <c r="M18" s="309">
        <v>0</v>
      </c>
      <c r="N18" s="223"/>
      <c r="O18" s="309">
        <f t="shared" si="1"/>
        <v>0</v>
      </c>
      <c r="P18" s="257"/>
    </row>
    <row r="19" spans="1:23">
      <c r="A19" s="234">
        <v>6</v>
      </c>
      <c r="C19" s="249" t="s">
        <v>636</v>
      </c>
      <c r="D19" s="528">
        <f>+'C.2.1 B'!D55+'C.2.1 B'!D65</f>
        <v>539682.66478999029</v>
      </c>
      <c r="E19" s="195"/>
      <c r="F19" s="309">
        <f t="shared" si="0"/>
        <v>-50768.555080897408</v>
      </c>
      <c r="G19" s="264" t="s">
        <v>1065</v>
      </c>
      <c r="H19" s="223"/>
      <c r="I19" s="195"/>
      <c r="J19" s="195"/>
      <c r="K19" s="397">
        <f>'C.2.1 F'!D50+'C.2.1 F'!D60</f>
        <v>488914.10970909288</v>
      </c>
      <c r="L19" s="223"/>
      <c r="M19" s="309">
        <v>0</v>
      </c>
      <c r="N19" s="223"/>
      <c r="O19" s="309">
        <f t="shared" si="1"/>
        <v>488914.10970909288</v>
      </c>
      <c r="P19" s="257"/>
    </row>
    <row r="20" spans="1:23">
      <c r="A20" s="256">
        <v>7</v>
      </c>
      <c r="C20" s="249" t="s">
        <v>651</v>
      </c>
      <c r="D20" s="528">
        <f>+'C.2.1 B'!D75+'C.2.1 B'!D83</f>
        <v>441600.8811526646</v>
      </c>
      <c r="E20" s="195"/>
      <c r="F20" s="309">
        <f t="shared" si="0"/>
        <v>-31497.831568195019</v>
      </c>
      <c r="G20" s="264" t="s">
        <v>1065</v>
      </c>
      <c r="H20" s="223"/>
      <c r="I20" s="195"/>
      <c r="J20" s="195"/>
      <c r="K20" s="397">
        <f>'C.2.1 F'!D70+'C.2.1 F'!D78</f>
        <v>410103.04958446958</v>
      </c>
      <c r="L20" s="223"/>
      <c r="M20" s="309">
        <v>0</v>
      </c>
      <c r="N20" s="223"/>
      <c r="O20" s="309">
        <f t="shared" si="1"/>
        <v>410103.04958446958</v>
      </c>
      <c r="P20" s="257"/>
      <c r="R20" s="592"/>
      <c r="S20" s="592"/>
      <c r="T20" s="592"/>
      <c r="U20" s="592"/>
      <c r="V20" s="592"/>
      <c r="W20" s="592"/>
    </row>
    <row r="21" spans="1:23">
      <c r="A21" s="234">
        <v>8</v>
      </c>
      <c r="C21" s="261" t="s">
        <v>672</v>
      </c>
      <c r="D21" s="528">
        <f>+'C.2.1 B'!D120+'C.2.1 B'!D133</f>
        <v>8276854.1339959856</v>
      </c>
      <c r="E21" s="195"/>
      <c r="F21" s="309">
        <f t="shared" si="0"/>
        <v>-931313.33312605508</v>
      </c>
      <c r="G21" s="264" t="s">
        <v>1065</v>
      </c>
      <c r="H21" s="223"/>
      <c r="I21" s="461" t="s">
        <v>775</v>
      </c>
      <c r="J21" s="195"/>
      <c r="K21" s="529">
        <f>'C.2.1 F'!D115+'C.2.1 F'!D128</f>
        <v>7345540.8008699305</v>
      </c>
      <c r="L21" s="223"/>
      <c r="M21" s="309">
        <v>-3435</v>
      </c>
      <c r="N21" s="238" t="s">
        <v>1726</v>
      </c>
      <c r="O21" s="309">
        <f t="shared" si="1"/>
        <v>7342105.8008699305</v>
      </c>
      <c r="P21" s="257"/>
      <c r="R21" s="592"/>
      <c r="S21" s="592"/>
      <c r="T21" s="592"/>
      <c r="U21" s="592"/>
      <c r="V21" s="592"/>
      <c r="W21" s="592"/>
    </row>
    <row r="22" spans="1:23">
      <c r="A22" s="256">
        <v>9</v>
      </c>
      <c r="C22" s="261" t="s">
        <v>70</v>
      </c>
      <c r="D22" s="528">
        <f>+'C.2.1 B'!D140</f>
        <v>2960696.6046877503</v>
      </c>
      <c r="E22" s="195"/>
      <c r="F22" s="309">
        <f t="shared" si="0"/>
        <v>-313796.68787766434</v>
      </c>
      <c r="G22" s="264" t="s">
        <v>1065</v>
      </c>
      <c r="H22" s="223"/>
      <c r="I22" s="461" t="s">
        <v>775</v>
      </c>
      <c r="J22" s="195"/>
      <c r="K22" s="397">
        <f>'C.2.1 F'!D135</f>
        <v>2646899.916810086</v>
      </c>
      <c r="L22" s="223"/>
      <c r="M22" s="309">
        <v>0</v>
      </c>
      <c r="N22" s="223"/>
      <c r="O22" s="309">
        <f t="shared" si="1"/>
        <v>2646899.916810086</v>
      </c>
      <c r="P22" s="257"/>
      <c r="R22" s="592"/>
      <c r="S22" s="592"/>
      <c r="T22" s="681"/>
      <c r="U22" s="592"/>
      <c r="V22" s="592"/>
      <c r="W22" s="592"/>
    </row>
    <row r="23" spans="1:23">
      <c r="A23" s="234">
        <v>10</v>
      </c>
      <c r="C23" s="249" t="s">
        <v>71</v>
      </c>
      <c r="D23" s="397">
        <f>+'C.2.1 B'!D147</f>
        <v>129522.85695117761</v>
      </c>
      <c r="E23" s="195"/>
      <c r="F23" s="309">
        <f t="shared" si="0"/>
        <v>-1251.2097712724935</v>
      </c>
      <c r="G23" s="264" t="s">
        <v>1065</v>
      </c>
      <c r="H23" s="223"/>
      <c r="I23" s="461" t="s">
        <v>775</v>
      </c>
      <c r="J23" s="195"/>
      <c r="K23" s="397">
        <f>'C.2.1 F'!D142</f>
        <v>128271.64717990512</v>
      </c>
      <c r="L23" s="259"/>
      <c r="M23" s="309">
        <v>0</v>
      </c>
      <c r="N23" s="238"/>
      <c r="O23" s="309">
        <f>+K23+M23</f>
        <v>128271.64717990512</v>
      </c>
      <c r="P23" s="257"/>
      <c r="R23" s="592"/>
      <c r="S23" s="592"/>
      <c r="T23" s="682"/>
      <c r="U23" s="592"/>
      <c r="V23" s="592"/>
      <c r="W23" s="592"/>
    </row>
    <row r="24" spans="1:23">
      <c r="A24" s="256">
        <v>11</v>
      </c>
      <c r="C24" s="261" t="s">
        <v>494</v>
      </c>
      <c r="D24" s="397">
        <f>+'C.2.1 B'!D154</f>
        <v>440891.9991608829</v>
      </c>
      <c r="E24" s="195"/>
      <c r="F24" s="309">
        <f t="shared" si="0"/>
        <v>-36316.869686736609</v>
      </c>
      <c r="G24" s="264" t="s">
        <v>1065</v>
      </c>
      <c r="H24" s="223"/>
      <c r="I24" s="461" t="s">
        <v>775</v>
      </c>
      <c r="J24" s="195"/>
      <c r="K24" s="397">
        <f>'C.2.1 F'!D149</f>
        <v>404575.12947414629</v>
      </c>
      <c r="L24" s="259"/>
      <c r="M24" s="309">
        <f>-F.4!K29</f>
        <v>-196297.42596782028</v>
      </c>
      <c r="N24" s="238" t="s">
        <v>553</v>
      </c>
      <c r="O24" s="309">
        <f>+K24+M24</f>
        <v>208277.70350632601</v>
      </c>
      <c r="P24" s="257"/>
      <c r="R24" s="592"/>
      <c r="S24" s="592"/>
      <c r="T24" s="682"/>
      <c r="U24" s="592"/>
      <c r="V24" s="592"/>
      <c r="W24" s="592"/>
    </row>
    <row r="25" spans="1:23">
      <c r="A25" s="234">
        <v>12</v>
      </c>
      <c r="C25" s="261" t="s">
        <v>495</v>
      </c>
      <c r="D25" s="397">
        <f>+'C.2.1 B'!D168+'C.2.1 B'!D172</f>
        <v>15741887.407442484</v>
      </c>
      <c r="E25" s="195"/>
      <c r="F25" s="309">
        <f t="shared" si="0"/>
        <v>1848941.1361151151</v>
      </c>
      <c r="G25" s="264" t="s">
        <v>1065</v>
      </c>
      <c r="H25" s="223"/>
      <c r="I25" s="461" t="s">
        <v>775</v>
      </c>
      <c r="J25" s="195"/>
      <c r="K25" s="397">
        <f>'C.2.1 F'!D163+'C.2.1 F'!D167</f>
        <v>17590828.543557599</v>
      </c>
      <c r="L25" s="259"/>
      <c r="M25" s="309">
        <f>F.6!R39-F.8!I24+F.9!G20-F.10!F41-F.11!F19</f>
        <v>-1593854.417426303</v>
      </c>
      <c r="N25" s="238" t="s">
        <v>1691</v>
      </c>
      <c r="O25" s="309">
        <f>+K25+M25</f>
        <v>15996974.126131296</v>
      </c>
      <c r="P25" s="257"/>
      <c r="Q25" s="227"/>
      <c r="R25" s="592"/>
      <c r="S25" s="592"/>
      <c r="T25" s="682"/>
      <c r="U25" s="592"/>
      <c r="V25" s="592"/>
      <c r="W25" s="592"/>
    </row>
    <row r="26" spans="1:23">
      <c r="A26" s="256">
        <v>13</v>
      </c>
      <c r="C26" s="263" t="s">
        <v>91</v>
      </c>
      <c r="D26" s="397">
        <f>+'C.2.1 B'!D176</f>
        <v>20643161.685444809</v>
      </c>
      <c r="E26" s="195"/>
      <c r="F26" s="309">
        <f t="shared" si="0"/>
        <v>-4893803.9706833828</v>
      </c>
      <c r="G26" s="264" t="s">
        <v>1065</v>
      </c>
      <c r="H26" s="223"/>
      <c r="I26" s="195"/>
      <c r="J26" s="195"/>
      <c r="K26" s="397">
        <f>'C.2.1 F'!D171</f>
        <v>15749357.714761427</v>
      </c>
      <c r="L26" s="259"/>
      <c r="M26" s="309">
        <f>O26-K26</f>
        <v>0</v>
      </c>
      <c r="N26" s="259"/>
      <c r="O26" s="397">
        <f>'C.2.1 F'!D171</f>
        <v>15749357.714761427</v>
      </c>
      <c r="P26" s="257"/>
      <c r="Q26" s="227"/>
      <c r="R26" s="592"/>
      <c r="S26" s="683"/>
      <c r="T26" s="682"/>
      <c r="U26" s="592"/>
      <c r="V26" s="592"/>
      <c r="W26" s="592"/>
    </row>
    <row r="27" spans="1:23">
      <c r="A27" s="234">
        <v>14</v>
      </c>
      <c r="C27" s="261" t="s">
        <v>592</v>
      </c>
      <c r="D27" s="397">
        <f>+'C.2.1 B'!D178</f>
        <v>6491573.604999451</v>
      </c>
      <c r="F27" s="524">
        <f t="shared" si="0"/>
        <v>1020263.3276447244</v>
      </c>
      <c r="G27" s="258" t="s">
        <v>1065</v>
      </c>
      <c r="H27" s="187"/>
      <c r="K27" s="397">
        <f>'C.2.1 F'!D172</f>
        <v>7511836.9326441754</v>
      </c>
      <c r="L27" s="223"/>
      <c r="M27" s="309">
        <f>-F.10!F43</f>
        <v>-62593.883678261293</v>
      </c>
      <c r="N27" s="238" t="s">
        <v>1374</v>
      </c>
      <c r="O27" s="524">
        <f>+K27+M27</f>
        <v>7449243.0489659142</v>
      </c>
      <c r="P27" s="257"/>
      <c r="Q27" s="227"/>
      <c r="S27" s="227"/>
      <c r="T27" s="187"/>
    </row>
    <row r="28" spans="1:23">
      <c r="A28" s="256">
        <v>15</v>
      </c>
      <c r="C28" s="263" t="s">
        <v>567</v>
      </c>
      <c r="D28" s="397">
        <f>+'C.2.1 B'!D179</f>
        <v>6320921.5391450496</v>
      </c>
      <c r="F28" s="524">
        <f t="shared" si="0"/>
        <v>1534176.329504706</v>
      </c>
      <c r="H28" s="187"/>
      <c r="K28" s="397">
        <f>'C.2.1 F'!D173</f>
        <v>7855097.8686497556</v>
      </c>
      <c r="L28" s="259"/>
      <c r="M28" s="397">
        <f>+O28-K28</f>
        <v>0</v>
      </c>
      <c r="N28" s="264"/>
      <c r="O28" s="397">
        <f>+E!G23</f>
        <v>7855097.8686497556</v>
      </c>
      <c r="P28" s="257"/>
      <c r="Q28" s="227"/>
      <c r="S28" s="227"/>
      <c r="T28" s="257"/>
    </row>
    <row r="29" spans="1:23">
      <c r="A29" s="234">
        <v>16</v>
      </c>
      <c r="C29" s="204"/>
      <c r="D29" s="192"/>
      <c r="F29" s="265"/>
      <c r="H29" s="266"/>
      <c r="K29" s="192"/>
      <c r="L29" s="187"/>
      <c r="M29" s="189"/>
      <c r="N29" s="187"/>
      <c r="O29" s="189"/>
      <c r="P29" s="257"/>
    </row>
    <row r="30" spans="1:23">
      <c r="A30" s="256">
        <v>17</v>
      </c>
      <c r="C30" s="220"/>
      <c r="D30" s="187"/>
      <c r="F30" s="187"/>
      <c r="H30" s="187"/>
      <c r="K30" s="187"/>
      <c r="L30" s="187"/>
      <c r="M30" s="260"/>
      <c r="N30" s="187"/>
      <c r="O30" s="260"/>
      <c r="P30" s="257"/>
      <c r="T30" s="262"/>
    </row>
    <row r="31" spans="1:23">
      <c r="A31" s="234">
        <v>18</v>
      </c>
      <c r="C31" s="180" t="s">
        <v>1120</v>
      </c>
      <c r="D31" s="476">
        <f>SUM(D17:D29)</f>
        <v>145869214.89170882</v>
      </c>
      <c r="F31" s="476">
        <f>SUM(F17:F29)</f>
        <v>-7355435.025212355</v>
      </c>
      <c r="H31" s="476">
        <f>SUM(H21:H29)</f>
        <v>0</v>
      </c>
      <c r="K31" s="476">
        <f>SUM(K17:K29)</f>
        <v>138513779.86649644</v>
      </c>
      <c r="L31" s="187"/>
      <c r="M31" s="476">
        <f>SUM(M17:M29)</f>
        <v>-1856180.7270723844</v>
      </c>
      <c r="N31" s="187"/>
      <c r="O31" s="476">
        <f>SUM(O17:O29)</f>
        <v>136657599.13942406</v>
      </c>
      <c r="P31" s="257"/>
    </row>
    <row r="32" spans="1:23">
      <c r="A32" s="256">
        <v>19</v>
      </c>
      <c r="D32" s="257"/>
      <c r="F32" s="257"/>
      <c r="H32" s="257"/>
      <c r="K32" s="257"/>
      <c r="L32" s="257"/>
      <c r="M32" s="257"/>
      <c r="N32" s="257"/>
      <c r="O32" s="257"/>
      <c r="P32" s="257"/>
    </row>
    <row r="33" spans="1:21" ht="15.75" thickBot="1">
      <c r="A33" s="234">
        <v>20</v>
      </c>
      <c r="C33" s="180" t="s">
        <v>1191</v>
      </c>
      <c r="D33" s="522">
        <f>D14-D31</f>
        <v>27501681.937349081</v>
      </c>
      <c r="F33" s="522">
        <f>F14-F31</f>
        <v>3702404.0331102386</v>
      </c>
      <c r="H33" s="522">
        <f>H14-H31</f>
        <v>0</v>
      </c>
      <c r="K33" s="522">
        <f>K14-K31</f>
        <v>31204085.970459342</v>
      </c>
      <c r="L33" s="187"/>
      <c r="M33" s="522">
        <f>M14-M31</f>
        <v>1856180.7270723844</v>
      </c>
      <c r="N33" s="187"/>
      <c r="O33" s="522">
        <f>O14-O31</f>
        <v>33060266.69753173</v>
      </c>
      <c r="P33" s="257"/>
      <c r="Q33" s="227"/>
      <c r="S33" s="227"/>
      <c r="T33" s="187"/>
      <c r="U33" s="187"/>
    </row>
    <row r="34" spans="1:21" ht="15.75" thickTop="1">
      <c r="A34" s="234"/>
      <c r="D34" s="187"/>
      <c r="F34" s="187"/>
      <c r="G34" s="187"/>
      <c r="H34" s="187"/>
      <c r="K34" s="229"/>
      <c r="L34" s="187"/>
      <c r="M34" s="229"/>
      <c r="N34" s="187"/>
      <c r="O34" s="187"/>
      <c r="P34" s="187"/>
      <c r="Q34" s="227"/>
      <c r="S34" s="227"/>
      <c r="T34" s="187"/>
      <c r="U34" s="187"/>
    </row>
    <row r="35" spans="1:21">
      <c r="A35" s="256"/>
      <c r="D35" s="267"/>
      <c r="F35" s="187"/>
      <c r="G35" s="187"/>
      <c r="H35" s="187"/>
      <c r="K35" s="267"/>
      <c r="L35" s="187"/>
      <c r="M35" s="227"/>
      <c r="N35" s="187"/>
      <c r="O35" s="267"/>
      <c r="P35" s="187"/>
    </row>
    <row r="36" spans="1:21">
      <c r="A36" s="256"/>
      <c r="C36" s="766"/>
      <c r="D36" s="667"/>
      <c r="E36" s="666"/>
      <c r="F36" s="667"/>
      <c r="G36" s="667"/>
      <c r="H36" s="667"/>
      <c r="I36" s="666"/>
      <c r="J36" s="666"/>
      <c r="K36" s="667"/>
      <c r="L36" s="187"/>
      <c r="M36" s="309"/>
      <c r="N36" s="187"/>
      <c r="O36" s="267"/>
      <c r="P36" s="187"/>
    </row>
    <row r="37" spans="1:21">
      <c r="A37" s="256"/>
      <c r="C37" s="666"/>
      <c r="D37" s="767"/>
      <c r="E37" s="666"/>
      <c r="F37" s="667"/>
      <c r="G37" s="667"/>
      <c r="H37" s="667"/>
      <c r="I37" s="666"/>
      <c r="J37" s="666"/>
      <c r="K37" s="767"/>
      <c r="L37" s="187"/>
      <c r="M37" s="227"/>
      <c r="N37" s="187"/>
      <c r="O37" s="267"/>
      <c r="P37" s="187"/>
    </row>
    <row r="38" spans="1:21" s="269" customFormat="1">
      <c r="A38" s="234"/>
      <c r="B38" s="268"/>
      <c r="C38" s="766"/>
      <c r="D38" s="667"/>
      <c r="E38" s="666"/>
      <c r="F38" s="667"/>
      <c r="G38" s="667"/>
      <c r="H38" s="667"/>
      <c r="I38" s="666"/>
      <c r="J38" s="666"/>
      <c r="K38" s="667"/>
      <c r="L38" s="270"/>
      <c r="N38" s="270"/>
      <c r="P38" s="270"/>
    </row>
    <row r="39" spans="1:21" s="269" customFormat="1">
      <c r="A39" s="271"/>
      <c r="B39" s="272"/>
      <c r="C39" s="766"/>
      <c r="D39" s="667"/>
      <c r="E39" s="666"/>
      <c r="F39" s="667"/>
      <c r="G39" s="667"/>
      <c r="H39" s="667"/>
      <c r="I39" s="666"/>
      <c r="J39" s="666"/>
      <c r="K39" s="667"/>
      <c r="L39" s="270"/>
      <c r="M39" s="273"/>
      <c r="N39" s="270"/>
      <c r="O39" s="273"/>
      <c r="P39" s="270"/>
      <c r="T39" s="274"/>
    </row>
    <row r="40" spans="1:21" s="269" customFormat="1">
      <c r="D40" s="270"/>
      <c r="F40" s="270"/>
      <c r="G40" s="270"/>
      <c r="K40" s="270"/>
      <c r="L40" s="270"/>
      <c r="M40" s="667"/>
      <c r="N40" s="666"/>
    </row>
    <row r="41" spans="1:21">
      <c r="A41" s="269"/>
      <c r="B41" s="269"/>
      <c r="C41" s="269"/>
      <c r="D41" s="187"/>
      <c r="F41" s="187"/>
      <c r="G41" s="187"/>
      <c r="H41" s="227"/>
      <c r="K41" s="187"/>
      <c r="L41" s="187"/>
      <c r="M41" s="667"/>
      <c r="N41" s="667"/>
      <c r="O41" s="227"/>
      <c r="P41" s="187"/>
    </row>
    <row r="42" spans="1:21">
      <c r="A42" s="220"/>
      <c r="D42" s="187"/>
      <c r="F42" s="187"/>
      <c r="G42" s="187"/>
      <c r="K42" s="187"/>
      <c r="L42" s="187"/>
      <c r="M42" s="667"/>
      <c r="N42" s="667"/>
      <c r="P42" s="187"/>
      <c r="Q42" s="227"/>
      <c r="S42" s="227"/>
      <c r="T42" s="187"/>
      <c r="U42" s="187"/>
    </row>
    <row r="43" spans="1:21">
      <c r="A43" s="220"/>
      <c r="D43" s="187"/>
      <c r="F43" s="187"/>
      <c r="G43" s="187"/>
      <c r="H43" s="227"/>
      <c r="K43" s="187"/>
      <c r="L43" s="187"/>
      <c r="M43" s="191"/>
      <c r="N43" s="667"/>
      <c r="O43" s="227"/>
      <c r="P43" s="187"/>
      <c r="Q43" s="227"/>
      <c r="S43" s="227"/>
      <c r="T43" s="187"/>
      <c r="U43" s="187"/>
    </row>
    <row r="44" spans="1:21">
      <c r="A44" s="220"/>
      <c r="C44" s="220"/>
      <c r="D44" s="187"/>
      <c r="F44" s="187"/>
      <c r="G44" s="187"/>
      <c r="M44" s="840"/>
      <c r="N44" s="666"/>
    </row>
    <row r="45" spans="1:21">
      <c r="A45" s="220"/>
      <c r="C45" s="220"/>
      <c r="D45" s="187"/>
      <c r="F45" s="187"/>
      <c r="G45" s="187"/>
    </row>
    <row r="46" spans="1:21">
      <c r="D46" s="187"/>
      <c r="F46" s="187"/>
      <c r="G46" s="187"/>
      <c r="K46" s="262"/>
      <c r="L46" s="262"/>
      <c r="N46" s="262"/>
      <c r="P46" s="262"/>
      <c r="T46" s="262"/>
    </row>
    <row r="47" spans="1:21">
      <c r="A47" s="220"/>
      <c r="D47" s="187"/>
      <c r="F47" s="187"/>
      <c r="G47" s="187"/>
    </row>
    <row r="48" spans="1:21">
      <c r="C48" s="253"/>
      <c r="E48" s="187"/>
      <c r="G48" s="187"/>
    </row>
    <row r="49" spans="1:23">
      <c r="A49" s="220"/>
      <c r="C49" s="220"/>
      <c r="E49" s="187"/>
      <c r="F49" s="227"/>
      <c r="G49" s="187"/>
      <c r="H49" s="227"/>
      <c r="K49" s="227"/>
      <c r="L49" s="257"/>
      <c r="M49" s="227"/>
      <c r="N49" s="257"/>
      <c r="O49" s="227"/>
      <c r="P49" s="257"/>
      <c r="Q49" s="227"/>
      <c r="S49" s="227"/>
      <c r="T49" s="187"/>
      <c r="V49" s="220"/>
    </row>
    <row r="50" spans="1:23">
      <c r="C50" s="220"/>
      <c r="D50" s="227"/>
      <c r="E50" s="187"/>
      <c r="F50" s="227"/>
      <c r="G50" s="187"/>
      <c r="H50" s="227"/>
      <c r="K50" s="227"/>
      <c r="L50" s="257"/>
      <c r="M50" s="227"/>
      <c r="N50" s="257"/>
      <c r="O50" s="227"/>
      <c r="P50" s="257"/>
      <c r="Q50" s="227"/>
      <c r="S50" s="227"/>
      <c r="T50" s="187"/>
    </row>
    <row r="51" spans="1:23">
      <c r="D51" s="227"/>
      <c r="V51" s="220"/>
    </row>
    <row r="52" spans="1:23">
      <c r="V52" s="257"/>
      <c r="W52" s="187"/>
    </row>
    <row r="53" spans="1:23">
      <c r="V53" s="257"/>
      <c r="W53" s="187"/>
    </row>
    <row r="56" spans="1:23">
      <c r="V56" s="262"/>
    </row>
    <row r="58" spans="1:23">
      <c r="S58" s="187"/>
      <c r="T58" s="187"/>
    </row>
    <row r="59" spans="1:23">
      <c r="E59" s="257"/>
      <c r="R59" s="257"/>
      <c r="S59" s="187"/>
      <c r="T59" s="187"/>
    </row>
    <row r="62" spans="1:23">
      <c r="R62" s="262"/>
    </row>
    <row r="63" spans="1:23">
      <c r="R63" s="257"/>
    </row>
    <row r="64" spans="1:23">
      <c r="R64" s="257"/>
    </row>
    <row r="65" spans="1:18">
      <c r="R65" s="257"/>
    </row>
    <row r="67" spans="1:18">
      <c r="A67" s="220"/>
    </row>
    <row r="68" spans="1:18">
      <c r="A68" s="220"/>
      <c r="C68" s="220"/>
      <c r="G68" s="262"/>
      <c r="I68" s="262"/>
      <c r="J68" s="262"/>
      <c r="L68" s="262"/>
      <c r="N68" s="262"/>
      <c r="P68" s="262"/>
      <c r="R68" s="262"/>
    </row>
    <row r="69" spans="1:18">
      <c r="G69" s="257"/>
      <c r="R69" s="257"/>
    </row>
    <row r="70" spans="1:18">
      <c r="A70" s="220"/>
    </row>
    <row r="71" spans="1:18">
      <c r="A71" s="220"/>
    </row>
    <row r="72" spans="1:18">
      <c r="A72" s="220"/>
    </row>
    <row r="73" spans="1:18">
      <c r="A73" s="220"/>
    </row>
    <row r="75" spans="1:18">
      <c r="A75" s="220"/>
    </row>
    <row r="76" spans="1:18">
      <c r="A76" s="220"/>
    </row>
    <row r="79" spans="1:18">
      <c r="A79" s="220"/>
    </row>
    <row r="80" spans="1:18">
      <c r="C80" s="220"/>
    </row>
    <row r="86" spans="7:18">
      <c r="G86" s="257"/>
      <c r="I86" s="257"/>
      <c r="J86" s="257"/>
      <c r="L86" s="257"/>
      <c r="N86" s="257"/>
      <c r="P86" s="257"/>
      <c r="R86" s="257"/>
    </row>
    <row r="87" spans="7:18">
      <c r="G87" s="257"/>
      <c r="I87" s="257"/>
      <c r="J87" s="257"/>
      <c r="L87" s="257"/>
      <c r="N87" s="257"/>
      <c r="P87" s="257"/>
      <c r="R87" s="257"/>
    </row>
    <row r="88" spans="7:18">
      <c r="G88" s="257"/>
      <c r="I88" s="257"/>
      <c r="J88" s="257"/>
      <c r="L88" s="257"/>
      <c r="N88" s="257"/>
      <c r="P88" s="257"/>
      <c r="R88" s="257"/>
    </row>
    <row r="89" spans="7:18">
      <c r="G89" s="257"/>
      <c r="I89" s="257"/>
      <c r="J89" s="257"/>
      <c r="L89" s="257"/>
      <c r="N89" s="257"/>
      <c r="P89" s="257"/>
      <c r="R89" s="257"/>
    </row>
    <row r="90" spans="7:18">
      <c r="G90" s="257"/>
      <c r="I90" s="257"/>
      <c r="J90" s="257"/>
      <c r="L90" s="257"/>
      <c r="N90" s="257"/>
      <c r="P90" s="257"/>
      <c r="R90" s="257"/>
    </row>
    <row r="91" spans="7:18">
      <c r="G91" s="257"/>
      <c r="I91" s="257"/>
      <c r="J91" s="257"/>
      <c r="L91" s="257"/>
      <c r="N91" s="257"/>
      <c r="P91" s="257"/>
      <c r="R91" s="257"/>
    </row>
    <row r="92" spans="7:18">
      <c r="G92" s="257"/>
      <c r="I92" s="257"/>
      <c r="J92" s="257"/>
      <c r="L92" s="257"/>
      <c r="N92" s="257"/>
      <c r="P92" s="257"/>
      <c r="R92" s="257"/>
    </row>
    <row r="93" spans="7:18">
      <c r="G93" s="257"/>
      <c r="I93" s="257"/>
      <c r="J93" s="257"/>
      <c r="L93" s="257"/>
      <c r="N93" s="257"/>
      <c r="P93" s="257"/>
      <c r="R93" s="257"/>
    </row>
    <row r="94" spans="7:18">
      <c r="G94" s="257"/>
      <c r="I94" s="257"/>
      <c r="J94" s="257"/>
      <c r="L94" s="257"/>
      <c r="N94" s="257"/>
      <c r="P94" s="257"/>
      <c r="R94" s="257"/>
    </row>
    <row r="95" spans="7:18">
      <c r="G95" s="257"/>
      <c r="I95" s="257"/>
      <c r="J95" s="257"/>
      <c r="L95" s="257"/>
      <c r="N95" s="257"/>
      <c r="P95" s="257"/>
      <c r="R95" s="257"/>
    </row>
  </sheetData>
  <mergeCells count="5">
    <mergeCell ref="A5:O5"/>
    <mergeCell ref="A1:O1"/>
    <mergeCell ref="A2:O2"/>
    <mergeCell ref="A3:O3"/>
    <mergeCell ref="A4:O4"/>
  </mergeCells>
  <phoneticPr fontId="22" type="noConversion"/>
  <printOptions horizontalCentered="1"/>
  <pageMargins left="0.38" right="0.5" top="0.75" bottom="0.5" header="0.5" footer="0.5"/>
  <pageSetup scale="78" orientation="landscape" verticalDpi="300" r:id="rId1"/>
  <headerFooter alignWithMargins="0">
    <oddFooter>&amp;RSchedule &amp;A
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7"/>
  <sheetViews>
    <sheetView view="pageBreakPreview" zoomScale="80" zoomScaleNormal="80" zoomScaleSheetLayoutView="80" workbookViewId="0">
      <pane ySplit="11" topLeftCell="A12" activePane="bottomLeft" state="frozen"/>
      <selection activeCell="B6" sqref="B6"/>
      <selection pane="bottomLeft" sqref="A1:D1"/>
    </sheetView>
  </sheetViews>
  <sheetFormatPr defaultColWidth="8.44140625" defaultRowHeight="15.75" customHeight="1"/>
  <cols>
    <col min="1" max="1" width="4.77734375" style="62" customWidth="1"/>
    <col min="2" max="2" width="11.88671875" style="62" customWidth="1"/>
    <col min="3" max="3" width="49.109375" style="62" customWidth="1"/>
    <col min="4" max="4" width="15.5546875" style="62" customWidth="1"/>
    <col min="5" max="5" width="7.21875" style="62" customWidth="1"/>
    <col min="6" max="6" width="11.44140625" style="62" bestFit="1" customWidth="1"/>
    <col min="7" max="7" width="10" style="62" bestFit="1" customWidth="1"/>
    <col min="8" max="8" width="10.21875" style="62" customWidth="1"/>
    <col min="9" max="16384" width="8.44140625" style="62"/>
  </cols>
  <sheetData>
    <row r="1" spans="1:7" ht="15.75" customHeight="1">
      <c r="A1" s="1214" t="str">
        <f>'Table of Contents'!A1:C1</f>
        <v>Atmos Energy Corporation, Kentucky/Mid-States Division</v>
      </c>
      <c r="B1" s="1214"/>
      <c r="C1" s="1214"/>
      <c r="D1" s="1214"/>
    </row>
    <row r="2" spans="1:7" ht="15.75" customHeight="1">
      <c r="A2" s="1214" t="str">
        <f>'Table of Contents'!A2:C2</f>
        <v>Kentucky Jurisdiction Case No. 2018-00281</v>
      </c>
      <c r="B2" s="1214"/>
      <c r="C2" s="1214"/>
      <c r="D2" s="1214"/>
    </row>
    <row r="3" spans="1:7" ht="15.75" customHeight="1">
      <c r="A3" s="1214" t="s">
        <v>1138</v>
      </c>
      <c r="B3" s="1214"/>
      <c r="C3" s="1214"/>
      <c r="D3" s="1214"/>
    </row>
    <row r="4" spans="1:7" ht="15.75" customHeight="1">
      <c r="A4" s="1214" t="str">
        <f>'Table of Contents'!A3:C3</f>
        <v>Base Period: Twelve Months Ended December 31, 2018</v>
      </c>
      <c r="B4" s="1214"/>
      <c r="C4" s="1214"/>
      <c r="D4" s="1214"/>
    </row>
    <row r="5" spans="1:7" ht="15.75" customHeight="1">
      <c r="A5" s="65"/>
      <c r="B5" s="65"/>
      <c r="C5" s="200"/>
      <c r="D5" s="200"/>
    </row>
    <row r="6" spans="1:7" ht="15.75" customHeight="1">
      <c r="A6" s="66" t="s">
        <v>54</v>
      </c>
      <c r="D6" s="497" t="s">
        <v>1429</v>
      </c>
    </row>
    <row r="7" spans="1:7" ht="15.75" customHeight="1">
      <c r="A7" s="4" t="s">
        <v>615</v>
      </c>
      <c r="D7" s="498" t="s">
        <v>712</v>
      </c>
    </row>
    <row r="8" spans="1:7" ht="15.75" customHeight="1">
      <c r="A8" s="239" t="s">
        <v>365</v>
      </c>
      <c r="B8" s="240"/>
      <c r="C8" s="240"/>
      <c r="D8" s="499" t="str">
        <f>'C.1'!J9</f>
        <v>Witness: Waller, Densman</v>
      </c>
    </row>
    <row r="9" spans="1:7" ht="15.75" customHeight="1">
      <c r="D9" s="275"/>
    </row>
    <row r="10" spans="1:7" ht="15.75" customHeight="1">
      <c r="A10" s="276" t="s">
        <v>93</v>
      </c>
      <c r="B10" s="275" t="s">
        <v>338</v>
      </c>
      <c r="C10" s="276" t="s">
        <v>338</v>
      </c>
      <c r="D10" s="275" t="s">
        <v>986</v>
      </c>
    </row>
    <row r="11" spans="1:7" ht="15.75" customHeight="1">
      <c r="A11" s="277" t="s">
        <v>99</v>
      </c>
      <c r="B11" s="278" t="s">
        <v>1305</v>
      </c>
      <c r="C11" s="277" t="s">
        <v>217</v>
      </c>
      <c r="D11" s="278" t="s">
        <v>314</v>
      </c>
    </row>
    <row r="12" spans="1:7" ht="15.75" customHeight="1">
      <c r="D12" s="275" t="s">
        <v>1092</v>
      </c>
    </row>
    <row r="13" spans="1:7" ht="15.75" customHeight="1">
      <c r="A13" s="275">
        <v>1</v>
      </c>
      <c r="B13" s="279"/>
      <c r="C13" s="280" t="s">
        <v>65</v>
      </c>
    </row>
    <row r="14" spans="1:7" ht="15.75" customHeight="1">
      <c r="A14" s="275">
        <f>A13+1</f>
        <v>2</v>
      </c>
      <c r="B14" s="279"/>
      <c r="C14" s="280" t="s">
        <v>135</v>
      </c>
      <c r="D14" s="96"/>
    </row>
    <row r="15" spans="1:7" ht="15.75" customHeight="1">
      <c r="A15" s="275">
        <f t="shared" ref="A15:A85" si="0">A14+1</f>
        <v>3</v>
      </c>
      <c r="B15" s="530">
        <v>4800</v>
      </c>
      <c r="C15" s="281" t="s">
        <v>130</v>
      </c>
      <c r="D15" s="340">
        <f>-'C.2.2 B 09'!P17</f>
        <v>106055301.6128896</v>
      </c>
      <c r="F15" s="409"/>
      <c r="G15" s="409"/>
    </row>
    <row r="16" spans="1:7" ht="15.75" customHeight="1">
      <c r="A16" s="275">
        <f t="shared" si="0"/>
        <v>4</v>
      </c>
      <c r="B16" s="708">
        <v>4805</v>
      </c>
      <c r="C16" s="709" t="s">
        <v>1311</v>
      </c>
      <c r="D16" s="353">
        <f>-'C.2.2 B 09'!P18</f>
        <v>-6909256.3499999996</v>
      </c>
      <c r="F16" s="409"/>
      <c r="G16" s="409"/>
    </row>
    <row r="17" spans="1:8" ht="15.75" customHeight="1">
      <c r="A17" s="275">
        <f t="shared" si="0"/>
        <v>5</v>
      </c>
      <c r="B17" s="708">
        <v>4811</v>
      </c>
      <c r="C17" s="709" t="s">
        <v>131</v>
      </c>
      <c r="D17" s="353">
        <f>-'C.2.2 B 09'!P19</f>
        <v>45531133.19149138</v>
      </c>
      <c r="F17" s="409"/>
      <c r="G17" s="409"/>
    </row>
    <row r="18" spans="1:8" ht="15.75" customHeight="1">
      <c r="A18" s="275">
        <f t="shared" si="0"/>
        <v>6</v>
      </c>
      <c r="B18" s="708">
        <v>4812</v>
      </c>
      <c r="C18" s="709" t="s">
        <v>132</v>
      </c>
      <c r="D18" s="353">
        <f>-'C.2.2 B 09'!P20</f>
        <v>6051221.3783209361</v>
      </c>
      <c r="F18" s="409"/>
      <c r="G18" s="409"/>
    </row>
    <row r="19" spans="1:8" ht="15.75" customHeight="1">
      <c r="A19" s="275">
        <f t="shared" si="0"/>
        <v>7</v>
      </c>
      <c r="B19" s="708">
        <v>4815</v>
      </c>
      <c r="C19" s="709" t="s">
        <v>1312</v>
      </c>
      <c r="D19" s="353">
        <f>-'C.2.2 B 09'!P21</f>
        <v>-2646349.87</v>
      </c>
      <c r="F19" s="409"/>
      <c r="G19" s="409"/>
    </row>
    <row r="20" spans="1:8" ht="15.75" customHeight="1">
      <c r="A20" s="275">
        <f t="shared" si="0"/>
        <v>8</v>
      </c>
      <c r="B20" s="708">
        <v>4816</v>
      </c>
      <c r="C20" s="709" t="s">
        <v>1350</v>
      </c>
      <c r="D20" s="353">
        <f>-'C.2.2 B 09'!P22</f>
        <v>-203688.38000000003</v>
      </c>
      <c r="F20" s="409"/>
      <c r="G20" s="409"/>
    </row>
    <row r="21" spans="1:8" ht="15.75" customHeight="1">
      <c r="A21" s="275">
        <f t="shared" si="0"/>
        <v>9</v>
      </c>
      <c r="B21" s="708">
        <v>4820</v>
      </c>
      <c r="C21" s="709" t="s">
        <v>778</v>
      </c>
      <c r="D21" s="353">
        <f>-'C.2.2 B 09'!P23</f>
        <v>7513898.4409779608</v>
      </c>
      <c r="F21" s="409"/>
      <c r="G21" s="409"/>
    </row>
    <row r="22" spans="1:8" ht="15.75" customHeight="1">
      <c r="A22" s="275">
        <f t="shared" si="0"/>
        <v>10</v>
      </c>
      <c r="B22" s="708">
        <v>4825</v>
      </c>
      <c r="C22" s="709" t="s">
        <v>1313</v>
      </c>
      <c r="D22" s="354">
        <f>-'C.2.2 B 09'!P24</f>
        <v>-571784.21</v>
      </c>
      <c r="F22" s="409"/>
      <c r="G22" s="409"/>
    </row>
    <row r="23" spans="1:8" ht="15.75" customHeight="1">
      <c r="A23" s="275">
        <f t="shared" si="0"/>
        <v>11</v>
      </c>
      <c r="B23" s="275"/>
      <c r="C23" s="276" t="s">
        <v>1155</v>
      </c>
      <c r="D23" s="340">
        <f>SUM(D15:D22)</f>
        <v>154820475.81367987</v>
      </c>
    </row>
    <row r="24" spans="1:8" ht="15.75" customHeight="1">
      <c r="A24" s="275">
        <f t="shared" si="0"/>
        <v>12</v>
      </c>
      <c r="B24" s="275"/>
      <c r="D24" s="96"/>
    </row>
    <row r="25" spans="1:8" ht="15.75" customHeight="1">
      <c r="A25" s="275">
        <f t="shared" si="0"/>
        <v>13</v>
      </c>
      <c r="B25" s="531"/>
      <c r="C25" s="280" t="s">
        <v>64</v>
      </c>
      <c r="D25" s="457"/>
    </row>
    <row r="26" spans="1:8" ht="15.75" customHeight="1">
      <c r="A26" s="275">
        <f t="shared" si="0"/>
        <v>14</v>
      </c>
      <c r="B26" s="530">
        <v>4870</v>
      </c>
      <c r="C26" s="281" t="s">
        <v>1013</v>
      </c>
      <c r="D26" s="340">
        <f>-'C.2.2 B 09'!P25</f>
        <v>1388388.7278780227</v>
      </c>
    </row>
    <row r="27" spans="1:8" ht="15.75" customHeight="1">
      <c r="A27" s="275">
        <f t="shared" si="0"/>
        <v>15</v>
      </c>
      <c r="B27" s="530">
        <v>4880</v>
      </c>
      <c r="C27" s="281" t="s">
        <v>1014</v>
      </c>
      <c r="D27" s="353">
        <f>-'C.2.2 B 09'!P26</f>
        <v>792006</v>
      </c>
    </row>
    <row r="28" spans="1:8" ht="15.75" customHeight="1">
      <c r="A28" s="275">
        <f t="shared" si="0"/>
        <v>16</v>
      </c>
      <c r="B28" s="532">
        <v>4893</v>
      </c>
      <c r="C28" s="284" t="s">
        <v>63</v>
      </c>
      <c r="D28" s="353">
        <f>-'C.2.2 B 09'!P27</f>
        <v>17013346.017499994</v>
      </c>
      <c r="F28" s="598"/>
    </row>
    <row r="29" spans="1:8" ht="15.75" customHeight="1">
      <c r="A29" s="275">
        <f t="shared" si="0"/>
        <v>17</v>
      </c>
      <c r="B29" s="530">
        <v>4950</v>
      </c>
      <c r="C29" s="281" t="s">
        <v>662</v>
      </c>
      <c r="D29" s="353">
        <f>-'C.2.2 B 09'!P28</f>
        <v>1148568.27</v>
      </c>
      <c r="F29" s="96"/>
      <c r="G29" s="96"/>
      <c r="H29" s="598"/>
    </row>
    <row r="30" spans="1:8" ht="15.75" customHeight="1">
      <c r="A30" s="275"/>
      <c r="B30" s="530">
        <v>4960</v>
      </c>
      <c r="C30" s="281" t="s">
        <v>1626</v>
      </c>
      <c r="D30" s="353">
        <f>-'C.2.2 B 09'!P29</f>
        <v>-1791888</v>
      </c>
      <c r="F30" s="96"/>
      <c r="G30" s="96"/>
      <c r="H30" s="598"/>
    </row>
    <row r="31" spans="1:8" ht="15.75" customHeight="1">
      <c r="A31" s="275">
        <f>A29+1</f>
        <v>18</v>
      </c>
      <c r="B31" s="531"/>
      <c r="C31" s="276" t="s">
        <v>1156</v>
      </c>
      <c r="D31" s="730">
        <f>SUM(D26:D30)</f>
        <v>18550421.015378017</v>
      </c>
    </row>
    <row r="32" spans="1:8" ht="15.75" customHeight="1">
      <c r="A32" s="275">
        <f t="shared" si="0"/>
        <v>19</v>
      </c>
      <c r="B32" s="531"/>
      <c r="D32" s="457"/>
      <c r="F32" s="732"/>
      <c r="G32" s="96"/>
    </row>
    <row r="33" spans="1:8" ht="15.75" customHeight="1">
      <c r="A33" s="275">
        <f t="shared" si="0"/>
        <v>20</v>
      </c>
      <c r="B33" s="275"/>
      <c r="C33" s="276" t="s">
        <v>66</v>
      </c>
      <c r="D33" s="340">
        <f>D23+D31</f>
        <v>173370896.8290579</v>
      </c>
      <c r="E33" s="285"/>
      <c r="F33" s="96"/>
      <c r="G33" s="96"/>
      <c r="H33" s="598"/>
    </row>
    <row r="34" spans="1:8" ht="15.75" customHeight="1">
      <c r="A34" s="275">
        <f t="shared" si="0"/>
        <v>21</v>
      </c>
      <c r="B34" s="531"/>
      <c r="D34" s="457"/>
      <c r="F34" s="96"/>
      <c r="G34" s="96"/>
    </row>
    <row r="35" spans="1:8" ht="15.75" customHeight="1">
      <c r="A35" s="275">
        <f t="shared" si="0"/>
        <v>22</v>
      </c>
      <c r="B35" s="531"/>
      <c r="C35" s="280" t="s">
        <v>302</v>
      </c>
      <c r="D35" s="457"/>
    </row>
    <row r="36" spans="1:8" ht="15.75" customHeight="1">
      <c r="A36" s="275">
        <f t="shared" si="0"/>
        <v>23</v>
      </c>
      <c r="B36" s="531"/>
      <c r="C36" s="286" t="s">
        <v>661</v>
      </c>
      <c r="D36" s="398"/>
    </row>
    <row r="37" spans="1:8" ht="15.75" customHeight="1">
      <c r="A37" s="275">
        <f t="shared" si="0"/>
        <v>24</v>
      </c>
      <c r="B37" s="533">
        <v>7560</v>
      </c>
      <c r="C37" s="281" t="s">
        <v>326</v>
      </c>
      <c r="D37" s="458">
        <f>'C.2.2 B 09'!P30</f>
        <v>0</v>
      </c>
    </row>
    <row r="38" spans="1:8" ht="15.75" customHeight="1">
      <c r="A38" s="275">
        <f t="shared" si="0"/>
        <v>25</v>
      </c>
      <c r="B38" s="533">
        <v>7590</v>
      </c>
      <c r="C38" s="281" t="s">
        <v>1349</v>
      </c>
      <c r="D38" s="354">
        <f>'C.2.2 B 09'!P31</f>
        <v>0</v>
      </c>
    </row>
    <row r="39" spans="1:8" ht="15.75" customHeight="1">
      <c r="A39" s="275">
        <f t="shared" si="0"/>
        <v>26</v>
      </c>
      <c r="B39" s="531"/>
      <c r="C39" s="287" t="s">
        <v>436</v>
      </c>
      <c r="D39" s="340">
        <f>SUM(D37:D38)</f>
        <v>0</v>
      </c>
    </row>
    <row r="40" spans="1:8" ht="15.75" customHeight="1">
      <c r="A40" s="275">
        <f t="shared" si="0"/>
        <v>27</v>
      </c>
      <c r="B40" s="531"/>
      <c r="C40" s="287"/>
      <c r="D40" s="340"/>
    </row>
    <row r="41" spans="1:8" ht="15.75" customHeight="1">
      <c r="A41" s="275">
        <f t="shared" si="0"/>
        <v>28</v>
      </c>
      <c r="B41" s="531"/>
      <c r="C41" s="286" t="s">
        <v>1139</v>
      </c>
      <c r="D41" s="353"/>
    </row>
    <row r="42" spans="1:8" ht="15.75" customHeight="1">
      <c r="A42" s="275">
        <f t="shared" si="0"/>
        <v>29</v>
      </c>
      <c r="B42" s="533">
        <v>7610</v>
      </c>
      <c r="C42" s="281" t="s">
        <v>1140</v>
      </c>
      <c r="D42" s="493">
        <v>0</v>
      </c>
    </row>
    <row r="43" spans="1:8" ht="15.75" customHeight="1">
      <c r="A43" s="275">
        <f t="shared" si="0"/>
        <v>30</v>
      </c>
      <c r="B43" s="531"/>
      <c r="C43" s="66"/>
      <c r="D43" s="340">
        <f>SUM(D42)</f>
        <v>0</v>
      </c>
    </row>
    <row r="44" spans="1:8" ht="15.75" customHeight="1">
      <c r="A44" s="275">
        <f t="shared" si="0"/>
        <v>31</v>
      </c>
      <c r="B44" s="531"/>
      <c r="C44" s="286" t="s">
        <v>1025</v>
      </c>
      <c r="D44" s="398"/>
    </row>
    <row r="45" spans="1:8" ht="15.75" customHeight="1">
      <c r="A45" s="275">
        <f t="shared" si="0"/>
        <v>32</v>
      </c>
      <c r="B45" s="533">
        <v>8140</v>
      </c>
      <c r="C45" s="281" t="s">
        <v>671</v>
      </c>
      <c r="D45" s="494">
        <f>'C.2.2 B 09'!P47</f>
        <v>0</v>
      </c>
    </row>
    <row r="46" spans="1:8" ht="15.75" customHeight="1">
      <c r="A46" s="275">
        <f t="shared" si="0"/>
        <v>33</v>
      </c>
      <c r="B46" s="533">
        <v>8150</v>
      </c>
      <c r="C46" s="281" t="s">
        <v>294</v>
      </c>
      <c r="D46" s="458">
        <v>0</v>
      </c>
    </row>
    <row r="47" spans="1:8" ht="15.75" customHeight="1">
      <c r="A47" s="275">
        <f t="shared" si="0"/>
        <v>34</v>
      </c>
      <c r="B47" s="533">
        <v>8160</v>
      </c>
      <c r="C47" s="281" t="s">
        <v>507</v>
      </c>
      <c r="D47" s="458">
        <f>'C.2.2 B 09'!P48</f>
        <v>326733.70703518647</v>
      </c>
    </row>
    <row r="48" spans="1:8" ht="15.75" customHeight="1">
      <c r="A48" s="275">
        <f t="shared" si="0"/>
        <v>35</v>
      </c>
      <c r="B48" s="533">
        <v>8170</v>
      </c>
      <c r="C48" s="281" t="s">
        <v>508</v>
      </c>
      <c r="D48" s="458">
        <f>'C.2.2 B 09'!P49</f>
        <v>22639.166517089205</v>
      </c>
    </row>
    <row r="49" spans="1:4" ht="15.75" customHeight="1">
      <c r="A49" s="275">
        <f t="shared" si="0"/>
        <v>36</v>
      </c>
      <c r="B49" s="533">
        <v>8180</v>
      </c>
      <c r="C49" s="281" t="s">
        <v>144</v>
      </c>
      <c r="D49" s="458">
        <f>'C.2.2 B 09'!P50</f>
        <v>28860.318027231671</v>
      </c>
    </row>
    <row r="50" spans="1:4" ht="15.75" customHeight="1">
      <c r="A50" s="275">
        <f t="shared" si="0"/>
        <v>37</v>
      </c>
      <c r="B50" s="534">
        <v>8190</v>
      </c>
      <c r="C50" s="288" t="s">
        <v>145</v>
      </c>
      <c r="D50" s="458">
        <f>'C.2.2 B 09'!P51</f>
        <v>878.7995679654864</v>
      </c>
    </row>
    <row r="51" spans="1:4" ht="15.75" customHeight="1">
      <c r="A51" s="275">
        <f t="shared" si="0"/>
        <v>38</v>
      </c>
      <c r="B51" s="534">
        <v>8200</v>
      </c>
      <c r="C51" s="288" t="s">
        <v>475</v>
      </c>
      <c r="D51" s="458">
        <f>'C.2.2 B 09'!P52</f>
        <v>6847.0560669439419</v>
      </c>
    </row>
    <row r="52" spans="1:4" ht="15.75" customHeight="1">
      <c r="A52" s="275">
        <f t="shared" si="0"/>
        <v>39</v>
      </c>
      <c r="B52" s="534">
        <v>8210</v>
      </c>
      <c r="C52" s="288" t="s">
        <v>476</v>
      </c>
      <c r="D52" s="458">
        <f>'C.2.2 B 09'!P53</f>
        <v>54468.548257363182</v>
      </c>
    </row>
    <row r="53" spans="1:4" ht="15.75" customHeight="1">
      <c r="A53" s="275">
        <f t="shared" si="0"/>
        <v>40</v>
      </c>
      <c r="B53" s="534">
        <v>8240</v>
      </c>
      <c r="C53" s="288" t="s">
        <v>584</v>
      </c>
      <c r="D53" s="458">
        <f>'C.2.2 B 09'!P54</f>
        <v>0</v>
      </c>
    </row>
    <row r="54" spans="1:4" ht="15.75" customHeight="1">
      <c r="A54" s="275">
        <f t="shared" si="0"/>
        <v>41</v>
      </c>
      <c r="B54" s="534">
        <v>8250</v>
      </c>
      <c r="C54" s="288" t="s">
        <v>637</v>
      </c>
      <c r="D54" s="354">
        <f>'C.2.2 B 09'!P55</f>
        <v>10451.362217408931</v>
      </c>
    </row>
    <row r="55" spans="1:4" ht="15.75" customHeight="1">
      <c r="A55" s="275">
        <f t="shared" si="0"/>
        <v>42</v>
      </c>
      <c r="B55" s="531"/>
      <c r="C55" s="287" t="s">
        <v>1026</v>
      </c>
      <c r="D55" s="340">
        <f>SUM(D45:D54)</f>
        <v>450878.95768918889</v>
      </c>
    </row>
    <row r="56" spans="1:4" ht="15.75" customHeight="1">
      <c r="A56" s="275">
        <f t="shared" si="0"/>
        <v>43</v>
      </c>
      <c r="B56" s="531"/>
      <c r="C56" s="66"/>
      <c r="D56" s="353"/>
    </row>
    <row r="57" spans="1:4" ht="15.75" customHeight="1">
      <c r="A57" s="275">
        <f t="shared" si="0"/>
        <v>44</v>
      </c>
      <c r="B57" s="531"/>
      <c r="C57" s="286" t="s">
        <v>1012</v>
      </c>
      <c r="D57" s="353"/>
    </row>
    <row r="58" spans="1:4" ht="15.75" customHeight="1">
      <c r="A58" s="275">
        <f t="shared" si="0"/>
        <v>45</v>
      </c>
      <c r="B58" s="534">
        <v>8310</v>
      </c>
      <c r="C58" s="288" t="s">
        <v>638</v>
      </c>
      <c r="D58" s="494">
        <f>'C.2.2 B 09'!P56</f>
        <v>13540.510444177393</v>
      </c>
    </row>
    <row r="59" spans="1:4" ht="15.75" customHeight="1">
      <c r="A59" s="275">
        <f t="shared" si="0"/>
        <v>46</v>
      </c>
      <c r="B59" s="534">
        <v>8320</v>
      </c>
      <c r="C59" s="288" t="s">
        <v>639</v>
      </c>
      <c r="D59" s="458">
        <v>0</v>
      </c>
    </row>
    <row r="60" spans="1:4" ht="15.75" customHeight="1">
      <c r="A60" s="275">
        <f t="shared" si="0"/>
        <v>47</v>
      </c>
      <c r="B60" s="534">
        <v>8340</v>
      </c>
      <c r="C60" s="288" t="s">
        <v>640</v>
      </c>
      <c r="D60" s="458">
        <f>'C.2.2 B 09'!P57</f>
        <v>3462.7436215840307</v>
      </c>
    </row>
    <row r="61" spans="1:4" ht="15.75" customHeight="1">
      <c r="A61" s="275">
        <f t="shared" si="0"/>
        <v>48</v>
      </c>
      <c r="B61" s="534">
        <v>8350</v>
      </c>
      <c r="C61" s="288" t="s">
        <v>641</v>
      </c>
      <c r="D61" s="458">
        <f>'C.2.2 B 09'!P58</f>
        <v>0</v>
      </c>
    </row>
    <row r="62" spans="1:4" ht="15.75" customHeight="1">
      <c r="A62" s="275">
        <f t="shared" si="0"/>
        <v>49</v>
      </c>
      <c r="B62" s="534">
        <v>8360</v>
      </c>
      <c r="C62" s="288" t="s">
        <v>1040</v>
      </c>
      <c r="D62" s="458">
        <f>'C.2.2 B 09'!P59</f>
        <v>0</v>
      </c>
    </row>
    <row r="63" spans="1:4" ht="15.75" customHeight="1">
      <c r="A63" s="275">
        <f t="shared" si="0"/>
        <v>50</v>
      </c>
      <c r="B63" s="534">
        <v>8370</v>
      </c>
      <c r="C63" s="288" t="s">
        <v>1342</v>
      </c>
      <c r="D63" s="458">
        <f>'C.2.2 B 09'!P60</f>
        <v>0</v>
      </c>
    </row>
    <row r="64" spans="1:4" ht="15.75" customHeight="1">
      <c r="A64" s="275">
        <f t="shared" si="0"/>
        <v>51</v>
      </c>
      <c r="B64" s="535" t="s">
        <v>295</v>
      </c>
      <c r="C64" s="288" t="s">
        <v>447</v>
      </c>
      <c r="D64" s="458">
        <f>'C.2.2 B 09'!P61</f>
        <v>71800.453035040002</v>
      </c>
    </row>
    <row r="65" spans="1:7" ht="15.75" customHeight="1">
      <c r="A65" s="275">
        <f t="shared" si="0"/>
        <v>52</v>
      </c>
      <c r="B65" s="531"/>
      <c r="C65" s="287" t="s">
        <v>1027</v>
      </c>
      <c r="D65" s="730">
        <f>SUM(D58:D64)</f>
        <v>88803.707100801432</v>
      </c>
    </row>
    <row r="66" spans="1:7" ht="15.75" customHeight="1">
      <c r="A66" s="275">
        <f t="shared" si="0"/>
        <v>53</v>
      </c>
      <c r="B66" s="531"/>
      <c r="C66" s="66"/>
      <c r="D66" s="353"/>
    </row>
    <row r="67" spans="1:7" ht="15.75" customHeight="1">
      <c r="A67" s="275">
        <f t="shared" si="0"/>
        <v>54</v>
      </c>
      <c r="B67" s="531"/>
      <c r="C67" s="286" t="s">
        <v>1028</v>
      </c>
      <c r="D67" s="353"/>
    </row>
    <row r="68" spans="1:7" ht="15.75" customHeight="1">
      <c r="A68" s="275">
        <f t="shared" si="0"/>
        <v>55</v>
      </c>
      <c r="B68" s="534">
        <v>8500</v>
      </c>
      <c r="C68" s="288" t="s">
        <v>671</v>
      </c>
      <c r="D68" s="494">
        <f>'C.2.2 B 09'!P62</f>
        <v>47.034985000524017</v>
      </c>
    </row>
    <row r="69" spans="1:7" ht="15.75" customHeight="1">
      <c r="A69" s="275">
        <f t="shared" si="0"/>
        <v>56</v>
      </c>
      <c r="B69" s="534">
        <v>8520</v>
      </c>
      <c r="C69" s="288" t="s">
        <v>1343</v>
      </c>
      <c r="D69" s="458">
        <f>'C.2.2 B 09'!P63</f>
        <v>0</v>
      </c>
      <c r="G69" s="797"/>
    </row>
    <row r="70" spans="1:7" ht="15.75" customHeight="1">
      <c r="A70" s="275">
        <f t="shared" si="0"/>
        <v>57</v>
      </c>
      <c r="B70" s="534">
        <v>8550</v>
      </c>
      <c r="C70" s="288" t="s">
        <v>1397</v>
      </c>
      <c r="D70" s="458">
        <f>'C.2.2 B 09'!P64</f>
        <v>368.20860161724005</v>
      </c>
      <c r="G70" s="797"/>
    </row>
    <row r="71" spans="1:7" ht="15.75" customHeight="1">
      <c r="A71" s="275">
        <f t="shared" si="0"/>
        <v>58</v>
      </c>
      <c r="B71" s="534">
        <v>8560</v>
      </c>
      <c r="C71" s="288" t="s">
        <v>642</v>
      </c>
      <c r="D71" s="458">
        <f>'C.2.2 B 09'!P65</f>
        <v>395188.62625193066</v>
      </c>
    </row>
    <row r="72" spans="1:7" ht="15.75" customHeight="1">
      <c r="A72" s="275">
        <f t="shared" si="0"/>
        <v>59</v>
      </c>
      <c r="B72" s="534">
        <v>8570</v>
      </c>
      <c r="C72" s="288" t="s">
        <v>643</v>
      </c>
      <c r="D72" s="458">
        <f>'C.2.2 B 09'!P66</f>
        <v>29426.839274343416</v>
      </c>
    </row>
    <row r="73" spans="1:7" ht="15.75" customHeight="1">
      <c r="A73" s="275">
        <f t="shared" si="0"/>
        <v>60</v>
      </c>
      <c r="B73" s="534">
        <v>8590</v>
      </c>
      <c r="C73" s="288" t="s">
        <v>646</v>
      </c>
      <c r="D73" s="458">
        <v>0</v>
      </c>
    </row>
    <row r="74" spans="1:7" ht="15.75" customHeight="1">
      <c r="A74" s="275">
        <f t="shared" si="0"/>
        <v>61</v>
      </c>
      <c r="B74" s="534">
        <v>8600</v>
      </c>
      <c r="C74" s="288" t="s">
        <v>769</v>
      </c>
      <c r="D74" s="354">
        <v>0</v>
      </c>
    </row>
    <row r="75" spans="1:7" ht="15.75" customHeight="1">
      <c r="A75" s="275">
        <f t="shared" si="0"/>
        <v>62</v>
      </c>
      <c r="B75" s="531"/>
      <c r="C75" s="287" t="s">
        <v>1004</v>
      </c>
      <c r="D75" s="340">
        <f>SUM(D68:D74)</f>
        <v>425030.70911289181</v>
      </c>
    </row>
    <row r="76" spans="1:7" ht="15.75" customHeight="1">
      <c r="A76" s="275">
        <f t="shared" si="0"/>
        <v>63</v>
      </c>
      <c r="B76" s="531"/>
      <c r="C76" s="66"/>
      <c r="D76" s="353"/>
    </row>
    <row r="77" spans="1:7" ht="15.75" customHeight="1">
      <c r="A77" s="275">
        <f t="shared" si="0"/>
        <v>64</v>
      </c>
      <c r="B77" s="531"/>
      <c r="C77" s="286" t="s">
        <v>1005</v>
      </c>
      <c r="D77" s="353"/>
    </row>
    <row r="78" spans="1:7" ht="15.75" customHeight="1">
      <c r="A78" s="275">
        <f t="shared" si="0"/>
        <v>65</v>
      </c>
      <c r="B78" s="534">
        <v>8620</v>
      </c>
      <c r="C78" s="288" t="s">
        <v>969</v>
      </c>
      <c r="D78" s="494">
        <v>0</v>
      </c>
    </row>
    <row r="79" spans="1:7" ht="15.75" customHeight="1">
      <c r="A79" s="275">
        <f t="shared" si="0"/>
        <v>66</v>
      </c>
      <c r="B79" s="534">
        <v>8630</v>
      </c>
      <c r="C79" s="288" t="s">
        <v>506</v>
      </c>
      <c r="D79" s="458">
        <f>'C.2.2 B 09'!P67</f>
        <v>16570.172039772806</v>
      </c>
    </row>
    <row r="80" spans="1:7" ht="15.75" customHeight="1">
      <c r="A80" s="275">
        <f t="shared" si="0"/>
        <v>67</v>
      </c>
      <c r="B80" s="534">
        <v>8640</v>
      </c>
      <c r="C80" s="288" t="s">
        <v>591</v>
      </c>
      <c r="D80" s="458">
        <f>'C.2.2 B 09'!P68</f>
        <v>0</v>
      </c>
    </row>
    <row r="81" spans="1:5" ht="15.75" customHeight="1">
      <c r="A81" s="275">
        <f t="shared" si="0"/>
        <v>68</v>
      </c>
      <c r="B81" s="534">
        <v>8650</v>
      </c>
      <c r="C81" s="288" t="s">
        <v>644</v>
      </c>
      <c r="D81" s="458">
        <f>'C.2.2 B 09'!P69</f>
        <v>0</v>
      </c>
    </row>
    <row r="82" spans="1:5" ht="15.75" customHeight="1">
      <c r="A82" s="275">
        <f t="shared" si="0"/>
        <v>69</v>
      </c>
      <c r="B82" s="534">
        <v>8670</v>
      </c>
      <c r="C82" s="288" t="s">
        <v>645</v>
      </c>
      <c r="D82" s="354">
        <v>0</v>
      </c>
    </row>
    <row r="83" spans="1:5" ht="15.75" customHeight="1">
      <c r="A83" s="275">
        <f t="shared" si="0"/>
        <v>70</v>
      </c>
      <c r="B83" s="531"/>
      <c r="C83" s="287" t="s">
        <v>1006</v>
      </c>
      <c r="D83" s="340">
        <f>SUM(D78:D82)</f>
        <v>16570.172039772806</v>
      </c>
    </row>
    <row r="84" spans="1:5" ht="15.75" customHeight="1">
      <c r="A84" s="275">
        <f t="shared" si="0"/>
        <v>71</v>
      </c>
      <c r="B84" s="531"/>
      <c r="C84" s="66"/>
      <c r="D84" s="353"/>
    </row>
    <row r="85" spans="1:5" ht="15.75" customHeight="1">
      <c r="A85" s="275">
        <f t="shared" si="0"/>
        <v>72</v>
      </c>
      <c r="B85" s="531"/>
      <c r="C85" s="286" t="s">
        <v>327</v>
      </c>
      <c r="D85" s="457"/>
    </row>
    <row r="86" spans="1:5" ht="15.75" customHeight="1">
      <c r="A86" s="275">
        <f t="shared" ref="A86:A149" si="1">A85+1</f>
        <v>73</v>
      </c>
      <c r="B86" s="530">
        <v>8001</v>
      </c>
      <c r="C86" s="281" t="s">
        <v>867</v>
      </c>
      <c r="D86" s="494">
        <f>'C.2.2 B 09'!P32</f>
        <v>0</v>
      </c>
      <c r="E86" s="312"/>
    </row>
    <row r="87" spans="1:5" ht="15.75" customHeight="1">
      <c r="A87" s="275">
        <f t="shared" si="1"/>
        <v>74</v>
      </c>
      <c r="B87" s="530">
        <v>8010</v>
      </c>
      <c r="C87" s="92" t="s">
        <v>1212</v>
      </c>
      <c r="D87" s="458">
        <f>'C.2.2 B 09'!P33</f>
        <v>61223.408818725438</v>
      </c>
      <c r="E87" s="312"/>
    </row>
    <row r="88" spans="1:5" ht="15.75" customHeight="1">
      <c r="A88" s="275">
        <f t="shared" si="1"/>
        <v>75</v>
      </c>
      <c r="B88" s="530">
        <v>8040</v>
      </c>
      <c r="C88" s="276" t="s">
        <v>303</v>
      </c>
      <c r="D88" s="458">
        <f>'C.2.2 B 09'!P34</f>
        <v>49880163.422420248</v>
      </c>
      <c r="E88" s="312"/>
    </row>
    <row r="89" spans="1:5" ht="15.75" customHeight="1">
      <c r="A89" s="275">
        <f t="shared" si="1"/>
        <v>76</v>
      </c>
      <c r="B89" s="530">
        <v>8045</v>
      </c>
      <c r="C89" s="276" t="s">
        <v>1137</v>
      </c>
      <c r="D89" s="458">
        <v>0</v>
      </c>
      <c r="E89" s="312"/>
    </row>
    <row r="90" spans="1:5" ht="15.75" customHeight="1">
      <c r="A90" s="275">
        <f t="shared" si="1"/>
        <v>77</v>
      </c>
      <c r="B90" s="530">
        <v>8050</v>
      </c>
      <c r="C90" s="281" t="s">
        <v>908</v>
      </c>
      <c r="D90" s="458">
        <f>'C.2.2 B 09'!P35</f>
        <v>-8061.0115843706062</v>
      </c>
      <c r="E90" s="312"/>
    </row>
    <row r="91" spans="1:5" ht="15.75" customHeight="1">
      <c r="A91" s="275">
        <f t="shared" si="1"/>
        <v>78</v>
      </c>
      <c r="B91" s="530">
        <v>8051</v>
      </c>
      <c r="C91" s="276" t="s">
        <v>811</v>
      </c>
      <c r="D91" s="458">
        <f>'C.2.2 B 09'!P36</f>
        <v>50104362.124351226</v>
      </c>
      <c r="E91" s="312"/>
    </row>
    <row r="92" spans="1:5" ht="15.75" customHeight="1">
      <c r="A92" s="275">
        <f t="shared" si="1"/>
        <v>79</v>
      </c>
      <c r="B92" s="530">
        <v>8052</v>
      </c>
      <c r="C92" s="276" t="s">
        <v>421</v>
      </c>
      <c r="D92" s="458">
        <f>'C.2.2 B 09'!P37</f>
        <v>25635854.619678505</v>
      </c>
      <c r="E92" s="312"/>
    </row>
    <row r="93" spans="1:5" ht="15.75" customHeight="1">
      <c r="A93" s="275">
        <f t="shared" si="1"/>
        <v>80</v>
      </c>
      <c r="B93" s="530">
        <v>8053</v>
      </c>
      <c r="C93" s="276" t="s">
        <v>835</v>
      </c>
      <c r="D93" s="458">
        <f>'C.2.2 B 09'!P38</f>
        <v>4973887.4353293628</v>
      </c>
      <c r="E93" s="312"/>
    </row>
    <row r="94" spans="1:5" ht="15.75" customHeight="1">
      <c r="A94" s="275">
        <f t="shared" si="1"/>
        <v>81</v>
      </c>
      <c r="B94" s="530">
        <v>8054</v>
      </c>
      <c r="C94" s="276" t="s">
        <v>836</v>
      </c>
      <c r="D94" s="458">
        <f>'C.2.2 B 09'!P39</f>
        <v>4760332.0820787232</v>
      </c>
      <c r="E94" s="312"/>
    </row>
    <row r="95" spans="1:5" ht="15.75" customHeight="1">
      <c r="A95" s="275">
        <f t="shared" si="1"/>
        <v>82</v>
      </c>
      <c r="B95" s="530">
        <v>8057</v>
      </c>
      <c r="C95" s="276" t="s">
        <v>281</v>
      </c>
      <c r="D95" s="458">
        <v>0</v>
      </c>
      <c r="E95" s="312"/>
    </row>
    <row r="96" spans="1:5" ht="15.75" customHeight="1">
      <c r="A96" s="275">
        <f t="shared" si="1"/>
        <v>83</v>
      </c>
      <c r="B96" s="530">
        <v>8058</v>
      </c>
      <c r="C96" s="276" t="s">
        <v>282</v>
      </c>
      <c r="D96" s="458">
        <f>'C.2.2 B 09'!P40</f>
        <v>-1575262.4664914203</v>
      </c>
      <c r="E96" s="312"/>
    </row>
    <row r="97" spans="1:6" ht="15.75" customHeight="1">
      <c r="A97" s="275">
        <f t="shared" si="1"/>
        <v>84</v>
      </c>
      <c r="B97" s="530">
        <v>8059</v>
      </c>
      <c r="C97" s="276" t="s">
        <v>283</v>
      </c>
      <c r="D97" s="458">
        <f>'C.2.2 B 09'!P41</f>
        <v>-73114227.179974958</v>
      </c>
      <c r="E97" s="312"/>
    </row>
    <row r="98" spans="1:6" ht="15.75" customHeight="1">
      <c r="A98" s="275">
        <f t="shared" si="1"/>
        <v>85</v>
      </c>
      <c r="B98" s="530">
        <v>8060</v>
      </c>
      <c r="C98" s="276" t="s">
        <v>1007</v>
      </c>
      <c r="D98" s="458">
        <f>'C.2.2 B 09'!P42</f>
        <v>-1145172.4778102098</v>
      </c>
      <c r="E98" s="312"/>
    </row>
    <row r="99" spans="1:6" ht="15.75" customHeight="1">
      <c r="A99" s="275">
        <f t="shared" si="1"/>
        <v>86</v>
      </c>
      <c r="B99" s="530">
        <v>8081</v>
      </c>
      <c r="C99" s="276" t="s">
        <v>284</v>
      </c>
      <c r="D99" s="458">
        <f>'C.2.2 B 09'!P43</f>
        <v>13684989.231766125</v>
      </c>
      <c r="E99" s="312"/>
    </row>
    <row r="100" spans="1:6" ht="15.75" customHeight="1">
      <c r="A100" s="275">
        <f t="shared" si="1"/>
        <v>87</v>
      </c>
      <c r="B100" s="530">
        <v>8082</v>
      </c>
      <c r="C100" s="276" t="s">
        <v>67</v>
      </c>
      <c r="D100" s="458">
        <f>'C.2.2 B 09'!P44</f>
        <v>-12177639.046100454</v>
      </c>
      <c r="E100" s="312"/>
    </row>
    <row r="101" spans="1:6" ht="15.75" customHeight="1">
      <c r="A101" s="275">
        <f t="shared" si="1"/>
        <v>88</v>
      </c>
      <c r="B101" s="530">
        <v>8110</v>
      </c>
      <c r="C101" s="276" t="s">
        <v>1213</v>
      </c>
      <c r="D101" s="458">
        <v>0</v>
      </c>
      <c r="E101" s="312"/>
    </row>
    <row r="102" spans="1:6" ht="15.75" customHeight="1">
      <c r="A102" s="275">
        <f t="shared" si="1"/>
        <v>89</v>
      </c>
      <c r="B102" s="530">
        <v>8120</v>
      </c>
      <c r="C102" s="276" t="s">
        <v>1023</v>
      </c>
      <c r="D102" s="458">
        <f>'C.2.2 B 09'!P45</f>
        <v>-16752.2810078043</v>
      </c>
      <c r="E102" s="312"/>
    </row>
    <row r="103" spans="1:6" ht="15.75" customHeight="1">
      <c r="A103" s="275">
        <f t="shared" si="1"/>
        <v>90</v>
      </c>
      <c r="B103" s="530">
        <v>8130</v>
      </c>
      <c r="C103" s="276" t="s">
        <v>1023</v>
      </c>
      <c r="D103" s="458">
        <v>0</v>
      </c>
      <c r="E103" s="312"/>
    </row>
    <row r="104" spans="1:6" ht="15.75" customHeight="1">
      <c r="A104" s="275">
        <f t="shared" si="1"/>
        <v>91</v>
      </c>
      <c r="B104" s="530">
        <v>8580</v>
      </c>
      <c r="C104" s="276" t="s">
        <v>1211</v>
      </c>
      <c r="D104" s="354">
        <f>'C.2.2 B 09'!P46</f>
        <v>22818723.652464896</v>
      </c>
      <c r="E104" s="312"/>
      <c r="F104" s="592"/>
    </row>
    <row r="105" spans="1:6" ht="15.75" customHeight="1">
      <c r="A105" s="275">
        <f t="shared" si="1"/>
        <v>92</v>
      </c>
      <c r="B105" s="531"/>
      <c r="C105" s="289" t="s">
        <v>1024</v>
      </c>
      <c r="D105" s="340">
        <f>SUM(D86:D104)</f>
        <v>83882421.513938576</v>
      </c>
      <c r="F105" s="86"/>
    </row>
    <row r="106" spans="1:6" ht="15.75" customHeight="1">
      <c r="A106" s="275">
        <f t="shared" si="1"/>
        <v>93</v>
      </c>
      <c r="B106" s="531"/>
      <c r="D106" s="398"/>
    </row>
    <row r="107" spans="1:6" ht="15.75" customHeight="1">
      <c r="A107" s="275">
        <f t="shared" si="1"/>
        <v>94</v>
      </c>
      <c r="B107" s="531"/>
      <c r="C107" s="286" t="s">
        <v>1050</v>
      </c>
      <c r="D107" s="398"/>
    </row>
    <row r="108" spans="1:6" ht="15.75" customHeight="1">
      <c r="A108" s="275">
        <f t="shared" si="1"/>
        <v>95</v>
      </c>
      <c r="B108" s="530">
        <v>8700</v>
      </c>
      <c r="C108" s="281" t="s">
        <v>647</v>
      </c>
      <c r="D108" s="494">
        <f>'C.2.2 B 09'!P70</f>
        <v>1452843.3612454131</v>
      </c>
    </row>
    <row r="109" spans="1:6" ht="15.75" customHeight="1">
      <c r="A109" s="275">
        <f t="shared" si="1"/>
        <v>96</v>
      </c>
      <c r="B109" s="530">
        <v>8710</v>
      </c>
      <c r="C109" s="281" t="s">
        <v>648</v>
      </c>
      <c r="D109" s="458">
        <f>'C.2.2 B 09'!P71</f>
        <v>792.08039230691145</v>
      </c>
    </row>
    <row r="110" spans="1:6" ht="15.75" customHeight="1">
      <c r="A110" s="275">
        <f t="shared" si="1"/>
        <v>97</v>
      </c>
      <c r="B110" s="530">
        <v>8711</v>
      </c>
      <c r="C110" s="276" t="s">
        <v>344</v>
      </c>
      <c r="D110" s="458">
        <f>'C.2.2 B 09'!P72</f>
        <v>26727.132218743693</v>
      </c>
    </row>
    <row r="111" spans="1:6" ht="15.75" customHeight="1">
      <c r="A111" s="275">
        <f t="shared" si="1"/>
        <v>98</v>
      </c>
      <c r="B111" s="530">
        <v>8720</v>
      </c>
      <c r="C111" s="281" t="s">
        <v>961</v>
      </c>
      <c r="D111" s="458">
        <f>'C.2.2 B 09'!P73</f>
        <v>0</v>
      </c>
    </row>
    <row r="112" spans="1:6" ht="15.75" customHeight="1">
      <c r="A112" s="275">
        <f t="shared" si="1"/>
        <v>99</v>
      </c>
      <c r="B112" s="530">
        <v>8740</v>
      </c>
      <c r="C112" s="281" t="s">
        <v>962</v>
      </c>
      <c r="D112" s="458">
        <f>'C.2.2 B 09'!P74</f>
        <v>4585209.9252482979</v>
      </c>
    </row>
    <row r="113" spans="1:4" ht="15.75" customHeight="1">
      <c r="A113" s="275">
        <f t="shared" si="1"/>
        <v>100</v>
      </c>
      <c r="B113" s="530">
        <v>8750</v>
      </c>
      <c r="C113" s="281" t="s">
        <v>966</v>
      </c>
      <c r="D113" s="458">
        <f>'C.2.2 B 09'!P75</f>
        <v>618282.04680172435</v>
      </c>
    </row>
    <row r="114" spans="1:4" ht="15.75" customHeight="1">
      <c r="A114" s="275">
        <f t="shared" si="1"/>
        <v>101</v>
      </c>
      <c r="B114" s="530">
        <v>8760</v>
      </c>
      <c r="C114" s="281" t="s">
        <v>967</v>
      </c>
      <c r="D114" s="458">
        <f>'C.2.2 B 09'!P76</f>
        <v>125801.06067325606</v>
      </c>
    </row>
    <row r="115" spans="1:4" ht="15.75" customHeight="1">
      <c r="A115" s="275">
        <f t="shared" si="1"/>
        <v>102</v>
      </c>
      <c r="B115" s="530">
        <v>8770</v>
      </c>
      <c r="C115" s="281" t="s">
        <v>968</v>
      </c>
      <c r="D115" s="458">
        <f>'C.2.2 B 09'!P77</f>
        <v>45140.444710392752</v>
      </c>
    </row>
    <row r="116" spans="1:4" ht="15.75" customHeight="1">
      <c r="A116" s="275">
        <f t="shared" si="1"/>
        <v>103</v>
      </c>
      <c r="B116" s="530">
        <v>8780</v>
      </c>
      <c r="C116" s="281" t="s">
        <v>963</v>
      </c>
      <c r="D116" s="458">
        <f>'C.2.2 B 09'!P78</f>
        <v>848812.74211819621</v>
      </c>
    </row>
    <row r="117" spans="1:4" ht="15.75" customHeight="1">
      <c r="A117" s="275">
        <f t="shared" si="1"/>
        <v>104</v>
      </c>
      <c r="B117" s="530">
        <v>8790</v>
      </c>
      <c r="C117" s="281" t="s">
        <v>964</v>
      </c>
      <c r="D117" s="458">
        <f>'C.2.2 B 09'!P79</f>
        <v>3008.5268809715649</v>
      </c>
    </row>
    <row r="118" spans="1:4" ht="15.75" customHeight="1">
      <c r="A118" s="275">
        <f t="shared" si="1"/>
        <v>105</v>
      </c>
      <c r="B118" s="530">
        <v>8800</v>
      </c>
      <c r="C118" s="281" t="s">
        <v>965</v>
      </c>
      <c r="D118" s="458">
        <f>'C.2.2 B 09'!P80</f>
        <v>5729.2993178952001</v>
      </c>
    </row>
    <row r="119" spans="1:4" ht="15.75" customHeight="1">
      <c r="A119" s="275">
        <f t="shared" si="1"/>
        <v>106</v>
      </c>
      <c r="B119" s="530">
        <v>8810</v>
      </c>
      <c r="C119" s="281" t="s">
        <v>769</v>
      </c>
      <c r="D119" s="354">
        <f>'C.2.2 B 09'!P81</f>
        <v>443578.11373849458</v>
      </c>
    </row>
    <row r="120" spans="1:4" ht="15.75" customHeight="1">
      <c r="A120" s="275">
        <f t="shared" si="1"/>
        <v>107</v>
      </c>
      <c r="B120" s="531"/>
      <c r="C120" s="287" t="s">
        <v>659</v>
      </c>
      <c r="D120" s="340">
        <f>SUM(D108:D119)</f>
        <v>8155924.733345693</v>
      </c>
    </row>
    <row r="121" spans="1:4" ht="15.75" customHeight="1">
      <c r="A121" s="275">
        <f t="shared" si="1"/>
        <v>108</v>
      </c>
      <c r="B121" s="531"/>
      <c r="C121" s="66"/>
      <c r="D121" s="353"/>
    </row>
    <row r="122" spans="1:4" ht="15.75" customHeight="1">
      <c r="A122" s="275">
        <f t="shared" si="1"/>
        <v>109</v>
      </c>
      <c r="B122" s="275"/>
      <c r="C122" s="286" t="s">
        <v>660</v>
      </c>
      <c r="D122" s="457"/>
    </row>
    <row r="123" spans="1:4" ht="15.75" customHeight="1">
      <c r="A123" s="275">
        <f t="shared" si="1"/>
        <v>110</v>
      </c>
      <c r="B123" s="530">
        <v>8850</v>
      </c>
      <c r="C123" s="281" t="s">
        <v>647</v>
      </c>
      <c r="D123" s="494">
        <f>'C.2.2 B 09'!P82</f>
        <v>1232.3363846811581</v>
      </c>
    </row>
    <row r="124" spans="1:4" ht="15.75" customHeight="1">
      <c r="A124" s="275">
        <f t="shared" si="1"/>
        <v>111</v>
      </c>
      <c r="B124" s="530">
        <v>8860</v>
      </c>
      <c r="C124" s="281" t="s">
        <v>969</v>
      </c>
      <c r="D124" s="458">
        <f>'C.2.2 B 09'!P83</f>
        <v>131.47406027797859</v>
      </c>
    </row>
    <row r="125" spans="1:4" ht="15.75" customHeight="1">
      <c r="A125" s="275">
        <f t="shared" si="1"/>
        <v>112</v>
      </c>
      <c r="B125" s="530">
        <v>8870</v>
      </c>
      <c r="C125" s="281" t="s">
        <v>506</v>
      </c>
      <c r="D125" s="458">
        <f>'C.2.2 B 09'!P84</f>
        <v>30074.168604191938</v>
      </c>
    </row>
    <row r="126" spans="1:4" ht="15.75" customHeight="1">
      <c r="A126" s="275">
        <f t="shared" si="1"/>
        <v>113</v>
      </c>
      <c r="B126" s="530">
        <v>8890</v>
      </c>
      <c r="C126" s="281" t="s">
        <v>966</v>
      </c>
      <c r="D126" s="458">
        <f>'C.2.2 B 09'!P85</f>
        <v>71785.555394439813</v>
      </c>
    </row>
    <row r="127" spans="1:4" ht="15.75" customHeight="1">
      <c r="A127" s="275">
        <f t="shared" si="1"/>
        <v>114</v>
      </c>
      <c r="B127" s="530">
        <v>8900</v>
      </c>
      <c r="C127" s="281" t="s">
        <v>967</v>
      </c>
      <c r="D127" s="458">
        <f>'C.2.2 B 09'!P86</f>
        <v>2113.9455624468274</v>
      </c>
    </row>
    <row r="128" spans="1:4" ht="15.75" customHeight="1">
      <c r="A128" s="275">
        <f t="shared" si="1"/>
        <v>115</v>
      </c>
      <c r="B128" s="530">
        <v>8910</v>
      </c>
      <c r="C128" s="281" t="s">
        <v>968</v>
      </c>
      <c r="D128" s="458">
        <f>'C.2.2 B 09'!P87</f>
        <v>950.34713050492871</v>
      </c>
    </row>
    <row r="129" spans="1:5" ht="15.75" customHeight="1">
      <c r="A129" s="275">
        <f t="shared" si="1"/>
        <v>116</v>
      </c>
      <c r="B129" s="530">
        <v>8920</v>
      </c>
      <c r="C129" s="281" t="s">
        <v>1052</v>
      </c>
      <c r="D129" s="458">
        <f>'C.2.2 B 09'!P88</f>
        <v>6794.1708785912742</v>
      </c>
    </row>
    <row r="130" spans="1:5" ht="15.75" customHeight="1">
      <c r="A130" s="275">
        <f t="shared" si="1"/>
        <v>117</v>
      </c>
      <c r="B130" s="530">
        <v>8930</v>
      </c>
      <c r="C130" s="281" t="s">
        <v>970</v>
      </c>
      <c r="D130" s="458">
        <f>'C.2.2 B 09'!P89</f>
        <v>0</v>
      </c>
    </row>
    <row r="131" spans="1:5" ht="15.75" customHeight="1">
      <c r="A131" s="275">
        <f t="shared" si="1"/>
        <v>118</v>
      </c>
      <c r="B131" s="530">
        <v>8940</v>
      </c>
      <c r="C131" s="281" t="s">
        <v>645</v>
      </c>
      <c r="D131" s="458">
        <f>'C.2.2 B 09'!P90</f>
        <v>7847.4026351590774</v>
      </c>
    </row>
    <row r="132" spans="1:5" ht="15.75" customHeight="1">
      <c r="A132" s="275">
        <f t="shared" si="1"/>
        <v>119</v>
      </c>
      <c r="B132" s="530">
        <v>8950</v>
      </c>
      <c r="C132" s="281" t="s">
        <v>293</v>
      </c>
      <c r="D132" s="354">
        <v>0</v>
      </c>
    </row>
    <row r="133" spans="1:5" ht="15.75" customHeight="1">
      <c r="A133" s="275">
        <f t="shared" si="1"/>
        <v>120</v>
      </c>
      <c r="B133" s="531"/>
      <c r="C133" s="287" t="s">
        <v>422</v>
      </c>
      <c r="D133" s="340">
        <f>SUM(D123:D132)</f>
        <v>120929.400650293</v>
      </c>
    </row>
    <row r="134" spans="1:5" ht="15.75" customHeight="1">
      <c r="A134" s="275">
        <f t="shared" si="1"/>
        <v>121</v>
      </c>
      <c r="B134" s="531"/>
      <c r="C134" s="287"/>
      <c r="D134" s="353"/>
    </row>
    <row r="135" spans="1:5" ht="15.75" customHeight="1">
      <c r="A135" s="275">
        <f t="shared" si="1"/>
        <v>122</v>
      </c>
      <c r="B135" s="275"/>
      <c r="C135" s="286" t="s">
        <v>423</v>
      </c>
      <c r="D135" s="457"/>
    </row>
    <row r="136" spans="1:5" ht="15.75" customHeight="1">
      <c r="A136" s="275">
        <f t="shared" si="1"/>
        <v>123</v>
      </c>
      <c r="B136" s="530">
        <v>9010</v>
      </c>
      <c r="C136" s="281" t="s">
        <v>478</v>
      </c>
      <c r="D136" s="494">
        <f>'C.2.2 B 09'!P91</f>
        <v>0</v>
      </c>
    </row>
    <row r="137" spans="1:5" ht="15.75" customHeight="1">
      <c r="A137" s="275">
        <f t="shared" si="1"/>
        <v>124</v>
      </c>
      <c r="B137" s="530">
        <v>9020</v>
      </c>
      <c r="C137" s="281" t="s">
        <v>666</v>
      </c>
      <c r="D137" s="458">
        <f>'C.2.2 B 09'!P92</f>
        <v>1127895.6702847565</v>
      </c>
    </row>
    <row r="138" spans="1:5" ht="15.75" customHeight="1">
      <c r="A138" s="275">
        <f t="shared" si="1"/>
        <v>125</v>
      </c>
      <c r="B138" s="530">
        <v>9030</v>
      </c>
      <c r="C138" s="281" t="s">
        <v>971</v>
      </c>
      <c r="D138" s="458">
        <f>'C.2.2 B 09'!P93</f>
        <v>1283457.4816029938</v>
      </c>
    </row>
    <row r="139" spans="1:5" ht="15.75" customHeight="1">
      <c r="A139" s="275">
        <f t="shared" si="1"/>
        <v>126</v>
      </c>
      <c r="B139" s="530">
        <v>9040</v>
      </c>
      <c r="C139" s="281" t="s">
        <v>667</v>
      </c>
      <c r="D139" s="354">
        <f>'C.2.2 B 09'!P94</f>
        <v>549343.45279999997</v>
      </c>
      <c r="E139" s="578"/>
    </row>
    <row r="140" spans="1:5" ht="15.75" customHeight="1">
      <c r="A140" s="275">
        <f t="shared" si="1"/>
        <v>127</v>
      </c>
      <c r="B140" s="275"/>
      <c r="C140" s="287" t="s">
        <v>543</v>
      </c>
      <c r="D140" s="340">
        <f>SUM(D136:D139)</f>
        <v>2960696.6046877503</v>
      </c>
    </row>
    <row r="141" spans="1:5" ht="15.75" customHeight="1">
      <c r="A141" s="275">
        <f t="shared" si="1"/>
        <v>128</v>
      </c>
      <c r="B141" s="531"/>
      <c r="C141" s="287"/>
      <c r="D141" s="353"/>
    </row>
    <row r="142" spans="1:5" ht="15.75" customHeight="1">
      <c r="A142" s="275">
        <f t="shared" si="1"/>
        <v>129</v>
      </c>
      <c r="B142" s="531"/>
      <c r="C142" s="286" t="s">
        <v>544</v>
      </c>
      <c r="D142" s="398"/>
    </row>
    <row r="143" spans="1:5" ht="15.75" customHeight="1">
      <c r="A143" s="275">
        <f t="shared" si="1"/>
        <v>130</v>
      </c>
      <c r="B143" s="530">
        <v>9070</v>
      </c>
      <c r="C143" s="281" t="s">
        <v>478</v>
      </c>
      <c r="D143" s="494">
        <v>0</v>
      </c>
    </row>
    <row r="144" spans="1:5" ht="15.75" customHeight="1">
      <c r="A144" s="275">
        <f t="shared" si="1"/>
        <v>131</v>
      </c>
      <c r="B144" s="530">
        <v>9080</v>
      </c>
      <c r="C144" s="281" t="s">
        <v>665</v>
      </c>
      <c r="D144" s="458">
        <v>0</v>
      </c>
    </row>
    <row r="145" spans="1:4" ht="15.75" customHeight="1">
      <c r="A145" s="275">
        <f t="shared" si="1"/>
        <v>132</v>
      </c>
      <c r="B145" s="530">
        <v>9090</v>
      </c>
      <c r="C145" s="281" t="s">
        <v>664</v>
      </c>
      <c r="D145" s="458">
        <f>'C.2.2 B 09'!P95</f>
        <v>129522.85695117761</v>
      </c>
    </row>
    <row r="146" spans="1:4" ht="15.75" customHeight="1">
      <c r="A146" s="275">
        <f t="shared" si="1"/>
        <v>133</v>
      </c>
      <c r="B146" s="530">
        <v>9100</v>
      </c>
      <c r="C146" s="281" t="s">
        <v>452</v>
      </c>
      <c r="D146" s="354">
        <f>'C.2.2 B 09'!P96</f>
        <v>0</v>
      </c>
    </row>
    <row r="147" spans="1:4" ht="15.75" customHeight="1">
      <c r="A147" s="275">
        <f t="shared" si="1"/>
        <v>134</v>
      </c>
      <c r="B147" s="275"/>
      <c r="C147" s="287" t="s">
        <v>855</v>
      </c>
      <c r="D147" s="340">
        <f>SUM(D143:D146)</f>
        <v>129522.85695117761</v>
      </c>
    </row>
    <row r="148" spans="1:4" ht="15.75" customHeight="1">
      <c r="A148" s="275">
        <f t="shared" si="1"/>
        <v>135</v>
      </c>
      <c r="B148" s="275"/>
      <c r="C148" s="279"/>
      <c r="D148" s="457"/>
    </row>
    <row r="149" spans="1:4" ht="15.75" customHeight="1">
      <c r="A149" s="275">
        <f t="shared" si="1"/>
        <v>136</v>
      </c>
      <c r="B149" s="275"/>
      <c r="C149" s="286" t="s">
        <v>494</v>
      </c>
      <c r="D149" s="457"/>
    </row>
    <row r="150" spans="1:4" ht="15.75" customHeight="1">
      <c r="A150" s="275">
        <f t="shared" ref="A150:A183" si="2">A149+1</f>
        <v>137</v>
      </c>
      <c r="B150" s="530">
        <v>9110</v>
      </c>
      <c r="C150" s="281" t="s">
        <v>478</v>
      </c>
      <c r="D150" s="494">
        <f>'C.2.2 B 09'!P97</f>
        <v>253381.5692414387</v>
      </c>
    </row>
    <row r="151" spans="1:4" ht="15.75" customHeight="1">
      <c r="A151" s="275">
        <f t="shared" si="2"/>
        <v>138</v>
      </c>
      <c r="B151" s="530">
        <v>9120</v>
      </c>
      <c r="C151" s="281" t="s">
        <v>770</v>
      </c>
      <c r="D151" s="458">
        <f>'C.2.2 B 09'!P98</f>
        <v>143980.74002517364</v>
      </c>
    </row>
    <row r="152" spans="1:4" ht="15.75" customHeight="1">
      <c r="A152" s="275">
        <f t="shared" si="2"/>
        <v>139</v>
      </c>
      <c r="B152" s="530">
        <v>9130</v>
      </c>
      <c r="C152" s="281" t="s">
        <v>852</v>
      </c>
      <c r="D152" s="458">
        <f>'C.2.2 B 09'!P99</f>
        <v>43529.689894270545</v>
      </c>
    </row>
    <row r="153" spans="1:4" ht="15.75" customHeight="1">
      <c r="A153" s="275">
        <f t="shared" si="2"/>
        <v>140</v>
      </c>
      <c r="B153" s="530">
        <v>9160</v>
      </c>
      <c r="C153" s="281" t="s">
        <v>837</v>
      </c>
      <c r="D153" s="354">
        <v>0</v>
      </c>
    </row>
    <row r="154" spans="1:4" ht="15.75" customHeight="1">
      <c r="A154" s="275">
        <f t="shared" si="2"/>
        <v>141</v>
      </c>
      <c r="B154" s="275"/>
      <c r="C154" s="287" t="s">
        <v>1114</v>
      </c>
      <c r="D154" s="340">
        <f>SUM(D150:D153)</f>
        <v>440891.9991608829</v>
      </c>
    </row>
    <row r="155" spans="1:4" ht="15.75" customHeight="1">
      <c r="A155" s="275">
        <f t="shared" si="2"/>
        <v>142</v>
      </c>
      <c r="B155" s="531"/>
      <c r="D155" s="457"/>
    </row>
    <row r="156" spans="1:4" ht="15.75" customHeight="1">
      <c r="A156" s="275">
        <f t="shared" si="2"/>
        <v>143</v>
      </c>
      <c r="B156" s="275"/>
      <c r="C156" s="286" t="s">
        <v>1115</v>
      </c>
      <c r="D156" s="457"/>
    </row>
    <row r="157" spans="1:4" ht="15.75" customHeight="1">
      <c r="A157" s="275">
        <f t="shared" si="2"/>
        <v>144</v>
      </c>
      <c r="B157" s="530">
        <v>9200</v>
      </c>
      <c r="C157" s="281" t="s">
        <v>761</v>
      </c>
      <c r="D157" s="494">
        <f>'C.2.2 B 09'!P100</f>
        <v>132955.77066311194</v>
      </c>
    </row>
    <row r="158" spans="1:4" ht="15.75" customHeight="1">
      <c r="A158" s="275">
        <f t="shared" si="2"/>
        <v>145</v>
      </c>
      <c r="B158" s="530">
        <v>9210</v>
      </c>
      <c r="C158" s="281" t="s">
        <v>762</v>
      </c>
      <c r="D158" s="458">
        <f>'C.2.2 B 09'!P101</f>
        <v>19311.238966461424</v>
      </c>
    </row>
    <row r="159" spans="1:4" ht="15.75" customHeight="1">
      <c r="A159" s="275">
        <f t="shared" si="2"/>
        <v>146</v>
      </c>
      <c r="B159" s="530">
        <v>9220</v>
      </c>
      <c r="C159" s="281" t="s">
        <v>763</v>
      </c>
      <c r="D159" s="458">
        <f>'C.2.2 B 09'!P102</f>
        <v>13030745.356380932</v>
      </c>
    </row>
    <row r="160" spans="1:4" ht="15.75" customHeight="1">
      <c r="A160" s="275">
        <f t="shared" si="2"/>
        <v>147</v>
      </c>
      <c r="B160" s="530">
        <v>9230</v>
      </c>
      <c r="C160" s="281" t="s">
        <v>764</v>
      </c>
      <c r="D160" s="458">
        <f>'C.2.2 B 09'!P103</f>
        <v>359911.37393399072</v>
      </c>
    </row>
    <row r="161" spans="1:7" ht="15.75" customHeight="1">
      <c r="A161" s="275">
        <f t="shared" si="2"/>
        <v>148</v>
      </c>
      <c r="B161" s="530">
        <v>9240</v>
      </c>
      <c r="C161" s="281" t="s">
        <v>309</v>
      </c>
      <c r="D161" s="458">
        <f>'C.2.2 B 09'!P104</f>
        <v>88357.973408100195</v>
      </c>
    </row>
    <row r="162" spans="1:7" ht="15.75" customHeight="1">
      <c r="A162" s="275">
        <f t="shared" si="2"/>
        <v>149</v>
      </c>
      <c r="B162" s="530">
        <v>9250</v>
      </c>
      <c r="C162" s="281" t="s">
        <v>765</v>
      </c>
      <c r="D162" s="458">
        <f>'C.2.2 B 09'!P105</f>
        <v>79905.848272711839</v>
      </c>
    </row>
    <row r="163" spans="1:7" ht="15.75" customHeight="1">
      <c r="A163" s="275">
        <f t="shared" si="2"/>
        <v>150</v>
      </c>
      <c r="B163" s="530">
        <v>9260</v>
      </c>
      <c r="C163" s="281" t="s">
        <v>767</v>
      </c>
      <c r="D163" s="458">
        <f>'C.2.2 B 09'!P106</f>
        <v>1821264.4783568077</v>
      </c>
    </row>
    <row r="164" spans="1:7" ht="15.75" customHeight="1">
      <c r="A164" s="275">
        <f t="shared" si="2"/>
        <v>151</v>
      </c>
      <c r="B164" s="530">
        <v>9270</v>
      </c>
      <c r="C164" s="281" t="s">
        <v>310</v>
      </c>
      <c r="D164" s="458">
        <f>'C.2.2 B 09'!P107</f>
        <v>800.05949924284096</v>
      </c>
    </row>
    <row r="165" spans="1:7" ht="15.75" customHeight="1">
      <c r="A165" s="275">
        <f t="shared" si="2"/>
        <v>152</v>
      </c>
      <c r="B165" s="530">
        <v>9280</v>
      </c>
      <c r="C165" s="281" t="s">
        <v>768</v>
      </c>
      <c r="D165" s="458">
        <f>'C.2.2 B 09'!P108</f>
        <v>92765.860535283631</v>
      </c>
    </row>
    <row r="166" spans="1:7" ht="15.75" customHeight="1">
      <c r="A166" s="275">
        <f t="shared" si="2"/>
        <v>153</v>
      </c>
      <c r="B166" s="536">
        <v>930.2</v>
      </c>
      <c r="C166" s="281" t="s">
        <v>311</v>
      </c>
      <c r="D166" s="458">
        <f>'C.2.2 B 09'!P109</f>
        <v>83791.170465754592</v>
      </c>
    </row>
    <row r="167" spans="1:7" ht="15.75" customHeight="1">
      <c r="A167" s="275">
        <f t="shared" si="2"/>
        <v>154</v>
      </c>
      <c r="B167" s="530">
        <v>9310</v>
      </c>
      <c r="C167" s="281" t="s">
        <v>184</v>
      </c>
      <c r="D167" s="493">
        <f>'C.2.2 B 09'!P110</f>
        <v>13266.201063438821</v>
      </c>
    </row>
    <row r="168" spans="1:7" ht="15.75" customHeight="1">
      <c r="A168" s="275">
        <f t="shared" si="2"/>
        <v>155</v>
      </c>
      <c r="B168" s="275"/>
      <c r="C168" s="287" t="s">
        <v>760</v>
      </c>
      <c r="D168" s="340">
        <f>SUM(D157:D167)</f>
        <v>15723075.331545839</v>
      </c>
    </row>
    <row r="169" spans="1:7" ht="15.75" customHeight="1">
      <c r="A169" s="275">
        <f t="shared" si="2"/>
        <v>156</v>
      </c>
      <c r="B169" s="275"/>
      <c r="C169" s="279"/>
      <c r="D169" s="457"/>
    </row>
    <row r="170" spans="1:7" ht="15.75" customHeight="1">
      <c r="A170" s="275">
        <f t="shared" si="2"/>
        <v>157</v>
      </c>
      <c r="B170" s="275"/>
      <c r="C170" s="286" t="s">
        <v>771</v>
      </c>
      <c r="D170" s="457"/>
    </row>
    <row r="171" spans="1:7" ht="15.75" customHeight="1">
      <c r="A171" s="275">
        <f t="shared" si="2"/>
        <v>158</v>
      </c>
      <c r="B171" s="530">
        <v>9320</v>
      </c>
      <c r="C171" s="281" t="s">
        <v>858</v>
      </c>
      <c r="D171" s="493">
        <f>'C.2.2 B 09'!P111</f>
        <v>18812.07589664546</v>
      </c>
    </row>
    <row r="172" spans="1:7" ht="15.75" customHeight="1">
      <c r="A172" s="275">
        <f t="shared" si="2"/>
        <v>159</v>
      </c>
      <c r="B172" s="275"/>
      <c r="C172" s="287" t="s">
        <v>732</v>
      </c>
      <c r="D172" s="495">
        <f>SUM(D171:D171)</f>
        <v>18812.07589664546</v>
      </c>
    </row>
    <row r="173" spans="1:7" ht="15.75" customHeight="1">
      <c r="A173" s="275">
        <f t="shared" si="2"/>
        <v>160</v>
      </c>
      <c r="B173" s="531"/>
      <c r="D173" s="398"/>
    </row>
    <row r="174" spans="1:7" ht="15.75" customHeight="1">
      <c r="A174" s="275">
        <f t="shared" si="2"/>
        <v>161</v>
      </c>
      <c r="B174" s="275"/>
      <c r="C174" s="280" t="s">
        <v>329</v>
      </c>
      <c r="D174" s="496">
        <f>+D39+D43+D55+D65+D75+D83+D105+D120+D133+D140+D147+D154+D168+D172</f>
        <v>112413558.06211951</v>
      </c>
      <c r="F174" s="62">
        <f>'C.2.2 B 09'!P119</f>
        <v>112413558.06211956</v>
      </c>
      <c r="G174" s="96">
        <f>D174-F174</f>
        <v>0</v>
      </c>
    </row>
    <row r="175" spans="1:7" ht="15.75" customHeight="1">
      <c r="A175" s="275">
        <f t="shared" si="2"/>
        <v>162</v>
      </c>
      <c r="B175" s="531"/>
      <c r="D175" s="398"/>
    </row>
    <row r="176" spans="1:7" ht="15.75" customHeight="1">
      <c r="A176" s="275">
        <f t="shared" si="2"/>
        <v>163</v>
      </c>
      <c r="B176" s="275">
        <v>403</v>
      </c>
      <c r="C176" s="276" t="s">
        <v>1693</v>
      </c>
      <c r="D176" s="495">
        <f>SUM('C.2.2 B 09'!P14)</f>
        <v>20643161.685444809</v>
      </c>
    </row>
    <row r="177" spans="1:7" ht="15.75" customHeight="1">
      <c r="A177" s="275">
        <f t="shared" si="2"/>
        <v>164</v>
      </c>
      <c r="B177" s="275">
        <v>406</v>
      </c>
      <c r="C177" s="276" t="s">
        <v>1692</v>
      </c>
      <c r="D177" s="495">
        <f>'C.2.2 B 09'!P15</f>
        <v>24558.66</v>
      </c>
    </row>
    <row r="178" spans="1:7" ht="15.75" customHeight="1">
      <c r="A178" s="275">
        <f t="shared" si="2"/>
        <v>165</v>
      </c>
      <c r="B178" s="530">
        <v>4081</v>
      </c>
      <c r="C178" s="276" t="s">
        <v>670</v>
      </c>
      <c r="D178" s="458">
        <f>'C.2.2 B 09'!P16</f>
        <v>6491573.604999451</v>
      </c>
    </row>
    <row r="179" spans="1:7" ht="15.75" customHeight="1">
      <c r="A179" s="275">
        <f t="shared" si="2"/>
        <v>166</v>
      </c>
      <c r="B179" s="530" t="s">
        <v>733</v>
      </c>
      <c r="C179" s="276" t="s">
        <v>668</v>
      </c>
      <c r="D179" s="354">
        <f>+E!E23</f>
        <v>6320921.5391450496</v>
      </c>
      <c r="F179" s="598"/>
      <c r="G179" s="598"/>
    </row>
    <row r="180" spans="1:7" ht="15.75" customHeight="1">
      <c r="A180" s="275">
        <f t="shared" si="2"/>
        <v>167</v>
      </c>
      <c r="B180" s="531"/>
      <c r="D180" s="398"/>
    </row>
    <row r="181" spans="1:7" ht="15.75" customHeight="1">
      <c r="A181" s="275">
        <f t="shared" si="2"/>
        <v>168</v>
      </c>
      <c r="B181" s="282"/>
      <c r="C181" s="276" t="s">
        <v>333</v>
      </c>
      <c r="D181" s="493">
        <f>+D174+SUM(D176:D179)</f>
        <v>145893773.55170882</v>
      </c>
    </row>
    <row r="182" spans="1:7" ht="15.75" customHeight="1">
      <c r="A182" s="275">
        <f t="shared" si="2"/>
        <v>169</v>
      </c>
      <c r="B182" s="283"/>
      <c r="D182" s="398"/>
    </row>
    <row r="183" spans="1:7" ht="15.75" customHeight="1" thickBot="1">
      <c r="A183" s="275">
        <f t="shared" si="2"/>
        <v>170</v>
      </c>
      <c r="B183" s="282"/>
      <c r="C183" s="276" t="s">
        <v>334</v>
      </c>
      <c r="D183" s="676">
        <f>D33-D181</f>
        <v>27477123.277349085</v>
      </c>
    </row>
    <row r="184" spans="1:7" ht="15.75" customHeight="1" thickTop="1">
      <c r="B184" s="290"/>
    </row>
    <row r="185" spans="1:7" ht="15.75" customHeight="1">
      <c r="A185" s="279"/>
      <c r="B185" s="290"/>
    </row>
    <row r="186" spans="1:7" ht="15.75" customHeight="1">
      <c r="B186" s="290"/>
    </row>
    <row r="187" spans="1:7" ht="15.75" customHeight="1">
      <c r="B187" s="290"/>
    </row>
    <row r="188" spans="1:7" ht="15.75" customHeight="1">
      <c r="B188" s="290"/>
    </row>
    <row r="189" spans="1:7" ht="15.75" customHeight="1">
      <c r="B189" s="290"/>
    </row>
    <row r="190" spans="1:7" ht="15.75" customHeight="1">
      <c r="B190" s="290"/>
    </row>
    <row r="191" spans="1:7" ht="15.75" customHeight="1">
      <c r="B191" s="290"/>
    </row>
    <row r="192" spans="1:7" ht="15.75" customHeight="1">
      <c r="B192" s="290"/>
    </row>
    <row r="193" spans="2:2" ht="15.75" customHeight="1">
      <c r="B193" s="283"/>
    </row>
    <row r="194" spans="2:2" ht="15.75" customHeight="1">
      <c r="B194" s="283"/>
    </row>
    <row r="195" spans="2:2" ht="15.75" customHeight="1">
      <c r="B195" s="283"/>
    </row>
    <row r="196" spans="2:2" ht="15.75" customHeight="1">
      <c r="B196" s="283"/>
    </row>
    <row r="197" spans="2:2" ht="15.75" customHeight="1">
      <c r="B197" s="28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4" right="0.67" top="0.62" bottom="1.04" header="0.5" footer="0.5"/>
  <pageSetup scale="91" fitToHeight="15" orientation="portrait" verticalDpi="300" r:id="rId1"/>
  <headerFooter alignWithMargins="0">
    <oddFooter>&amp;RSchedule &amp;A
Page &amp;P of &amp;N</oddFooter>
  </headerFooter>
  <rowBreaks count="1" manualBreakCount="1">
    <brk id="120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J188"/>
  <sheetViews>
    <sheetView view="pageBreakPreview" zoomScale="90" zoomScaleNormal="80" zoomScaleSheetLayoutView="90" workbookViewId="0">
      <pane ySplit="11" topLeftCell="A12" activePane="bottomLeft" state="frozen"/>
      <selection activeCell="B6" sqref="B6"/>
      <selection pane="bottomLeft" sqref="A1:D1"/>
    </sheetView>
  </sheetViews>
  <sheetFormatPr defaultColWidth="8.44140625" defaultRowHeight="15"/>
  <cols>
    <col min="1" max="1" width="4.77734375" style="40" customWidth="1"/>
    <col min="2" max="2" width="11.88671875" style="40" customWidth="1"/>
    <col min="3" max="3" width="45.77734375" style="40" customWidth="1"/>
    <col min="4" max="4" width="13.109375" style="40" customWidth="1"/>
    <col min="5" max="5" width="3.77734375" style="40" customWidth="1"/>
    <col min="6" max="6" width="14" style="40" customWidth="1"/>
    <col min="7" max="7" width="11.109375" style="40" customWidth="1"/>
    <col min="8" max="8" width="10.88671875" style="40" customWidth="1"/>
    <col min="9" max="16384" width="8.44140625" style="40"/>
  </cols>
  <sheetData>
    <row r="1" spans="1:8" s="1" customFormat="1">
      <c r="A1" s="1215" t="str">
        <f>'Table of Contents'!A1:C1</f>
        <v>Atmos Energy Corporation, Kentucky/Mid-States Division</v>
      </c>
      <c r="B1" s="1215"/>
      <c r="C1" s="1215"/>
      <c r="D1" s="1215"/>
      <c r="E1" s="596"/>
    </row>
    <row r="2" spans="1:8" s="1" customFormat="1">
      <c r="A2" s="1215" t="str">
        <f>'Table of Contents'!A2:C2</f>
        <v>Kentucky Jurisdiction Case No. 2018-00281</v>
      </c>
      <c r="B2" s="1215"/>
      <c r="C2" s="1215"/>
      <c r="D2" s="1215"/>
      <c r="E2" s="596"/>
    </row>
    <row r="3" spans="1:8" s="1" customFormat="1">
      <c r="A3" s="1215" t="s">
        <v>285</v>
      </c>
      <c r="B3" s="1215"/>
      <c r="C3" s="1215"/>
      <c r="D3" s="1215"/>
      <c r="E3" s="596"/>
    </row>
    <row r="4" spans="1:8">
      <c r="A4" s="1215" t="str">
        <f>'Table of Contents'!A4:C4</f>
        <v>Forecasted Test Period: Twelve Months Ended March 31, 2020</v>
      </c>
      <c r="B4" s="1215"/>
      <c r="C4" s="1215"/>
      <c r="D4" s="1215"/>
      <c r="E4" s="596"/>
    </row>
    <row r="5" spans="1:8">
      <c r="A5" s="186"/>
      <c r="B5" s="186"/>
      <c r="C5" s="30"/>
      <c r="D5" s="30"/>
      <c r="E5" s="30"/>
    </row>
    <row r="6" spans="1:8">
      <c r="A6" s="180" t="s">
        <v>1064</v>
      </c>
      <c r="D6" s="497" t="s">
        <v>1429</v>
      </c>
      <c r="E6" s="497"/>
    </row>
    <row r="7" spans="1:8">
      <c r="A7" s="4" t="str">
        <f>'C.2.1 B'!A7</f>
        <v>Type of Filing:___X____Original________Updated ________Revised</v>
      </c>
      <c r="D7" s="498" t="s">
        <v>711</v>
      </c>
      <c r="E7" s="498"/>
    </row>
    <row r="8" spans="1:8">
      <c r="A8" s="202" t="s">
        <v>365</v>
      </c>
      <c r="B8" s="190"/>
      <c r="C8" s="190"/>
      <c r="D8" s="500" t="str">
        <f>'C.1'!J9</f>
        <v>Witness: Waller, Densman</v>
      </c>
      <c r="E8" s="599"/>
    </row>
    <row r="9" spans="1:8">
      <c r="D9" s="205"/>
      <c r="E9" s="205"/>
    </row>
    <row r="10" spans="1:8">
      <c r="A10" s="204" t="s">
        <v>93</v>
      </c>
      <c r="B10" s="205" t="s">
        <v>338</v>
      </c>
      <c r="C10" s="204" t="s">
        <v>338</v>
      </c>
      <c r="D10" s="205" t="s">
        <v>986</v>
      </c>
      <c r="E10" s="205"/>
    </row>
    <row r="11" spans="1:8">
      <c r="A11" s="206" t="s">
        <v>99</v>
      </c>
      <c r="B11" s="254" t="s">
        <v>1305</v>
      </c>
      <c r="C11" s="206" t="s">
        <v>217</v>
      </c>
      <c r="D11" s="254" t="s">
        <v>314</v>
      </c>
      <c r="E11" s="600"/>
    </row>
    <row r="12" spans="1:8">
      <c r="D12" s="205" t="s">
        <v>1092</v>
      </c>
      <c r="E12" s="205"/>
    </row>
    <row r="13" spans="1:8">
      <c r="A13" s="205">
        <v>1</v>
      </c>
      <c r="B13" s="220"/>
      <c r="C13" s="41" t="s">
        <v>65</v>
      </c>
    </row>
    <row r="14" spans="1:8">
      <c r="A14" s="205">
        <f>A13+1</f>
        <v>2</v>
      </c>
      <c r="B14" s="205"/>
      <c r="C14" s="41" t="s">
        <v>135</v>
      </c>
      <c r="G14" s="191"/>
      <c r="H14" s="579"/>
    </row>
    <row r="15" spans="1:8">
      <c r="A15" s="205">
        <f t="shared" ref="A15:A81" si="0">A14+1</f>
        <v>3</v>
      </c>
      <c r="B15" s="537">
        <v>4800</v>
      </c>
      <c r="C15" s="291" t="s">
        <v>130</v>
      </c>
      <c r="D15" s="501">
        <f>-'C.2.2-F 09'!P17</f>
        <v>96519490.135870919</v>
      </c>
      <c r="E15" s="501"/>
      <c r="G15" s="191"/>
      <c r="H15" s="191"/>
    </row>
    <row r="16" spans="1:8">
      <c r="A16" s="205">
        <f t="shared" si="0"/>
        <v>4</v>
      </c>
      <c r="B16" s="537">
        <v>4811</v>
      </c>
      <c r="C16" s="291" t="s">
        <v>131</v>
      </c>
      <c r="D16" s="364">
        <f>-'C.2.2-F 09'!P19</f>
        <v>41608020.101760417</v>
      </c>
      <c r="E16" s="364"/>
      <c r="G16" s="191"/>
      <c r="H16" s="191"/>
    </row>
    <row r="17" spans="1:8">
      <c r="A17" s="205">
        <f t="shared" si="0"/>
        <v>5</v>
      </c>
      <c r="B17" s="537">
        <v>4812</v>
      </c>
      <c r="C17" s="291" t="s">
        <v>132</v>
      </c>
      <c r="D17" s="364">
        <f>-'C.2.2-F 09'!P20</f>
        <v>5370384.8363220226</v>
      </c>
      <c r="E17" s="364"/>
      <c r="F17" s="592"/>
      <c r="G17" s="721"/>
      <c r="H17" s="191"/>
    </row>
    <row r="18" spans="1:8">
      <c r="A18" s="205">
        <f t="shared" si="0"/>
        <v>6</v>
      </c>
      <c r="B18" s="537">
        <v>4820</v>
      </c>
      <c r="C18" s="291" t="s">
        <v>778</v>
      </c>
      <c r="D18" s="310">
        <f>-'C.2.2-F 09'!P23</f>
        <v>6749806.8088478921</v>
      </c>
      <c r="E18" s="364"/>
      <c r="F18" s="592"/>
      <c r="G18" s="721"/>
      <c r="H18" s="191"/>
    </row>
    <row r="19" spans="1:8">
      <c r="A19" s="205">
        <f t="shared" si="0"/>
        <v>7</v>
      </c>
      <c r="B19" s="205"/>
      <c r="C19" s="204" t="s">
        <v>1155</v>
      </c>
      <c r="D19" s="306">
        <f>SUM(D15:D18)</f>
        <v>150247701.88280123</v>
      </c>
      <c r="E19" s="306"/>
      <c r="F19" s="592"/>
      <c r="G19" s="721"/>
      <c r="H19" s="191"/>
    </row>
    <row r="20" spans="1:8">
      <c r="A20" s="205">
        <f t="shared" si="0"/>
        <v>8</v>
      </c>
      <c r="B20" s="78"/>
      <c r="D20" s="195"/>
      <c r="E20" s="195"/>
      <c r="F20" s="592"/>
      <c r="G20" s="721"/>
      <c r="H20" s="191"/>
    </row>
    <row r="21" spans="1:8">
      <c r="A21" s="205">
        <f t="shared" si="0"/>
        <v>9</v>
      </c>
      <c r="B21" s="78"/>
      <c r="C21" s="41" t="s">
        <v>64</v>
      </c>
      <c r="D21" s="259"/>
      <c r="E21" s="259"/>
      <c r="F21" s="592"/>
      <c r="G21" s="721"/>
      <c r="H21" s="191"/>
    </row>
    <row r="22" spans="1:8">
      <c r="A22" s="205">
        <f t="shared" si="0"/>
        <v>10</v>
      </c>
      <c r="B22" s="537">
        <v>4870</v>
      </c>
      <c r="C22" s="291" t="s">
        <v>1013</v>
      </c>
      <c r="D22" s="501">
        <f>-'C.2.2-F 09'!P25</f>
        <v>1304964.5637731818</v>
      </c>
      <c r="E22" s="501"/>
      <c r="F22" s="592"/>
      <c r="G22" s="721"/>
      <c r="H22" s="191"/>
    </row>
    <row r="23" spans="1:8">
      <c r="A23" s="205">
        <f t="shared" si="0"/>
        <v>11</v>
      </c>
      <c r="B23" s="537">
        <v>4880</v>
      </c>
      <c r="C23" s="291" t="s">
        <v>1014</v>
      </c>
      <c r="D23" s="364">
        <f>-'C.2.2-F 09'!P26</f>
        <v>806054</v>
      </c>
      <c r="E23" s="364"/>
      <c r="F23" s="592"/>
      <c r="G23" s="721"/>
      <c r="H23" s="191"/>
    </row>
    <row r="24" spans="1:8">
      <c r="A24" s="205">
        <f t="shared" si="0"/>
        <v>12</v>
      </c>
      <c r="B24" s="538" t="s">
        <v>1214</v>
      </c>
      <c r="C24" s="293" t="s">
        <v>63</v>
      </c>
      <c r="D24" s="364">
        <f>-'C.2.2-F 09'!P27</f>
        <v>14881381.989872882</v>
      </c>
      <c r="E24" s="364"/>
      <c r="F24" s="592"/>
      <c r="G24" s="592"/>
      <c r="H24" s="191"/>
    </row>
    <row r="25" spans="1:8">
      <c r="A25" s="205">
        <f t="shared" si="0"/>
        <v>13</v>
      </c>
      <c r="B25" s="537">
        <v>4950</v>
      </c>
      <c r="C25" s="291" t="s">
        <v>662</v>
      </c>
      <c r="D25" s="364">
        <f>-'C.2.2-F 09'!P28</f>
        <v>2477763.4005084746</v>
      </c>
      <c r="E25" s="364"/>
      <c r="F25" s="592"/>
      <c r="G25" s="592"/>
      <c r="H25" s="191"/>
    </row>
    <row r="26" spans="1:8">
      <c r="A26" s="205">
        <f t="shared" si="0"/>
        <v>14</v>
      </c>
      <c r="B26" s="78"/>
      <c r="C26" s="204" t="s">
        <v>1156</v>
      </c>
      <c r="D26" s="675">
        <f>SUM(D22:D25)</f>
        <v>19470163.95415454</v>
      </c>
      <c r="E26" s="306"/>
      <c r="F26" s="592"/>
      <c r="G26" s="721"/>
      <c r="H26" s="191"/>
    </row>
    <row r="27" spans="1:8">
      <c r="A27" s="205">
        <f t="shared" si="0"/>
        <v>15</v>
      </c>
      <c r="B27" s="78"/>
      <c r="D27" s="259"/>
      <c r="E27" s="259"/>
      <c r="F27" s="592"/>
      <c r="G27" s="592"/>
      <c r="H27" s="191"/>
    </row>
    <row r="28" spans="1:8">
      <c r="A28" s="205">
        <f t="shared" si="0"/>
        <v>16</v>
      </c>
      <c r="B28" s="205"/>
      <c r="C28" s="204" t="s">
        <v>66</v>
      </c>
      <c r="D28" s="305">
        <f>D26+D19</f>
        <v>169717865.83695579</v>
      </c>
      <c r="E28" s="305"/>
      <c r="F28" s="592"/>
      <c r="G28" s="721"/>
      <c r="H28" s="191"/>
    </row>
    <row r="29" spans="1:8">
      <c r="A29" s="205">
        <f t="shared" si="0"/>
        <v>17</v>
      </c>
      <c r="B29" s="78"/>
      <c r="D29" s="259"/>
      <c r="E29" s="259"/>
    </row>
    <row r="30" spans="1:8">
      <c r="A30" s="205">
        <f t="shared" si="0"/>
        <v>18</v>
      </c>
      <c r="B30" s="78"/>
      <c r="C30" s="41" t="s">
        <v>302</v>
      </c>
      <c r="D30" s="259"/>
      <c r="E30" s="259"/>
    </row>
    <row r="31" spans="1:8">
      <c r="A31" s="205">
        <f t="shared" si="0"/>
        <v>19</v>
      </c>
      <c r="B31" s="78"/>
      <c r="C31" s="294" t="s">
        <v>661</v>
      </c>
      <c r="D31" s="195"/>
      <c r="E31" s="195"/>
    </row>
    <row r="32" spans="1:8">
      <c r="A32" s="205">
        <f t="shared" si="0"/>
        <v>20</v>
      </c>
      <c r="B32" s="539">
        <v>7560</v>
      </c>
      <c r="C32" s="291" t="s">
        <v>326</v>
      </c>
      <c r="D32" s="364">
        <f>'C.2.2-F 09'!P30</f>
        <v>0</v>
      </c>
      <c r="E32" s="364"/>
    </row>
    <row r="33" spans="1:10">
      <c r="A33" s="205">
        <f t="shared" si="0"/>
        <v>21</v>
      </c>
      <c r="B33" s="533">
        <v>7590</v>
      </c>
      <c r="C33" s="281" t="s">
        <v>1349</v>
      </c>
      <c r="D33" s="92">
        <f>'C.2.2-F 09'!P31</f>
        <v>0</v>
      </c>
      <c r="E33" s="364"/>
    </row>
    <row r="34" spans="1:10">
      <c r="A34" s="205">
        <f t="shared" si="0"/>
        <v>22</v>
      </c>
      <c r="B34" s="78"/>
      <c r="C34" s="261" t="s">
        <v>436</v>
      </c>
      <c r="D34" s="675">
        <f>SUM(D32:D33)</f>
        <v>0</v>
      </c>
      <c r="E34" s="306"/>
      <c r="F34" s="592"/>
      <c r="G34" s="721"/>
    </row>
    <row r="35" spans="1:10">
      <c r="A35" s="205">
        <f t="shared" si="0"/>
        <v>23</v>
      </c>
      <c r="B35" s="78"/>
      <c r="C35" s="180"/>
      <c r="D35" s="309"/>
      <c r="E35" s="309"/>
    </row>
    <row r="36" spans="1:10">
      <c r="A36" s="205">
        <f t="shared" si="0"/>
        <v>24</v>
      </c>
      <c r="B36" s="78"/>
      <c r="C36" s="294" t="s">
        <v>1139</v>
      </c>
      <c r="D36" s="309"/>
      <c r="E36" s="309"/>
    </row>
    <row r="37" spans="1:10">
      <c r="A37" s="205">
        <f t="shared" si="0"/>
        <v>25</v>
      </c>
      <c r="B37" s="539">
        <v>7610</v>
      </c>
      <c r="C37" s="291" t="s">
        <v>1141</v>
      </c>
      <c r="D37" s="502">
        <v>0</v>
      </c>
      <c r="E37" s="501"/>
    </row>
    <row r="38" spans="1:10">
      <c r="A38" s="205">
        <f t="shared" si="0"/>
        <v>26</v>
      </c>
      <c r="B38" s="78"/>
      <c r="C38" s="180"/>
      <c r="D38" s="306">
        <f>SUM(D37)</f>
        <v>0</v>
      </c>
      <c r="E38" s="306"/>
    </row>
    <row r="39" spans="1:10">
      <c r="A39" s="205">
        <f t="shared" si="0"/>
        <v>27</v>
      </c>
      <c r="B39" s="78"/>
      <c r="C39" s="294" t="s">
        <v>1025</v>
      </c>
      <c r="D39" s="195"/>
      <c r="E39" s="195"/>
    </row>
    <row r="40" spans="1:10">
      <c r="A40" s="205">
        <f t="shared" si="0"/>
        <v>28</v>
      </c>
      <c r="B40" s="539">
        <v>8140</v>
      </c>
      <c r="C40" s="291" t="s">
        <v>671</v>
      </c>
      <c r="D40" s="501">
        <f>'C.2.2-F 09'!P47</f>
        <v>0</v>
      </c>
      <c r="E40" s="501"/>
      <c r="J40" s="701"/>
    </row>
    <row r="41" spans="1:10">
      <c r="A41" s="205">
        <f t="shared" si="0"/>
        <v>29</v>
      </c>
      <c r="B41" s="539">
        <v>8150</v>
      </c>
      <c r="C41" s="291" t="s">
        <v>294</v>
      </c>
      <c r="D41" s="364">
        <v>0</v>
      </c>
      <c r="E41" s="194"/>
    </row>
    <row r="42" spans="1:10">
      <c r="A42" s="205">
        <f t="shared" si="0"/>
        <v>30</v>
      </c>
      <c r="B42" s="539">
        <v>8160</v>
      </c>
      <c r="C42" s="291" t="s">
        <v>507</v>
      </c>
      <c r="D42" s="364">
        <f>'C.2.2-F 09'!P48</f>
        <v>291917.25162716309</v>
      </c>
      <c r="E42" s="194"/>
      <c r="J42" s="701"/>
    </row>
    <row r="43" spans="1:10">
      <c r="A43" s="205">
        <f t="shared" si="0"/>
        <v>31</v>
      </c>
      <c r="B43" s="539">
        <v>8170</v>
      </c>
      <c r="C43" s="291" t="s">
        <v>508</v>
      </c>
      <c r="D43" s="364">
        <f>'C.2.2-F 09'!P49</f>
        <v>21251.403291294595</v>
      </c>
      <c r="E43" s="194"/>
      <c r="J43" s="701"/>
    </row>
    <row r="44" spans="1:10">
      <c r="A44" s="205">
        <f t="shared" si="0"/>
        <v>32</v>
      </c>
      <c r="B44" s="539">
        <v>8180</v>
      </c>
      <c r="C44" s="291" t="s">
        <v>144</v>
      </c>
      <c r="D44" s="364">
        <f>'C.2.2-F 09'!P50</f>
        <v>25060.377734532805</v>
      </c>
      <c r="E44" s="194"/>
      <c r="J44" s="701"/>
    </row>
    <row r="45" spans="1:10">
      <c r="A45" s="205">
        <f t="shared" si="0"/>
        <v>33</v>
      </c>
      <c r="B45" s="540">
        <v>8190</v>
      </c>
      <c r="C45" s="245" t="s">
        <v>145</v>
      </c>
      <c r="D45" s="364">
        <f>'C.2.2-F 09'!P51</f>
        <v>735.31548750117838</v>
      </c>
      <c r="E45" s="194"/>
      <c r="J45" s="701"/>
    </row>
    <row r="46" spans="1:10">
      <c r="A46" s="205">
        <f t="shared" si="0"/>
        <v>34</v>
      </c>
      <c r="B46" s="540">
        <v>8200</v>
      </c>
      <c r="C46" s="245" t="s">
        <v>475</v>
      </c>
      <c r="D46" s="364">
        <f>'C.2.2-F 09'!P52</f>
        <v>6180.8695012862445</v>
      </c>
      <c r="E46" s="194"/>
      <c r="J46" s="701"/>
    </row>
    <row r="47" spans="1:10">
      <c r="A47" s="205">
        <f t="shared" si="0"/>
        <v>35</v>
      </c>
      <c r="B47" s="540">
        <v>8210</v>
      </c>
      <c r="C47" s="245" t="s">
        <v>476</v>
      </c>
      <c r="D47" s="364">
        <f>'C.2.2-F 09'!P53</f>
        <v>49855.629403574771</v>
      </c>
      <c r="E47" s="194"/>
      <c r="J47" s="701"/>
    </row>
    <row r="48" spans="1:10">
      <c r="A48" s="205">
        <f t="shared" si="0"/>
        <v>36</v>
      </c>
      <c r="B48" s="540">
        <v>8240</v>
      </c>
      <c r="C48" s="245" t="s">
        <v>584</v>
      </c>
      <c r="D48" s="364">
        <f>'C.2.2-F 09'!P54</f>
        <v>0</v>
      </c>
      <c r="E48" s="194"/>
      <c r="J48" s="701"/>
    </row>
    <row r="49" spans="1:10">
      <c r="A49" s="205">
        <f t="shared" si="0"/>
        <v>37</v>
      </c>
      <c r="B49" s="540">
        <v>8250</v>
      </c>
      <c r="C49" s="245" t="s">
        <v>637</v>
      </c>
      <c r="D49" s="364">
        <f>'C.2.2-F 09'!P55</f>
        <v>8763.2029185619394</v>
      </c>
      <c r="E49" s="194"/>
      <c r="J49" s="701"/>
    </row>
    <row r="50" spans="1:10">
      <c r="A50" s="205">
        <f t="shared" si="0"/>
        <v>38</v>
      </c>
      <c r="B50" s="78"/>
      <c r="C50" s="261" t="s">
        <v>1026</v>
      </c>
      <c r="D50" s="675">
        <f>SUM(D40:D49)</f>
        <v>403764.04996391461</v>
      </c>
      <c r="E50" s="306"/>
      <c r="F50" s="592"/>
      <c r="G50" s="721"/>
    </row>
    <row r="51" spans="1:10">
      <c r="A51" s="205">
        <f t="shared" si="0"/>
        <v>39</v>
      </c>
      <c r="B51" s="78"/>
      <c r="C51" s="180"/>
      <c r="D51" s="223"/>
      <c r="E51" s="223"/>
    </row>
    <row r="52" spans="1:10">
      <c r="A52" s="205">
        <f t="shared" si="0"/>
        <v>40</v>
      </c>
      <c r="B52" s="78"/>
      <c r="C52" s="294" t="s">
        <v>1012</v>
      </c>
      <c r="D52" s="223"/>
      <c r="E52" s="223"/>
    </row>
    <row r="53" spans="1:10">
      <c r="A53" s="205">
        <f t="shared" si="0"/>
        <v>41</v>
      </c>
      <c r="B53" s="540">
        <v>8310</v>
      </c>
      <c r="C53" s="245" t="s">
        <v>638</v>
      </c>
      <c r="D53" s="501">
        <f>'C.2.2-F 09'!P56</f>
        <v>12735.719785935193</v>
      </c>
      <c r="E53" s="501"/>
      <c r="J53" s="701"/>
    </row>
    <row r="54" spans="1:10">
      <c r="A54" s="205">
        <f t="shared" si="0"/>
        <v>42</v>
      </c>
      <c r="B54" s="540">
        <v>8320</v>
      </c>
      <c r="C54" s="245" t="s">
        <v>639</v>
      </c>
      <c r="D54" s="364">
        <v>0</v>
      </c>
      <c r="E54" s="194"/>
    </row>
    <row r="55" spans="1:10">
      <c r="A55" s="205">
        <f t="shared" si="0"/>
        <v>43</v>
      </c>
      <c r="B55" s="540">
        <v>8340</v>
      </c>
      <c r="C55" s="245" t="s">
        <v>640</v>
      </c>
      <c r="D55" s="364">
        <f>'C.2.2-F 09'!P57</f>
        <v>3330.9810827280085</v>
      </c>
      <c r="E55" s="194"/>
      <c r="J55" s="701"/>
    </row>
    <row r="56" spans="1:10">
      <c r="A56" s="205">
        <f t="shared" si="0"/>
        <v>44</v>
      </c>
      <c r="B56" s="540">
        <v>8350</v>
      </c>
      <c r="C56" s="245" t="s">
        <v>641</v>
      </c>
      <c r="D56" s="364">
        <f>'C.2.2-F 09'!P58</f>
        <v>0</v>
      </c>
      <c r="E56" s="194"/>
      <c r="J56" s="701"/>
    </row>
    <row r="57" spans="1:10">
      <c r="A57" s="205">
        <f t="shared" si="0"/>
        <v>45</v>
      </c>
      <c r="B57" s="540">
        <v>8360</v>
      </c>
      <c r="C57" s="245" t="s">
        <v>1040</v>
      </c>
      <c r="D57" s="364">
        <f>'C.2.2-F 09'!P59</f>
        <v>0</v>
      </c>
      <c r="E57" s="194"/>
      <c r="J57" s="701"/>
    </row>
    <row r="58" spans="1:10">
      <c r="A58" s="205">
        <f t="shared" si="0"/>
        <v>46</v>
      </c>
      <c r="B58" s="540">
        <v>8370</v>
      </c>
      <c r="C58" s="245" t="s">
        <v>1342</v>
      </c>
      <c r="D58" s="364">
        <f>'C.2.2-F 09'!P60</f>
        <v>0</v>
      </c>
      <c r="E58" s="194"/>
      <c r="J58" s="701"/>
    </row>
    <row r="59" spans="1:10">
      <c r="A59" s="205">
        <f t="shared" si="0"/>
        <v>47</v>
      </c>
      <c r="B59" s="541" t="s">
        <v>446</v>
      </c>
      <c r="C59" s="245" t="s">
        <v>447</v>
      </c>
      <c r="D59" s="364">
        <f>'C.2.2-F 09'!P61</f>
        <v>69083.358876515063</v>
      </c>
      <c r="E59" s="194"/>
    </row>
    <row r="60" spans="1:10">
      <c r="A60" s="205">
        <f t="shared" si="0"/>
        <v>48</v>
      </c>
      <c r="B60" s="78"/>
      <c r="C60" s="261" t="s">
        <v>1027</v>
      </c>
      <c r="D60" s="675">
        <f>SUM(D53:D59)</f>
        <v>85150.059745178267</v>
      </c>
      <c r="E60" s="501"/>
      <c r="F60" s="592"/>
      <c r="G60" s="721"/>
    </row>
    <row r="61" spans="1:10">
      <c r="A61" s="205">
        <f t="shared" si="0"/>
        <v>49</v>
      </c>
      <c r="B61" s="78"/>
      <c r="C61" s="180"/>
      <c r="D61" s="223"/>
      <c r="E61" s="223"/>
    </row>
    <row r="62" spans="1:10">
      <c r="A62" s="205">
        <f t="shared" si="0"/>
        <v>50</v>
      </c>
      <c r="B62" s="78"/>
      <c r="C62" s="294" t="s">
        <v>1028</v>
      </c>
      <c r="D62" s="223"/>
      <c r="E62" s="223"/>
    </row>
    <row r="63" spans="1:10">
      <c r="A63" s="205">
        <f t="shared" si="0"/>
        <v>51</v>
      </c>
      <c r="B63" s="540">
        <v>8500</v>
      </c>
      <c r="C63" s="245" t="s">
        <v>671</v>
      </c>
      <c r="D63" s="501">
        <f>'C.2.2-F 09'!P62</f>
        <v>35.118373757013437</v>
      </c>
      <c r="E63" s="501"/>
      <c r="J63" s="701"/>
    </row>
    <row r="64" spans="1:10">
      <c r="A64" s="205">
        <f t="shared" si="0"/>
        <v>52</v>
      </c>
      <c r="B64" s="540">
        <v>8520</v>
      </c>
      <c r="C64" s="288" t="s">
        <v>1343</v>
      </c>
      <c r="D64" s="364">
        <f>'C.2.2-F 09'!P63</f>
        <v>0</v>
      </c>
      <c r="E64" s="501"/>
      <c r="J64" s="701"/>
    </row>
    <row r="65" spans="1:10">
      <c r="A65" s="205">
        <f t="shared" si="0"/>
        <v>53</v>
      </c>
      <c r="B65" s="540">
        <v>8550</v>
      </c>
      <c r="C65" s="288" t="s">
        <v>1398</v>
      </c>
      <c r="D65" s="364">
        <f>'C.2.2-F 09'!P64</f>
        <v>308.09014622881716</v>
      </c>
      <c r="E65" s="501"/>
      <c r="J65" s="701"/>
    </row>
    <row r="66" spans="1:10">
      <c r="A66" s="205">
        <f t="shared" si="0"/>
        <v>54</v>
      </c>
      <c r="B66" s="540">
        <v>8560</v>
      </c>
      <c r="C66" s="245" t="s">
        <v>642</v>
      </c>
      <c r="D66" s="364">
        <f>'C.2.2-F 09'!P65</f>
        <v>366202.05756504892</v>
      </c>
      <c r="E66" s="194"/>
      <c r="J66" s="701"/>
    </row>
    <row r="67" spans="1:10">
      <c r="A67" s="205">
        <f t="shared" si="0"/>
        <v>55</v>
      </c>
      <c r="B67" s="540">
        <v>8570</v>
      </c>
      <c r="C67" s="245" t="s">
        <v>643</v>
      </c>
      <c r="D67" s="364">
        <f>'C.2.2-F 09'!P66</f>
        <v>27278.000971434969</v>
      </c>
      <c r="E67" s="194"/>
      <c r="J67" s="701"/>
    </row>
    <row r="68" spans="1:10">
      <c r="A68" s="205">
        <f t="shared" si="0"/>
        <v>56</v>
      </c>
      <c r="B68" s="540">
        <v>8590</v>
      </c>
      <c r="C68" s="245" t="s">
        <v>646</v>
      </c>
      <c r="D68" s="194">
        <v>0</v>
      </c>
      <c r="E68" s="194"/>
    </row>
    <row r="69" spans="1:10">
      <c r="A69" s="205">
        <f t="shared" si="0"/>
        <v>57</v>
      </c>
      <c r="B69" s="540">
        <v>8600</v>
      </c>
      <c r="C69" s="245" t="s">
        <v>769</v>
      </c>
      <c r="D69" s="231">
        <v>0</v>
      </c>
      <c r="E69" s="194"/>
    </row>
    <row r="70" spans="1:10">
      <c r="A70" s="205">
        <f t="shared" si="0"/>
        <v>58</v>
      </c>
      <c r="B70" s="78"/>
      <c r="C70" s="261" t="s">
        <v>1004</v>
      </c>
      <c r="D70" s="306">
        <f>SUM(D63:D69)</f>
        <v>393823.26705646975</v>
      </c>
      <c r="E70" s="306"/>
      <c r="F70" s="592"/>
      <c r="G70" s="721"/>
    </row>
    <row r="71" spans="1:10">
      <c r="A71" s="205">
        <f t="shared" si="0"/>
        <v>59</v>
      </c>
      <c r="B71" s="78"/>
      <c r="C71" s="180"/>
      <c r="D71" s="223"/>
      <c r="E71" s="223"/>
    </row>
    <row r="72" spans="1:10">
      <c r="A72" s="205">
        <f t="shared" si="0"/>
        <v>60</v>
      </c>
      <c r="B72" s="78"/>
      <c r="C72" s="294" t="s">
        <v>1005</v>
      </c>
      <c r="D72" s="223"/>
      <c r="E72" s="223"/>
    </row>
    <row r="73" spans="1:10">
      <c r="A73" s="205">
        <f t="shared" si="0"/>
        <v>61</v>
      </c>
      <c r="B73" s="540">
        <v>8620</v>
      </c>
      <c r="C73" s="245" t="s">
        <v>969</v>
      </c>
      <c r="D73" s="501">
        <v>0</v>
      </c>
      <c r="E73" s="501"/>
    </row>
    <row r="74" spans="1:10">
      <c r="A74" s="205">
        <f t="shared" si="0"/>
        <v>62</v>
      </c>
      <c r="B74" s="540">
        <v>8630</v>
      </c>
      <c r="C74" s="245" t="s">
        <v>506</v>
      </c>
      <c r="D74" s="364">
        <f>'C.2.2-F 09'!P67</f>
        <v>16279.782527999811</v>
      </c>
      <c r="E74" s="194"/>
      <c r="J74" s="701"/>
    </row>
    <row r="75" spans="1:10">
      <c r="A75" s="205">
        <f t="shared" si="0"/>
        <v>63</v>
      </c>
      <c r="B75" s="540">
        <v>8640</v>
      </c>
      <c r="C75" s="245" t="s">
        <v>591</v>
      </c>
      <c r="D75" s="364">
        <f>'C.2.2-F 09'!P68</f>
        <v>0</v>
      </c>
      <c r="E75" s="194"/>
    </row>
    <row r="76" spans="1:10">
      <c r="A76" s="205">
        <f t="shared" si="0"/>
        <v>64</v>
      </c>
      <c r="B76" s="540">
        <v>8650</v>
      </c>
      <c r="C76" s="245" t="s">
        <v>644</v>
      </c>
      <c r="D76" s="364">
        <f>'C.2.2-F 09'!P69</f>
        <v>0</v>
      </c>
      <c r="E76" s="194"/>
      <c r="J76" s="701"/>
    </row>
    <row r="77" spans="1:10">
      <c r="A77" s="205">
        <f t="shared" si="0"/>
        <v>65</v>
      </c>
      <c r="B77" s="540">
        <v>8670</v>
      </c>
      <c r="C77" s="245" t="s">
        <v>645</v>
      </c>
      <c r="D77" s="364">
        <v>0</v>
      </c>
      <c r="E77" s="194"/>
      <c r="J77" s="701"/>
    </row>
    <row r="78" spans="1:10">
      <c r="A78" s="205">
        <f t="shared" si="0"/>
        <v>66</v>
      </c>
      <c r="B78" s="78"/>
      <c r="C78" s="261" t="s">
        <v>1006</v>
      </c>
      <c r="D78" s="675">
        <f>SUM(D73:D77)</f>
        <v>16279.782527999811</v>
      </c>
      <c r="E78" s="306"/>
      <c r="F78" s="592"/>
      <c r="G78" s="721"/>
    </row>
    <row r="79" spans="1:10">
      <c r="A79" s="205">
        <f t="shared" si="0"/>
        <v>67</v>
      </c>
      <c r="B79" s="78"/>
      <c r="C79" s="180"/>
      <c r="D79" s="223"/>
      <c r="E79" s="223"/>
    </row>
    <row r="80" spans="1:10">
      <c r="A80" s="205">
        <f t="shared" si="0"/>
        <v>68</v>
      </c>
      <c r="B80" s="78"/>
      <c r="C80" s="294" t="s">
        <v>327</v>
      </c>
      <c r="D80" s="259"/>
      <c r="E80" s="259"/>
    </row>
    <row r="81" spans="1:6">
      <c r="A81" s="205">
        <f t="shared" si="0"/>
        <v>69</v>
      </c>
      <c r="B81" s="530">
        <v>8001</v>
      </c>
      <c r="C81" s="281" t="s">
        <v>867</v>
      </c>
      <c r="D81" s="501">
        <f>'C.2.2-F 09'!P32</f>
        <v>0</v>
      </c>
      <c r="E81" s="501"/>
    </row>
    <row r="82" spans="1:6">
      <c r="A82" s="205">
        <f t="shared" ref="A82:A145" si="1">A81+1</f>
        <v>70</v>
      </c>
      <c r="B82" s="530">
        <v>8010</v>
      </c>
      <c r="C82" s="92" t="s">
        <v>1212</v>
      </c>
      <c r="D82" s="194">
        <f>'C.2.2-F 09'!P33</f>
        <v>61239.873096168121</v>
      </c>
      <c r="E82" s="501"/>
    </row>
    <row r="83" spans="1:6">
      <c r="A83" s="205">
        <f t="shared" si="1"/>
        <v>71</v>
      </c>
      <c r="B83" s="537">
        <v>8040</v>
      </c>
      <c r="C83" s="204" t="s">
        <v>303</v>
      </c>
      <c r="D83" s="194">
        <f>'C.2.2-F 09'!P34</f>
        <v>51401318.063134104</v>
      </c>
      <c r="E83" s="194"/>
      <c r="F83" s="194"/>
    </row>
    <row r="84" spans="1:6">
      <c r="A84" s="205">
        <f t="shared" si="1"/>
        <v>72</v>
      </c>
      <c r="B84" s="537">
        <v>8045</v>
      </c>
      <c r="C84" s="204" t="s">
        <v>1137</v>
      </c>
      <c r="D84" s="194">
        <v>0</v>
      </c>
      <c r="E84" s="194"/>
      <c r="F84" s="194"/>
    </row>
    <row r="85" spans="1:6">
      <c r="A85" s="205">
        <f t="shared" si="1"/>
        <v>73</v>
      </c>
      <c r="B85" s="530">
        <v>8050</v>
      </c>
      <c r="C85" s="281" t="s">
        <v>908</v>
      </c>
      <c r="D85" s="194">
        <f>'C.2.2-F 09'!P35</f>
        <v>-7601.6991613188902</v>
      </c>
      <c r="E85" s="194"/>
      <c r="F85" s="194"/>
    </row>
    <row r="86" spans="1:6">
      <c r="A86" s="205">
        <f t="shared" si="1"/>
        <v>74</v>
      </c>
      <c r="B86" s="537">
        <v>8051</v>
      </c>
      <c r="C86" s="204" t="s">
        <v>811</v>
      </c>
      <c r="D86" s="194">
        <f>'C.2.2-F 09'!P36</f>
        <v>47517426.99680312</v>
      </c>
      <c r="E86" s="194"/>
      <c r="F86" s="194"/>
    </row>
    <row r="87" spans="1:6">
      <c r="A87" s="205">
        <f t="shared" si="1"/>
        <v>75</v>
      </c>
      <c r="B87" s="537">
        <v>8052</v>
      </c>
      <c r="C87" s="204" t="s">
        <v>421</v>
      </c>
      <c r="D87" s="194">
        <f>'C.2.2-F 09'!P37</f>
        <v>24564310.870280467</v>
      </c>
      <c r="E87" s="194"/>
      <c r="F87" s="194"/>
    </row>
    <row r="88" spans="1:6">
      <c r="A88" s="205">
        <f t="shared" si="1"/>
        <v>76</v>
      </c>
      <c r="B88" s="537">
        <v>8053</v>
      </c>
      <c r="C88" s="204" t="s">
        <v>835</v>
      </c>
      <c r="D88" s="194">
        <f>'C.2.2-F 09'!P38</f>
        <v>4854141.7455384377</v>
      </c>
      <c r="E88" s="194"/>
      <c r="F88" s="194"/>
    </row>
    <row r="89" spans="1:6">
      <c r="A89" s="205">
        <f t="shared" si="1"/>
        <v>77</v>
      </c>
      <c r="B89" s="537">
        <v>8054</v>
      </c>
      <c r="C89" s="204" t="s">
        <v>836</v>
      </c>
      <c r="D89" s="194">
        <f>'C.2.2-F 09'!P39</f>
        <v>4585481.8250290044</v>
      </c>
      <c r="E89" s="194"/>
      <c r="F89" s="194"/>
    </row>
    <row r="90" spans="1:6">
      <c r="A90" s="205">
        <f t="shared" si="1"/>
        <v>78</v>
      </c>
      <c r="B90" s="537">
        <v>8057</v>
      </c>
      <c r="C90" s="204" t="s">
        <v>281</v>
      </c>
      <c r="D90" s="194">
        <v>0</v>
      </c>
      <c r="E90" s="194"/>
      <c r="F90" s="194"/>
    </row>
    <row r="91" spans="1:6">
      <c r="A91" s="205">
        <f t="shared" si="1"/>
        <v>79</v>
      </c>
      <c r="B91" s="537">
        <v>8058</v>
      </c>
      <c r="C91" s="204" t="s">
        <v>282</v>
      </c>
      <c r="D91" s="194">
        <f>'C.2.2-F 09'!P40</f>
        <v>-3124678.318749161</v>
      </c>
      <c r="E91" s="194"/>
      <c r="F91" s="194"/>
    </row>
    <row r="92" spans="1:6">
      <c r="A92" s="205">
        <f t="shared" si="1"/>
        <v>80</v>
      </c>
      <c r="B92" s="537">
        <v>8059</v>
      </c>
      <c r="C92" s="204" t="s">
        <v>283</v>
      </c>
      <c r="D92" s="194">
        <f>'C.2.2-F 09'!P41</f>
        <v>-71826171.145405352</v>
      </c>
      <c r="E92" s="194"/>
      <c r="F92" s="194"/>
    </row>
    <row r="93" spans="1:6">
      <c r="A93" s="205">
        <f t="shared" si="1"/>
        <v>81</v>
      </c>
      <c r="B93" s="537">
        <v>8060</v>
      </c>
      <c r="C93" s="204" t="s">
        <v>1007</v>
      </c>
      <c r="D93" s="194">
        <f>'C.2.2-F 09'!P42</f>
        <v>-2147338.3896632735</v>
      </c>
      <c r="E93" s="194"/>
      <c r="F93" s="194"/>
    </row>
    <row r="94" spans="1:6">
      <c r="A94" s="205">
        <f t="shared" si="1"/>
        <v>82</v>
      </c>
      <c r="B94" s="537">
        <v>8081</v>
      </c>
      <c r="C94" s="204" t="s">
        <v>284</v>
      </c>
      <c r="D94" s="194">
        <f>'C.2.2-F 09'!P43</f>
        <v>12436037.28370617</v>
      </c>
      <c r="E94" s="194"/>
      <c r="F94" s="194"/>
    </row>
    <row r="95" spans="1:6">
      <c r="A95" s="205">
        <f t="shared" si="1"/>
        <v>83</v>
      </c>
      <c r="B95" s="537">
        <v>8082</v>
      </c>
      <c r="C95" s="204" t="s">
        <v>67</v>
      </c>
      <c r="D95" s="194">
        <f>'C.2.2-F 09'!P44</f>
        <v>-12626734.322241789</v>
      </c>
      <c r="E95" s="194"/>
      <c r="F95" s="194"/>
    </row>
    <row r="96" spans="1:6">
      <c r="A96" s="205">
        <f t="shared" si="1"/>
        <v>84</v>
      </c>
      <c r="B96" s="530">
        <v>8110</v>
      </c>
      <c r="C96" s="276" t="s">
        <v>1213</v>
      </c>
      <c r="D96" s="194">
        <v>0</v>
      </c>
      <c r="E96" s="194"/>
      <c r="F96" s="194"/>
    </row>
    <row r="97" spans="1:10">
      <c r="A97" s="205">
        <f t="shared" si="1"/>
        <v>85</v>
      </c>
      <c r="B97" s="537">
        <v>8120</v>
      </c>
      <c r="C97" s="204" t="s">
        <v>1023</v>
      </c>
      <c r="D97" s="194">
        <f>'C.2.2-F 09'!P45</f>
        <v>-14328.965645982522</v>
      </c>
      <c r="E97" s="194"/>
      <c r="F97" s="194"/>
    </row>
    <row r="98" spans="1:10">
      <c r="A98" s="205">
        <f t="shared" si="1"/>
        <v>86</v>
      </c>
      <c r="B98" s="537">
        <v>8130</v>
      </c>
      <c r="C98" s="204" t="s">
        <v>69</v>
      </c>
      <c r="D98" s="194">
        <v>0</v>
      </c>
      <c r="E98" s="194"/>
      <c r="F98" s="194"/>
    </row>
    <row r="99" spans="1:10">
      <c r="A99" s="205">
        <f t="shared" si="1"/>
        <v>87</v>
      </c>
      <c r="B99" s="530">
        <v>8580</v>
      </c>
      <c r="C99" s="276" t="s">
        <v>1211</v>
      </c>
      <c r="D99" s="194">
        <f>'C.2.2-F 09'!P46</f>
        <v>22709250.336535297</v>
      </c>
      <c r="E99" s="194"/>
    </row>
    <row r="100" spans="1:10">
      <c r="A100" s="205">
        <f t="shared" si="1"/>
        <v>88</v>
      </c>
      <c r="B100" s="78"/>
      <c r="C100" s="674" t="s">
        <v>1024</v>
      </c>
      <c r="D100" s="675">
        <f>SUM(D81:D99)</f>
        <v>78382354.15325588</v>
      </c>
      <c r="E100" s="306"/>
      <c r="F100" s="592"/>
      <c r="G100" s="721"/>
    </row>
    <row r="101" spans="1:10">
      <c r="A101" s="205">
        <f t="shared" si="1"/>
        <v>89</v>
      </c>
      <c r="B101" s="78"/>
      <c r="D101" s="195"/>
      <c r="E101" s="195"/>
    </row>
    <row r="102" spans="1:10">
      <c r="A102" s="205">
        <f t="shared" si="1"/>
        <v>90</v>
      </c>
      <c r="B102" s="78"/>
      <c r="C102" s="294" t="s">
        <v>1050</v>
      </c>
      <c r="D102" s="195"/>
      <c r="E102" s="195"/>
    </row>
    <row r="103" spans="1:10">
      <c r="A103" s="205">
        <f t="shared" si="1"/>
        <v>91</v>
      </c>
      <c r="B103" s="537">
        <v>8700</v>
      </c>
      <c r="C103" s="291" t="s">
        <v>647</v>
      </c>
      <c r="D103" s="501">
        <f>'C.2.2-F 09'!P70</f>
        <v>963410.59630892519</v>
      </c>
      <c r="E103" s="501"/>
      <c r="J103" s="701"/>
    </row>
    <row r="104" spans="1:10">
      <c r="A104" s="205">
        <f t="shared" si="1"/>
        <v>92</v>
      </c>
      <c r="B104" s="537">
        <v>8710</v>
      </c>
      <c r="C104" s="291" t="s">
        <v>648</v>
      </c>
      <c r="D104" s="194">
        <f>'C.2.2-F 09'!P71</f>
        <v>662.75519588347731</v>
      </c>
      <c r="E104" s="194"/>
      <c r="J104" s="701"/>
    </row>
    <row r="105" spans="1:10">
      <c r="A105" s="205">
        <f t="shared" si="1"/>
        <v>93</v>
      </c>
      <c r="B105" s="537">
        <v>8711</v>
      </c>
      <c r="C105" s="204" t="s">
        <v>344</v>
      </c>
      <c r="D105" s="194">
        <f>'C.2.2-F 09'!P72</f>
        <v>19955.644053049011</v>
      </c>
      <c r="E105" s="194"/>
      <c r="J105" s="701"/>
    </row>
    <row r="106" spans="1:10">
      <c r="A106" s="205">
        <f t="shared" si="1"/>
        <v>94</v>
      </c>
      <c r="B106" s="537">
        <v>8720</v>
      </c>
      <c r="C106" s="291" t="s">
        <v>961</v>
      </c>
      <c r="D106" s="194">
        <f>'C.2.2-F 09'!P73</f>
        <v>0</v>
      </c>
      <c r="E106" s="194"/>
    </row>
    <row r="107" spans="1:10">
      <c r="A107" s="205">
        <f t="shared" si="1"/>
        <v>95</v>
      </c>
      <c r="B107" s="537">
        <v>8740</v>
      </c>
      <c r="C107" s="291" t="s">
        <v>962</v>
      </c>
      <c r="D107" s="194">
        <f>'C.2.2-F 09'!P74</f>
        <v>4320718.7295684638</v>
      </c>
      <c r="E107" s="194"/>
      <c r="J107" s="701"/>
    </row>
    <row r="108" spans="1:10">
      <c r="A108" s="205">
        <f t="shared" si="1"/>
        <v>96</v>
      </c>
      <c r="B108" s="537">
        <v>8750</v>
      </c>
      <c r="C108" s="291" t="s">
        <v>966</v>
      </c>
      <c r="D108" s="194">
        <f>'C.2.2-F 09'!P75</f>
        <v>574713.5460668921</v>
      </c>
      <c r="E108" s="194"/>
      <c r="J108" s="701"/>
    </row>
    <row r="109" spans="1:10">
      <c r="A109" s="205">
        <f t="shared" si="1"/>
        <v>97</v>
      </c>
      <c r="B109" s="537">
        <v>8760</v>
      </c>
      <c r="C109" s="291" t="s">
        <v>967</v>
      </c>
      <c r="D109" s="194">
        <f>'C.2.2-F 09'!P76</f>
        <v>120928.18145158212</v>
      </c>
      <c r="E109" s="194"/>
      <c r="J109" s="701"/>
    </row>
    <row r="110" spans="1:10">
      <c r="A110" s="205">
        <f t="shared" si="1"/>
        <v>98</v>
      </c>
      <c r="B110" s="537">
        <v>8770</v>
      </c>
      <c r="C110" s="291" t="s">
        <v>968</v>
      </c>
      <c r="D110" s="194">
        <f>'C.2.2-F 09'!P77</f>
        <v>38285.750086711603</v>
      </c>
      <c r="E110" s="194"/>
      <c r="J110" s="701"/>
    </row>
    <row r="111" spans="1:10">
      <c r="A111" s="205">
        <f t="shared" si="1"/>
        <v>99</v>
      </c>
      <c r="B111" s="537">
        <v>8780</v>
      </c>
      <c r="C111" s="291" t="s">
        <v>963</v>
      </c>
      <c r="D111" s="194">
        <f>'C.2.2-F 09'!P78</f>
        <v>820620.69918436499</v>
      </c>
      <c r="E111" s="194"/>
      <c r="J111" s="701"/>
    </row>
    <row r="112" spans="1:10">
      <c r="A112" s="205">
        <f t="shared" si="1"/>
        <v>100</v>
      </c>
      <c r="B112" s="537">
        <v>8790</v>
      </c>
      <c r="C112" s="291" t="s">
        <v>964</v>
      </c>
      <c r="D112" s="194">
        <f>'C.2.2-F 09'!P79</f>
        <v>2246.2975477254686</v>
      </c>
      <c r="E112" s="194"/>
      <c r="J112" s="701"/>
    </row>
    <row r="113" spans="1:10">
      <c r="A113" s="205">
        <f t="shared" si="1"/>
        <v>101</v>
      </c>
      <c r="B113" s="537">
        <v>8800</v>
      </c>
      <c r="C113" s="291" t="s">
        <v>965</v>
      </c>
      <c r="D113" s="194">
        <f>'C.2.2-F 09'!P80</f>
        <v>3203.5302991371959</v>
      </c>
      <c r="E113" s="194"/>
      <c r="J113" s="701"/>
    </row>
    <row r="114" spans="1:10">
      <c r="A114" s="205">
        <f t="shared" si="1"/>
        <v>102</v>
      </c>
      <c r="B114" s="537">
        <v>8810</v>
      </c>
      <c r="C114" s="291" t="s">
        <v>769</v>
      </c>
      <c r="D114" s="194">
        <f>'C.2.2-F 09'!P81</f>
        <v>369767.98262219987</v>
      </c>
      <c r="E114" s="194"/>
      <c r="J114" s="701"/>
    </row>
    <row r="115" spans="1:10">
      <c r="A115" s="205">
        <f t="shared" si="1"/>
        <v>103</v>
      </c>
      <c r="B115" s="78"/>
      <c r="C115" s="261" t="s">
        <v>659</v>
      </c>
      <c r="D115" s="675">
        <f>SUM(D103:D114)</f>
        <v>7234513.7123849345</v>
      </c>
      <c r="E115" s="306"/>
      <c r="F115" s="592"/>
      <c r="G115" s="721"/>
    </row>
    <row r="116" spans="1:10">
      <c r="A116" s="205">
        <f t="shared" si="1"/>
        <v>104</v>
      </c>
      <c r="B116" s="78"/>
      <c r="D116" s="195"/>
      <c r="E116" s="195"/>
    </row>
    <row r="117" spans="1:10">
      <c r="A117" s="205">
        <f t="shared" si="1"/>
        <v>105</v>
      </c>
      <c r="B117" s="205"/>
      <c r="C117" s="294" t="s">
        <v>660</v>
      </c>
      <c r="D117" s="259"/>
      <c r="E117" s="259"/>
    </row>
    <row r="118" spans="1:10">
      <c r="A118" s="205">
        <f t="shared" si="1"/>
        <v>106</v>
      </c>
      <c r="B118" s="537">
        <v>8850</v>
      </c>
      <c r="C118" s="291" t="s">
        <v>647</v>
      </c>
      <c r="D118" s="501">
        <f>'C.2.2-F 09'!P82</f>
        <v>1588.0199403374866</v>
      </c>
      <c r="E118" s="501"/>
      <c r="H118" s="701"/>
      <c r="J118" s="701"/>
    </row>
    <row r="119" spans="1:10">
      <c r="A119" s="205">
        <f t="shared" si="1"/>
        <v>107</v>
      </c>
      <c r="B119" s="537">
        <v>8860</v>
      </c>
      <c r="C119" s="291" t="s">
        <v>969</v>
      </c>
      <c r="D119" s="194">
        <f>'C.2.2-F 09'!P83</f>
        <v>98.164274701963336</v>
      </c>
      <c r="E119" s="194"/>
      <c r="H119" s="701"/>
      <c r="J119" s="701"/>
    </row>
    <row r="120" spans="1:10">
      <c r="A120" s="205">
        <f t="shared" si="1"/>
        <v>108</v>
      </c>
      <c r="B120" s="537">
        <v>8870</v>
      </c>
      <c r="C120" s="291" t="s">
        <v>506</v>
      </c>
      <c r="D120" s="194">
        <f>'C.2.2-F 09'!P84</f>
        <v>28852.101092614503</v>
      </c>
      <c r="E120" s="194"/>
      <c r="H120" s="701"/>
      <c r="J120" s="701"/>
    </row>
    <row r="121" spans="1:10">
      <c r="A121" s="205">
        <f t="shared" si="1"/>
        <v>109</v>
      </c>
      <c r="B121" s="537">
        <v>8890</v>
      </c>
      <c r="C121" s="291" t="s">
        <v>966</v>
      </c>
      <c r="D121" s="194">
        <f>'C.2.2-F 09'!P85</f>
        <v>65571.866984355671</v>
      </c>
      <c r="E121" s="194"/>
      <c r="H121" s="701"/>
      <c r="J121" s="701"/>
    </row>
    <row r="122" spans="1:10">
      <c r="A122" s="205">
        <f t="shared" si="1"/>
        <v>110</v>
      </c>
      <c r="B122" s="537">
        <v>8900</v>
      </c>
      <c r="C122" s="291" t="s">
        <v>967</v>
      </c>
      <c r="D122" s="194">
        <f>'C.2.2-F 09'!P86</f>
        <v>1723.0432342067479</v>
      </c>
      <c r="E122" s="194"/>
      <c r="H122" s="701"/>
      <c r="J122" s="701"/>
    </row>
    <row r="123" spans="1:10">
      <c r="A123" s="205">
        <f t="shared" si="1"/>
        <v>111</v>
      </c>
      <c r="B123" s="537">
        <v>8910</v>
      </c>
      <c r="C123" s="291" t="s">
        <v>968</v>
      </c>
      <c r="D123" s="194">
        <f>'C.2.2-F 09'!P87</f>
        <v>795.18127800220111</v>
      </c>
      <c r="E123" s="194"/>
      <c r="H123" s="701"/>
      <c r="J123" s="701"/>
    </row>
    <row r="124" spans="1:10">
      <c r="A124" s="205">
        <f t="shared" si="1"/>
        <v>112</v>
      </c>
      <c r="B124" s="537">
        <v>8920</v>
      </c>
      <c r="C124" s="291" t="s">
        <v>1052</v>
      </c>
      <c r="D124" s="194">
        <f>'C.2.2-F 09'!P88</f>
        <v>6532.5159239421191</v>
      </c>
      <c r="E124" s="194"/>
      <c r="H124" s="701"/>
      <c r="J124" s="701"/>
    </row>
    <row r="125" spans="1:10">
      <c r="A125" s="205">
        <f t="shared" si="1"/>
        <v>113</v>
      </c>
      <c r="B125" s="537">
        <v>8930</v>
      </c>
      <c r="C125" s="291" t="s">
        <v>970</v>
      </c>
      <c r="D125" s="194">
        <f>'C.2.2-F 09'!P89</f>
        <v>0</v>
      </c>
      <c r="E125" s="194"/>
      <c r="H125" s="701"/>
      <c r="J125" s="701"/>
    </row>
    <row r="126" spans="1:10">
      <c r="A126" s="205">
        <f t="shared" si="1"/>
        <v>114</v>
      </c>
      <c r="B126" s="537">
        <v>8940</v>
      </c>
      <c r="C126" s="291" t="s">
        <v>645</v>
      </c>
      <c r="D126" s="194">
        <f>'C.2.2-F 09'!P90</f>
        <v>5866.1957568348671</v>
      </c>
      <c r="E126" s="194"/>
      <c r="H126" s="701"/>
      <c r="J126" s="701"/>
    </row>
    <row r="127" spans="1:10">
      <c r="A127" s="205">
        <f t="shared" si="1"/>
        <v>115</v>
      </c>
      <c r="B127" s="542" t="s">
        <v>781</v>
      </c>
      <c r="C127" s="291" t="s">
        <v>293</v>
      </c>
      <c r="D127" s="231">
        <v>0</v>
      </c>
      <c r="E127" s="194"/>
      <c r="H127" s="701"/>
    </row>
    <row r="128" spans="1:10">
      <c r="A128" s="205">
        <f t="shared" si="1"/>
        <v>116</v>
      </c>
      <c r="B128" s="78"/>
      <c r="C128" s="261" t="s">
        <v>422</v>
      </c>
      <c r="D128" s="306">
        <f>SUM(D118:D127)</f>
        <v>111027.08848499556</v>
      </c>
      <c r="E128" s="306"/>
      <c r="F128" s="592"/>
      <c r="G128" s="721"/>
    </row>
    <row r="129" spans="1:10">
      <c r="A129" s="205">
        <f t="shared" si="1"/>
        <v>117</v>
      </c>
      <c r="B129" s="78"/>
      <c r="C129" s="261"/>
      <c r="D129" s="223"/>
      <c r="E129" s="223"/>
    </row>
    <row r="130" spans="1:10">
      <c r="A130" s="205">
        <f t="shared" si="1"/>
        <v>118</v>
      </c>
      <c r="B130" s="205"/>
      <c r="C130" s="294" t="s">
        <v>423</v>
      </c>
      <c r="D130" s="259"/>
      <c r="E130" s="259"/>
    </row>
    <row r="131" spans="1:10">
      <c r="A131" s="205">
        <f t="shared" si="1"/>
        <v>119</v>
      </c>
      <c r="B131" s="537">
        <v>9010</v>
      </c>
      <c r="C131" s="291" t="s">
        <v>478</v>
      </c>
      <c r="D131" s="501">
        <f>'C.2.2-F 09'!P91</f>
        <v>0</v>
      </c>
      <c r="E131" s="501"/>
      <c r="H131" s="701"/>
      <c r="J131" s="701"/>
    </row>
    <row r="132" spans="1:10">
      <c r="A132" s="205">
        <f t="shared" si="1"/>
        <v>120</v>
      </c>
      <c r="B132" s="537">
        <v>9020</v>
      </c>
      <c r="C132" s="291" t="s">
        <v>666</v>
      </c>
      <c r="D132" s="194">
        <f>'C.2.2-F 09'!P92</f>
        <v>1085047.0517187177</v>
      </c>
      <c r="E132" s="194"/>
      <c r="H132" s="701"/>
      <c r="J132" s="701"/>
    </row>
    <row r="133" spans="1:10">
      <c r="A133" s="205">
        <f t="shared" si="1"/>
        <v>121</v>
      </c>
      <c r="B133" s="537">
        <v>9030</v>
      </c>
      <c r="C133" s="291" t="s">
        <v>971</v>
      </c>
      <c r="D133" s="194">
        <f>'C.2.2-F 09'!P93</f>
        <v>1220802.3783195349</v>
      </c>
      <c r="E133" s="194"/>
      <c r="H133" s="701"/>
      <c r="J133" s="701"/>
    </row>
    <row r="134" spans="1:10">
      <c r="A134" s="205">
        <f t="shared" si="1"/>
        <v>122</v>
      </c>
      <c r="B134" s="537">
        <v>9040</v>
      </c>
      <c r="C134" s="291" t="s">
        <v>667</v>
      </c>
      <c r="D134" s="194">
        <f>'C.2.2-F 09'!P94</f>
        <v>341050.48677183327</v>
      </c>
      <c r="E134" s="194"/>
      <c r="H134" s="701"/>
      <c r="J134" s="701"/>
    </row>
    <row r="135" spans="1:10">
      <c r="A135" s="205">
        <f t="shared" si="1"/>
        <v>123</v>
      </c>
      <c r="B135" s="205"/>
      <c r="C135" s="261" t="s">
        <v>543</v>
      </c>
      <c r="D135" s="675">
        <f>SUM(D131:D134)</f>
        <v>2646899.916810086</v>
      </c>
      <c r="E135" s="306"/>
      <c r="F135" s="592"/>
      <c r="G135" s="721"/>
      <c r="H135" s="701"/>
    </row>
    <row r="136" spans="1:10">
      <c r="A136" s="205">
        <f t="shared" si="1"/>
        <v>124</v>
      </c>
      <c r="B136" s="78"/>
      <c r="D136" s="195"/>
      <c r="E136" s="195"/>
    </row>
    <row r="137" spans="1:10">
      <c r="A137" s="205">
        <f t="shared" si="1"/>
        <v>125</v>
      </c>
      <c r="B137" s="78"/>
      <c r="C137" s="294" t="s">
        <v>544</v>
      </c>
      <c r="D137" s="195"/>
      <c r="E137" s="195"/>
    </row>
    <row r="138" spans="1:10">
      <c r="A138" s="205">
        <f t="shared" si="1"/>
        <v>126</v>
      </c>
      <c r="B138" s="537">
        <v>9070</v>
      </c>
      <c r="C138" s="291" t="s">
        <v>478</v>
      </c>
      <c r="D138" s="501">
        <v>0</v>
      </c>
      <c r="E138" s="501"/>
      <c r="H138" s="701"/>
      <c r="J138" s="701"/>
    </row>
    <row r="139" spans="1:10">
      <c r="A139" s="205">
        <f t="shared" si="1"/>
        <v>127</v>
      </c>
      <c r="B139" s="537">
        <v>9080</v>
      </c>
      <c r="C139" s="291" t="s">
        <v>665</v>
      </c>
      <c r="D139" s="194">
        <v>0</v>
      </c>
      <c r="E139" s="194"/>
      <c r="H139" s="701"/>
      <c r="J139" s="701"/>
    </row>
    <row r="140" spans="1:10">
      <c r="A140" s="205">
        <f t="shared" si="1"/>
        <v>128</v>
      </c>
      <c r="B140" s="537">
        <v>9090</v>
      </c>
      <c r="C140" s="291" t="s">
        <v>664</v>
      </c>
      <c r="D140" s="194">
        <f>'C.2.2-F 09'!P95</f>
        <v>128271.64717990512</v>
      </c>
      <c r="E140" s="194"/>
      <c r="H140" s="701"/>
      <c r="J140" s="701"/>
    </row>
    <row r="141" spans="1:10">
      <c r="A141" s="205">
        <f t="shared" si="1"/>
        <v>129</v>
      </c>
      <c r="B141" s="537">
        <v>9100</v>
      </c>
      <c r="C141" s="291" t="s">
        <v>452</v>
      </c>
      <c r="D141" s="194">
        <f>'C.2.2-F 09'!P96</f>
        <v>0</v>
      </c>
      <c r="E141" s="194"/>
      <c r="H141" s="701"/>
      <c r="J141" s="701"/>
    </row>
    <row r="142" spans="1:10">
      <c r="A142" s="205">
        <f t="shared" si="1"/>
        <v>130</v>
      </c>
      <c r="B142" s="205"/>
      <c r="C142" s="261" t="s">
        <v>855</v>
      </c>
      <c r="D142" s="675">
        <f>SUM(D138:D141)</f>
        <v>128271.64717990512</v>
      </c>
      <c r="E142" s="306"/>
      <c r="F142" s="592"/>
      <c r="G142" s="721"/>
    </row>
    <row r="143" spans="1:10">
      <c r="A143" s="205">
        <f t="shared" si="1"/>
        <v>131</v>
      </c>
      <c r="B143" s="205"/>
      <c r="C143" s="261"/>
      <c r="D143" s="223"/>
      <c r="E143" s="223"/>
    </row>
    <row r="144" spans="1:10">
      <c r="A144" s="205">
        <f t="shared" si="1"/>
        <v>132</v>
      </c>
      <c r="B144" s="205"/>
      <c r="C144" s="294" t="s">
        <v>494</v>
      </c>
      <c r="D144" s="259"/>
      <c r="E144" s="259"/>
    </row>
    <row r="145" spans="1:10">
      <c r="A145" s="205">
        <f t="shared" si="1"/>
        <v>133</v>
      </c>
      <c r="B145" s="537">
        <v>9110</v>
      </c>
      <c r="C145" s="291" t="s">
        <v>478</v>
      </c>
      <c r="D145" s="501">
        <f>'C.2.2-F 09'!P97</f>
        <v>253467.52409467613</v>
      </c>
      <c r="E145" s="501"/>
      <c r="H145" s="701"/>
      <c r="J145" s="701"/>
    </row>
    <row r="146" spans="1:10">
      <c r="A146" s="205">
        <f t="shared" ref="A146:A177" si="2">A145+1</f>
        <v>134</v>
      </c>
      <c r="B146" s="537">
        <v>9120</v>
      </c>
      <c r="C146" s="291" t="s">
        <v>770</v>
      </c>
      <c r="D146" s="194">
        <f>'C.2.2-F 09'!P98</f>
        <v>115937.25847628263</v>
      </c>
      <c r="E146" s="194"/>
      <c r="H146" s="701"/>
      <c r="J146" s="701"/>
    </row>
    <row r="147" spans="1:10">
      <c r="A147" s="205">
        <f t="shared" si="2"/>
        <v>135</v>
      </c>
      <c r="B147" s="537">
        <v>9130</v>
      </c>
      <c r="C147" s="291" t="s">
        <v>852</v>
      </c>
      <c r="D147" s="194">
        <f>'C.2.2-F 09'!P99</f>
        <v>35170.346903187507</v>
      </c>
      <c r="E147" s="194"/>
      <c r="H147" s="701"/>
      <c r="J147" s="701"/>
    </row>
    <row r="148" spans="1:10">
      <c r="A148" s="205">
        <f t="shared" si="2"/>
        <v>136</v>
      </c>
      <c r="B148" s="537">
        <v>9160</v>
      </c>
      <c r="C148" s="291" t="s">
        <v>837</v>
      </c>
      <c r="D148" s="194">
        <v>0</v>
      </c>
      <c r="E148" s="194"/>
      <c r="H148" s="701"/>
      <c r="J148" s="701"/>
    </row>
    <row r="149" spans="1:10">
      <c r="A149" s="205">
        <f t="shared" si="2"/>
        <v>137</v>
      </c>
      <c r="B149" s="205"/>
      <c r="C149" s="261" t="s">
        <v>1114</v>
      </c>
      <c r="D149" s="675">
        <f>SUM(D145:D148)</f>
        <v>404575.12947414629</v>
      </c>
      <c r="E149" s="306"/>
      <c r="F149" s="592"/>
      <c r="G149" s="721"/>
    </row>
    <row r="150" spans="1:10">
      <c r="A150" s="205">
        <f t="shared" si="2"/>
        <v>138</v>
      </c>
      <c r="B150" s="78"/>
      <c r="D150" s="259"/>
      <c r="E150" s="259"/>
    </row>
    <row r="151" spans="1:10">
      <c r="A151" s="205">
        <f t="shared" si="2"/>
        <v>139</v>
      </c>
      <c r="B151" s="205"/>
      <c r="C151" s="294" t="s">
        <v>1115</v>
      </c>
      <c r="D151" s="259"/>
      <c r="E151" s="259"/>
      <c r="H151" s="701"/>
    </row>
    <row r="152" spans="1:10">
      <c r="A152" s="205">
        <f t="shared" si="2"/>
        <v>140</v>
      </c>
      <c r="B152" s="537">
        <v>9200</v>
      </c>
      <c r="C152" s="291" t="s">
        <v>761</v>
      </c>
      <c r="D152" s="306">
        <f>'C.2.2-F 09'!P100</f>
        <v>128440.24159693743</v>
      </c>
      <c r="E152" s="501"/>
      <c r="H152" s="701"/>
      <c r="J152" s="701"/>
    </row>
    <row r="153" spans="1:10">
      <c r="A153" s="205">
        <f t="shared" si="2"/>
        <v>141</v>
      </c>
      <c r="B153" s="537">
        <v>9210</v>
      </c>
      <c r="C153" s="291" t="s">
        <v>762</v>
      </c>
      <c r="D153" s="194">
        <f>'C.2.2-F 09'!P101</f>
        <v>17615.50272749288</v>
      </c>
      <c r="E153" s="194"/>
      <c r="H153" s="701"/>
      <c r="J153" s="701"/>
    </row>
    <row r="154" spans="1:10">
      <c r="A154" s="205">
        <f t="shared" si="2"/>
        <v>142</v>
      </c>
      <c r="B154" s="537">
        <v>9220</v>
      </c>
      <c r="C154" s="291" t="s">
        <v>763</v>
      </c>
      <c r="D154" s="194">
        <f>'C.2.2-F 09'!P102</f>
        <v>14498764.188985625</v>
      </c>
      <c r="E154" s="194"/>
      <c r="H154" s="701"/>
      <c r="J154" s="701"/>
    </row>
    <row r="155" spans="1:10">
      <c r="A155" s="205">
        <f t="shared" si="2"/>
        <v>143</v>
      </c>
      <c r="B155" s="537">
        <v>9230</v>
      </c>
      <c r="C155" s="291" t="s">
        <v>764</v>
      </c>
      <c r="D155" s="194">
        <f>'C.2.2-F 09'!P103</f>
        <v>339696.84086385532</v>
      </c>
      <c r="E155" s="194"/>
      <c r="H155" s="701"/>
      <c r="J155" s="701"/>
    </row>
    <row r="156" spans="1:10">
      <c r="A156" s="205">
        <f t="shared" si="2"/>
        <v>144</v>
      </c>
      <c r="B156" s="537">
        <v>9240</v>
      </c>
      <c r="C156" s="291" t="s">
        <v>309</v>
      </c>
      <c r="D156" s="194">
        <f>'C.2.2-F 09'!P104</f>
        <v>3718.3663252685374</v>
      </c>
      <c r="E156" s="194"/>
      <c r="H156" s="701"/>
      <c r="J156" s="701"/>
    </row>
    <row r="157" spans="1:10">
      <c r="A157" s="205">
        <f t="shared" si="2"/>
        <v>145</v>
      </c>
      <c r="B157" s="537">
        <v>9250</v>
      </c>
      <c r="C157" s="291" t="s">
        <v>765</v>
      </c>
      <c r="D157" s="194">
        <f>'C.2.2-F 09'!P105</f>
        <v>74010.457241629658</v>
      </c>
      <c r="E157" s="194"/>
      <c r="H157" s="701"/>
      <c r="J157" s="701"/>
    </row>
    <row r="158" spans="1:10">
      <c r="A158" s="205">
        <f t="shared" si="2"/>
        <v>146</v>
      </c>
      <c r="B158" s="537">
        <v>9260</v>
      </c>
      <c r="C158" s="291" t="s">
        <v>767</v>
      </c>
      <c r="D158" s="194">
        <f>'C.2.2-F 09'!P106</f>
        <v>1791281.1807905775</v>
      </c>
      <c r="E158" s="194"/>
      <c r="H158" s="701"/>
      <c r="J158" s="701"/>
    </row>
    <row r="159" spans="1:10">
      <c r="A159" s="205">
        <f t="shared" si="2"/>
        <v>147</v>
      </c>
      <c r="B159" s="537">
        <v>9270</v>
      </c>
      <c r="C159" s="291" t="s">
        <v>310</v>
      </c>
      <c r="D159" s="194">
        <f>'C.2.2-F 09'!P107</f>
        <v>646.41788627271671</v>
      </c>
      <c r="E159" s="194"/>
      <c r="H159" s="701"/>
      <c r="J159" s="701"/>
    </row>
    <row r="160" spans="1:10">
      <c r="A160" s="205">
        <f t="shared" si="2"/>
        <v>148</v>
      </c>
      <c r="B160" s="537">
        <v>9280</v>
      </c>
      <c r="C160" s="291" t="s">
        <v>768</v>
      </c>
      <c r="D160" s="194">
        <f>'C.2.2-F 09'!P108</f>
        <v>671993.94135810703</v>
      </c>
      <c r="E160" s="194"/>
      <c r="H160" s="701"/>
      <c r="J160" s="701"/>
    </row>
    <row r="161" spans="1:10">
      <c r="A161" s="205">
        <f t="shared" si="2"/>
        <v>149</v>
      </c>
      <c r="B161" s="543">
        <v>930.2</v>
      </c>
      <c r="C161" s="291" t="s">
        <v>311</v>
      </c>
      <c r="D161" s="194">
        <f>'C.2.2-F 09'!P109</f>
        <v>41757.417661238971</v>
      </c>
      <c r="E161" s="194"/>
      <c r="H161" s="701"/>
      <c r="J161" s="701"/>
    </row>
    <row r="162" spans="1:10">
      <c r="A162" s="205">
        <f t="shared" si="2"/>
        <v>150</v>
      </c>
      <c r="B162" s="530">
        <v>9310</v>
      </c>
      <c r="C162" s="281" t="s">
        <v>184</v>
      </c>
      <c r="D162" s="194">
        <f>'C.2.2-F 09'!P110</f>
        <v>11100.191053614941</v>
      </c>
      <c r="E162" s="194"/>
      <c r="H162" s="701"/>
      <c r="J162" s="701"/>
    </row>
    <row r="163" spans="1:10">
      <c r="A163" s="205">
        <f t="shared" si="2"/>
        <v>151</v>
      </c>
      <c r="B163" s="205"/>
      <c r="C163" s="261" t="s">
        <v>760</v>
      </c>
      <c r="D163" s="675">
        <f>SUM(D152:D162)</f>
        <v>17579024.74649062</v>
      </c>
      <c r="E163" s="306"/>
      <c r="F163" s="592"/>
      <c r="G163" s="721"/>
    </row>
    <row r="164" spans="1:10">
      <c r="A164" s="205">
        <f t="shared" si="2"/>
        <v>152</v>
      </c>
      <c r="B164" s="205"/>
      <c r="C164" s="220"/>
      <c r="D164" s="259"/>
      <c r="E164" s="259"/>
      <c r="H164" s="701"/>
    </row>
    <row r="165" spans="1:10">
      <c r="A165" s="205">
        <f t="shared" si="2"/>
        <v>153</v>
      </c>
      <c r="B165" s="205"/>
      <c r="C165" s="294" t="s">
        <v>771</v>
      </c>
      <c r="D165" s="259"/>
      <c r="E165" s="259"/>
      <c r="H165" s="701"/>
    </row>
    <row r="166" spans="1:10">
      <c r="A166" s="205">
        <f t="shared" si="2"/>
        <v>154</v>
      </c>
      <c r="B166" s="537">
        <v>9320</v>
      </c>
      <c r="C166" s="291" t="s">
        <v>772</v>
      </c>
      <c r="D166" s="231">
        <f>'C.2.2-F 09'!P111</f>
        <v>11803.797066978957</v>
      </c>
      <c r="E166" s="194"/>
      <c r="H166" s="701"/>
    </row>
    <row r="167" spans="1:10">
      <c r="A167" s="205">
        <f t="shared" si="2"/>
        <v>155</v>
      </c>
      <c r="B167" s="205"/>
      <c r="C167" s="261" t="s">
        <v>732</v>
      </c>
      <c r="D167" s="503">
        <f>SUM(D166:D166)</f>
        <v>11803.797066978957</v>
      </c>
      <c r="E167" s="503"/>
      <c r="H167" s="701"/>
    </row>
    <row r="168" spans="1:10">
      <c r="A168" s="205">
        <f t="shared" si="2"/>
        <v>156</v>
      </c>
      <c r="B168" s="78"/>
      <c r="D168" s="195"/>
      <c r="E168" s="195"/>
      <c r="H168" s="701"/>
    </row>
    <row r="169" spans="1:10">
      <c r="A169" s="205">
        <f t="shared" si="2"/>
        <v>157</v>
      </c>
      <c r="B169" s="205"/>
      <c r="C169" s="41" t="s">
        <v>329</v>
      </c>
      <c r="D169" s="306">
        <f>+D34+D50+D60+D70+D78+D100+D115+D128+D135+D142+D149+D163+D167</f>
        <v>107397487.35044111</v>
      </c>
      <c r="E169" s="306"/>
      <c r="F169" s="40">
        <f>'C.2.2-F 09'!Q116</f>
        <v>107397487.35044111</v>
      </c>
      <c r="G169" s="40">
        <f>D169-F169</f>
        <v>0</v>
      </c>
      <c r="H169" s="701"/>
      <c r="I169" s="62"/>
    </row>
    <row r="170" spans="1:10">
      <c r="A170" s="205">
        <f t="shared" si="2"/>
        <v>158</v>
      </c>
      <c r="B170" s="78"/>
      <c r="D170" s="195"/>
      <c r="E170" s="195"/>
      <c r="H170" s="701"/>
    </row>
    <row r="171" spans="1:10">
      <c r="A171" s="205">
        <f t="shared" si="2"/>
        <v>159</v>
      </c>
      <c r="B171" s="205" t="s">
        <v>312</v>
      </c>
      <c r="C171" s="204" t="s">
        <v>669</v>
      </c>
      <c r="D171" s="501">
        <f>'C.2.2-F 09'!P14+'C.2.2-F 09'!P15</f>
        <v>15749357.714761427</v>
      </c>
      <c r="E171" s="501"/>
      <c r="F171" s="592"/>
      <c r="G171" s="721"/>
      <c r="H171" s="701"/>
    </row>
    <row r="172" spans="1:10">
      <c r="A172" s="205">
        <f t="shared" si="2"/>
        <v>160</v>
      </c>
      <c r="B172" s="537">
        <v>4081</v>
      </c>
      <c r="C172" s="204" t="s">
        <v>670</v>
      </c>
      <c r="D172" s="194">
        <f>'C.2.2-F 09'!P16</f>
        <v>7511836.9326441754</v>
      </c>
      <c r="E172" s="194"/>
      <c r="F172" s="592"/>
      <c r="G172" s="721"/>
      <c r="H172" s="701"/>
    </row>
    <row r="173" spans="1:10">
      <c r="A173" s="205">
        <f t="shared" si="2"/>
        <v>161</v>
      </c>
      <c r="B173" s="537">
        <v>4091</v>
      </c>
      <c r="C173" s="204" t="s">
        <v>668</v>
      </c>
      <c r="D173" s="194">
        <f>'C.2.2-F 09'!P12</f>
        <v>7855097.8686497556</v>
      </c>
      <c r="E173" s="194"/>
      <c r="F173" s="592"/>
      <c r="G173" s="721"/>
    </row>
    <row r="174" spans="1:10">
      <c r="A174" s="205">
        <f t="shared" si="2"/>
        <v>162</v>
      </c>
      <c r="B174" s="232"/>
      <c r="D174" s="195"/>
      <c r="E174" s="195"/>
    </row>
    <row r="175" spans="1:10">
      <c r="A175" s="205">
        <f t="shared" si="2"/>
        <v>163</v>
      </c>
      <c r="B175" s="292"/>
      <c r="C175" s="204" t="s">
        <v>328</v>
      </c>
      <c r="D175" s="502">
        <f>+D169+SUM(D171:D173)</f>
        <v>138513779.86649647</v>
      </c>
      <c r="E175" s="501"/>
    </row>
    <row r="176" spans="1:10">
      <c r="A176" s="205">
        <f t="shared" si="2"/>
        <v>164</v>
      </c>
      <c r="B176" s="232"/>
      <c r="D176" s="195"/>
      <c r="E176" s="195"/>
    </row>
    <row r="177" spans="1:5" ht="15.75" thickBot="1">
      <c r="A177" s="205">
        <f t="shared" si="2"/>
        <v>165</v>
      </c>
      <c r="B177" s="292"/>
      <c r="C177" s="204" t="s">
        <v>345</v>
      </c>
      <c r="D177" s="544">
        <f>(D28-D175)</f>
        <v>31204085.970459312</v>
      </c>
      <c r="E177" s="501"/>
    </row>
    <row r="178" spans="1:5" ht="15.75" thickTop="1">
      <c r="A178" s="191"/>
      <c r="B178" s="504"/>
      <c r="C178" s="191"/>
      <c r="D178" s="230"/>
      <c r="E178" s="230"/>
    </row>
    <row r="179" spans="1:5">
      <c r="A179" s="191"/>
      <c r="B179" s="505"/>
      <c r="C179" s="191"/>
      <c r="D179" s="191"/>
      <c r="E179" s="191"/>
    </row>
    <row r="180" spans="1:5">
      <c r="B180" s="296"/>
    </row>
    <row r="181" spans="1:5">
      <c r="B181" s="296"/>
    </row>
    <row r="182" spans="1:5">
      <c r="B182" s="296"/>
    </row>
    <row r="183" spans="1:5">
      <c r="B183" s="296"/>
    </row>
    <row r="184" spans="1:5">
      <c r="B184" s="232"/>
    </row>
    <row r="185" spans="1:5">
      <c r="B185" s="232"/>
    </row>
    <row r="186" spans="1:5">
      <c r="B186" s="232"/>
    </row>
    <row r="187" spans="1:5">
      <c r="B187" s="232"/>
    </row>
    <row r="188" spans="1:5">
      <c r="B188" s="232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1" right="0.7" top="0.71" bottom="0.94" header="0.5" footer="0.25"/>
  <pageSetup scale="73" fitToHeight="10" orientation="portrait" verticalDpi="300" r:id="rId1"/>
  <headerFooter alignWithMargins="0">
    <oddFooter>&amp;RSchedule &amp;A
Page &amp;P of &amp;N</oddFooter>
  </headerFooter>
  <rowBreaks count="1" manualBreakCount="1">
    <brk id="50" max="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3"/>
  <sheetViews>
    <sheetView view="pageBreakPreview" zoomScale="80" zoomScaleNormal="70" zoomScaleSheetLayoutView="80" workbookViewId="0">
      <pane xSplit="3" ySplit="10" topLeftCell="D107" activePane="bottomRight" state="frozen"/>
      <selection activeCell="F55" sqref="F55"/>
      <selection pane="topRight" activeCell="F55" sqref="F55"/>
      <selection pane="bottomLeft" activeCell="F55" sqref="F55"/>
      <selection pane="bottomRight" activeCell="E19" sqref="E19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6.66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1"/>
      <c r="R1" s="1"/>
      <c r="S1" s="1"/>
    </row>
    <row r="2" spans="1:21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1"/>
      <c r="R2" s="1"/>
      <c r="S2" s="1"/>
    </row>
    <row r="3" spans="1:21">
      <c r="A3" s="1210" t="s">
        <v>418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"/>
      <c r="R3" s="1"/>
      <c r="S3" s="1"/>
    </row>
    <row r="4" spans="1:21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"/>
      <c r="R4" s="40"/>
      <c r="S4" s="40"/>
    </row>
    <row r="5" spans="1:21" ht="15.75">
      <c r="A5" s="851"/>
      <c r="B5" s="851"/>
      <c r="C5" s="851"/>
      <c r="D5" s="230"/>
      <c r="E5" s="80"/>
      <c r="F5" s="860"/>
      <c r="G5" s="851"/>
      <c r="H5" s="851"/>
      <c r="I5" s="851"/>
      <c r="J5" s="80"/>
      <c r="K5" s="860"/>
      <c r="L5" s="851"/>
      <c r="M5" s="851"/>
      <c r="N5" s="851"/>
      <c r="O5" s="851"/>
      <c r="P5" s="851"/>
      <c r="Q5" s="1"/>
      <c r="R5" s="40"/>
      <c r="S5" s="40"/>
    </row>
    <row r="6" spans="1:21" ht="15.75">
      <c r="A6" s="233" t="str">
        <f>'C.2.1 B'!A6</f>
        <v>Data:___X____Base Period________Forecasted Period</v>
      </c>
      <c r="B6" s="195"/>
      <c r="C6" s="195"/>
      <c r="D6" s="230"/>
      <c r="E6" s="230"/>
      <c r="F6" s="860"/>
      <c r="G6" s="230"/>
      <c r="H6" s="230"/>
      <c r="I6" s="230"/>
      <c r="J6" s="230"/>
      <c r="K6" s="80"/>
      <c r="L6" s="195"/>
      <c r="M6" s="195"/>
      <c r="N6" s="195"/>
      <c r="O6" s="851"/>
      <c r="P6" s="506" t="s">
        <v>1430</v>
      </c>
      <c r="Q6" s="1"/>
      <c r="R6" s="40"/>
      <c r="S6" s="40"/>
    </row>
    <row r="7" spans="1:21">
      <c r="A7" s="233" t="str">
        <f>'C.2.1 B'!A7</f>
        <v>Type of Filing:___X____Original________Updated ________Revised</v>
      </c>
      <c r="B7" s="195"/>
      <c r="C7" s="195"/>
      <c r="D7" s="230"/>
      <c r="E7" s="671"/>
      <c r="F7" s="195"/>
      <c r="G7" s="195"/>
      <c r="H7" s="195"/>
      <c r="I7" s="195"/>
      <c r="J7" s="195"/>
      <c r="K7" s="195"/>
      <c r="L7" s="195"/>
      <c r="M7" s="195"/>
      <c r="N7" s="195"/>
      <c r="O7" s="851"/>
      <c r="P7" s="507" t="s">
        <v>37</v>
      </c>
      <c r="Q7" s="40"/>
      <c r="R7" s="40"/>
      <c r="S7" s="40"/>
    </row>
    <row r="8" spans="1:21">
      <c r="A8" s="313" t="str">
        <f>'C.2.1 B'!A8</f>
        <v>Workpaper Reference No(s).____________________</v>
      </c>
      <c r="B8" s="195"/>
      <c r="C8" s="195"/>
      <c r="D8" s="237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508" t="str">
        <f>'C.1'!J9</f>
        <v>Witness: Waller, Densman</v>
      </c>
      <c r="Q8" s="40"/>
      <c r="R8" s="40"/>
      <c r="S8" s="40"/>
    </row>
    <row r="9" spans="1:21">
      <c r="A9" s="861" t="s">
        <v>93</v>
      </c>
      <c r="B9" s="862" t="s">
        <v>100</v>
      </c>
      <c r="C9" s="863"/>
      <c r="D9" s="831" t="s">
        <v>107</v>
      </c>
      <c r="E9" s="831" t="s">
        <v>107</v>
      </c>
      <c r="F9" s="831" t="s">
        <v>107</v>
      </c>
      <c r="G9" s="831" t="s">
        <v>107</v>
      </c>
      <c r="H9" s="831" t="s">
        <v>107</v>
      </c>
      <c r="I9" s="831" t="s">
        <v>107</v>
      </c>
      <c r="J9" s="831" t="s">
        <v>43</v>
      </c>
      <c r="K9" s="831" t="s">
        <v>43</v>
      </c>
      <c r="L9" s="831" t="s">
        <v>43</v>
      </c>
      <c r="M9" s="848" t="s">
        <v>453</v>
      </c>
      <c r="N9" s="848" t="s">
        <v>453</v>
      </c>
      <c r="O9" s="848" t="s">
        <v>453</v>
      </c>
      <c r="P9" s="461"/>
      <c r="Q9" s="78"/>
      <c r="R9" s="78"/>
      <c r="S9" s="78"/>
    </row>
    <row r="10" spans="1:21">
      <c r="A10" s="864" t="s">
        <v>99</v>
      </c>
      <c r="B10" s="865" t="s">
        <v>99</v>
      </c>
      <c r="C10" s="866" t="s">
        <v>952</v>
      </c>
      <c r="D10" s="613">
        <v>43101</v>
      </c>
      <c r="E10" s="613">
        <v>43132</v>
      </c>
      <c r="F10" s="613">
        <v>43160</v>
      </c>
      <c r="G10" s="613">
        <v>43191</v>
      </c>
      <c r="H10" s="613">
        <v>43221</v>
      </c>
      <c r="I10" s="613">
        <v>43252</v>
      </c>
      <c r="J10" s="613">
        <v>43282</v>
      </c>
      <c r="K10" s="613">
        <v>43313</v>
      </c>
      <c r="L10" s="613">
        <v>43344</v>
      </c>
      <c r="M10" s="613">
        <v>43374</v>
      </c>
      <c r="N10" s="613">
        <v>43405</v>
      </c>
      <c r="O10" s="613">
        <v>43435</v>
      </c>
      <c r="P10" s="867" t="s">
        <v>96</v>
      </c>
      <c r="Q10" s="208"/>
      <c r="R10" s="78"/>
      <c r="S10" s="78"/>
    </row>
    <row r="11" spans="1:21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188"/>
      <c r="R11" s="40"/>
    </row>
    <row r="12" spans="1:21">
      <c r="A12" s="461">
        <v>1</v>
      </c>
      <c r="B12" s="830" t="s">
        <v>733</v>
      </c>
      <c r="C12" s="103" t="s">
        <v>724</v>
      </c>
      <c r="D12" s="96">
        <f>0</f>
        <v>0</v>
      </c>
      <c r="E12" s="96">
        <f>0</f>
        <v>0</v>
      </c>
      <c r="F12" s="96">
        <f>0</f>
        <v>0</v>
      </c>
      <c r="G12" s="96">
        <f>0</f>
        <v>0</v>
      </c>
      <c r="H12" s="96" t="s">
        <v>323</v>
      </c>
      <c r="I12" s="96">
        <f>0</f>
        <v>0</v>
      </c>
      <c r="J12" s="398">
        <f>E!$E$23/6</f>
        <v>1053486.9231908417</v>
      </c>
      <c r="K12" s="398">
        <f>E!$E$23/6</f>
        <v>1053486.9231908417</v>
      </c>
      <c r="L12" s="398">
        <f>E!$E$23/6</f>
        <v>1053486.9231908417</v>
      </c>
      <c r="M12" s="398">
        <f>E!$E$23/6</f>
        <v>1053486.9231908417</v>
      </c>
      <c r="N12" s="398">
        <f>E!$E$23/6</f>
        <v>1053486.9231908417</v>
      </c>
      <c r="O12" s="398">
        <f>E!$E$23/6</f>
        <v>1053486.9231908417</v>
      </c>
      <c r="P12" s="210">
        <f>SUM(D12:O12)</f>
        <v>6320921.5391450496</v>
      </c>
      <c r="Q12" s="592"/>
      <c r="R12" s="592"/>
      <c r="S12" s="592"/>
      <c r="U12" s="794"/>
    </row>
    <row r="13" spans="1:21">
      <c r="A13" s="868">
        <f t="shared" ref="A13:A85" si="0">A12+1</f>
        <v>2</v>
      </c>
      <c r="B13" s="830"/>
      <c r="C13" s="1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210"/>
      <c r="R13" s="148"/>
      <c r="S13" s="148"/>
    </row>
    <row r="14" spans="1:21">
      <c r="A14" s="868">
        <f t="shared" si="0"/>
        <v>3</v>
      </c>
      <c r="B14" s="830">
        <v>4030</v>
      </c>
      <c r="C14" s="195" t="s">
        <v>91</v>
      </c>
      <c r="D14" s="597">
        <f>'[12]Division 009'!C$109</f>
        <v>1669957.5100000002</v>
      </c>
      <c r="E14" s="597">
        <f>'[12]Division 009'!D$109</f>
        <v>1669432.77</v>
      </c>
      <c r="F14" s="597">
        <f>'[12]Division 009'!E$109</f>
        <v>1675464.78</v>
      </c>
      <c r="G14" s="597">
        <f>'[12]Division 009'!F$109</f>
        <v>1687862.1</v>
      </c>
      <c r="H14" s="597">
        <f>'[12]Division 009'!G$109</f>
        <v>1698141.52</v>
      </c>
      <c r="I14" s="597">
        <f>'[12]Division 009'!H$109</f>
        <v>1711939.78</v>
      </c>
      <c r="J14" s="597">
        <f>[4]Reserve!AP205</f>
        <v>1725018.2083834885</v>
      </c>
      <c r="K14" s="597">
        <f>[4]Reserve!AQ205</f>
        <v>1740221.8119219767</v>
      </c>
      <c r="L14" s="597">
        <f>[4]Reserve!AR205</f>
        <v>1736418.0826194657</v>
      </c>
      <c r="M14" s="597">
        <f>[4]Reserve!AS205</f>
        <v>1755383.1410666006</v>
      </c>
      <c r="N14" s="597">
        <f>[4]Reserve!AT205</f>
        <v>1776894.3337917665</v>
      </c>
      <c r="O14" s="597">
        <f>[4]Reserve!AU205</f>
        <v>1796427.6476615162</v>
      </c>
      <c r="P14" s="210">
        <f t="shared" ref="P14" si="1">SUM(D14:O14)</f>
        <v>20643161.685444809</v>
      </c>
      <c r="Q14" s="691"/>
      <c r="R14" s="210"/>
      <c r="S14" s="210"/>
    </row>
    <row r="15" spans="1:21">
      <c r="A15" s="868">
        <f t="shared" si="0"/>
        <v>4</v>
      </c>
      <c r="B15" s="830">
        <v>4060</v>
      </c>
      <c r="C15" s="210" t="s">
        <v>861</v>
      </c>
      <c r="D15" s="597">
        <f>'[12]Division 009'!C$110</f>
        <v>4093.11</v>
      </c>
      <c r="E15" s="597">
        <f>'[12]Division 009'!D$110</f>
        <v>4093.11</v>
      </c>
      <c r="F15" s="597">
        <f>'[12]Division 009'!E$110</f>
        <v>4093.11</v>
      </c>
      <c r="G15" s="597">
        <f>'[12]Division 009'!F$110</f>
        <v>4093.11</v>
      </c>
      <c r="H15" s="597">
        <f>'[12]Division 009'!G$110</f>
        <v>4093.11</v>
      </c>
      <c r="I15" s="597">
        <f>'[12]Division 009'!H$110</f>
        <v>4093.11</v>
      </c>
      <c r="J15" s="597">
        <v>0</v>
      </c>
      <c r="K15" s="597">
        <f t="shared" ref="K15:O15" si="2">J15</f>
        <v>0</v>
      </c>
      <c r="L15" s="597">
        <f t="shared" si="2"/>
        <v>0</v>
      </c>
      <c r="M15" s="597">
        <f t="shared" si="2"/>
        <v>0</v>
      </c>
      <c r="N15" s="597">
        <f t="shared" si="2"/>
        <v>0</v>
      </c>
      <c r="O15" s="597">
        <f t="shared" si="2"/>
        <v>0</v>
      </c>
      <c r="P15" s="210">
        <f t="shared" ref="P15:P66" si="3">SUM(D15:O15)</f>
        <v>24558.66</v>
      </c>
      <c r="R15" s="592"/>
      <c r="S15" s="148"/>
    </row>
    <row r="16" spans="1:21">
      <c r="A16" s="868">
        <f t="shared" si="0"/>
        <v>5</v>
      </c>
      <c r="B16" s="830">
        <v>4081</v>
      </c>
      <c r="C16" s="210" t="s">
        <v>862</v>
      </c>
      <c r="D16" s="597">
        <f>'[12]Division 009'!C$112</f>
        <v>566216.2699999999</v>
      </c>
      <c r="E16" s="597">
        <f>'[12]Division 009'!D$112</f>
        <v>312504.24</v>
      </c>
      <c r="F16" s="597">
        <f>'[12]Division 009'!E$112</f>
        <v>527772.14000000013</v>
      </c>
      <c r="G16" s="597">
        <f>'[12]Division 009'!F$112</f>
        <v>552950.53</v>
      </c>
      <c r="H16" s="597">
        <f>'[12]Division 009'!G$112</f>
        <v>656879.85999999987</v>
      </c>
      <c r="I16" s="597">
        <f>'[12]Division 009'!H$112</f>
        <v>452393.76000000013</v>
      </c>
      <c r="J16" s="597">
        <f>'C.2.3 B'!I24</f>
        <v>521535.33126721496</v>
      </c>
      <c r="K16" s="597">
        <f>'C.2.3 B'!J24</f>
        <v>496099.68866721494</v>
      </c>
      <c r="L16" s="597">
        <f>'C.2.3 B'!K24</f>
        <v>581759.39766721497</v>
      </c>
      <c r="M16" s="597">
        <f>'C.2.3 B'!L24</f>
        <v>597918.51082726882</v>
      </c>
      <c r="N16" s="597">
        <f>'C.2.3 B'!M24</f>
        <v>650316.26217926887</v>
      </c>
      <c r="O16" s="597">
        <f>'C.2.3 B'!N24</f>
        <v>575227.61439126881</v>
      </c>
      <c r="P16" s="210">
        <f>SUM(D16:O16)</f>
        <v>6491573.604999451</v>
      </c>
      <c r="Q16" s="592"/>
      <c r="R16" s="671"/>
      <c r="S16" s="592"/>
    </row>
    <row r="17" spans="1:25">
      <c r="A17" s="868">
        <f t="shared" si="0"/>
        <v>6</v>
      </c>
      <c r="B17" s="830">
        <v>4800</v>
      </c>
      <c r="C17" s="731" t="s">
        <v>863</v>
      </c>
      <c r="D17" s="597">
        <f>'[12]Division 009'!C$129</f>
        <v>-18914907.850000001</v>
      </c>
      <c r="E17" s="597">
        <f>'[12]Division 009'!D$129</f>
        <v>-17207259.700000003</v>
      </c>
      <c r="F17" s="597">
        <f>'[12]Division 009'!E$129</f>
        <v>-12369455.85</v>
      </c>
      <c r="G17" s="597">
        <f>'[12]Division 009'!F$129</f>
        <v>-11018917.73</v>
      </c>
      <c r="H17" s="597">
        <f>'[12]Division 009'!G$129</f>
        <v>-6154175.7400000002</v>
      </c>
      <c r="I17" s="597">
        <f>'[12]Division 009'!H$129</f>
        <v>-3781326.5299999993</v>
      </c>
      <c r="J17" s="96">
        <f>-'[9]Summary of Revenue'!I$11</f>
        <v>-3763546.3227285361</v>
      </c>
      <c r="K17" s="96">
        <f>-'[9]Summary of Revenue'!J$11</f>
        <v>-3673077.2127803797</v>
      </c>
      <c r="L17" s="96">
        <f>-'[9]Summary of Revenue'!K$11</f>
        <v>-3651533.0586303174</v>
      </c>
      <c r="M17" s="96">
        <f>-'[9]Summary of Revenue'!L$11</f>
        <v>-4790276.4510819698</v>
      </c>
      <c r="N17" s="96">
        <f>-'[9]Summary of Revenue'!M$11</f>
        <v>-8255729.0116288727</v>
      </c>
      <c r="O17" s="96">
        <f>-'[9]Summary of Revenue'!N$11</f>
        <v>-12475096.156039527</v>
      </c>
      <c r="P17" s="210">
        <f t="shared" si="3"/>
        <v>-106055301.6128896</v>
      </c>
      <c r="Q17" s="148"/>
      <c r="R17" s="148"/>
      <c r="S17" s="148"/>
    </row>
    <row r="18" spans="1:25">
      <c r="A18" s="868">
        <f t="shared" si="0"/>
        <v>7</v>
      </c>
      <c r="B18" s="707">
        <v>4805</v>
      </c>
      <c r="C18" s="362" t="s">
        <v>1314</v>
      </c>
      <c r="D18" s="597">
        <f>'[12]Division 009'!C130</f>
        <v>405968.1</v>
      </c>
      <c r="E18" s="597">
        <f>'[12]Division 009'!D130</f>
        <v>3377819.57</v>
      </c>
      <c r="F18" s="597">
        <f>'[12]Division 009'!E130</f>
        <v>-677729.4</v>
      </c>
      <c r="G18" s="597">
        <f>'[12]Division 009'!F130</f>
        <v>1794375.08</v>
      </c>
      <c r="H18" s="597">
        <f>'[12]Division 009'!G130</f>
        <v>1963448</v>
      </c>
      <c r="I18" s="597">
        <f>'[12]Division 009'!H130</f>
        <v>45375</v>
      </c>
      <c r="J18" s="96"/>
      <c r="K18" s="96"/>
      <c r="L18" s="96"/>
      <c r="M18" s="96"/>
      <c r="N18" s="96"/>
      <c r="O18" s="96"/>
      <c r="P18" s="210">
        <f t="shared" si="3"/>
        <v>6909256.3499999996</v>
      </c>
      <c r="Q18" s="148"/>
      <c r="R18" s="148"/>
      <c r="S18" s="148"/>
    </row>
    <row r="19" spans="1:25">
      <c r="A19" s="868">
        <f t="shared" si="0"/>
        <v>8</v>
      </c>
      <c r="B19" s="830">
        <v>4811</v>
      </c>
      <c r="C19" s="731" t="s">
        <v>1387</v>
      </c>
      <c r="D19" s="597">
        <f>'[12]Division 009'!C131</f>
        <v>-8086207.9299999997</v>
      </c>
      <c r="E19" s="597">
        <f>'[12]Division 009'!D131</f>
        <v>-7415174.7999999998</v>
      </c>
      <c r="F19" s="597">
        <f>'[12]Division 009'!E131</f>
        <v>-5130721.6899999995</v>
      </c>
      <c r="G19" s="597">
        <f>'[12]Division 009'!F131</f>
        <v>-4548594.92</v>
      </c>
      <c r="H19" s="597">
        <f>'[12]Division 009'!G131</f>
        <v>-2633468.4799999995</v>
      </c>
      <c r="I19" s="597">
        <f>'[12]Division 009'!H131</f>
        <v>-1707133.54</v>
      </c>
      <c r="J19" s="96">
        <f>-'[9]Summary of Revenue'!I$12</f>
        <v>-1766631.463177212</v>
      </c>
      <c r="K19" s="96">
        <f>-'[9]Summary of Revenue'!J$12</f>
        <v>-1668351.0722613346</v>
      </c>
      <c r="L19" s="96">
        <f>-'[9]Summary of Revenue'!K$12</f>
        <v>-1650154.448445596</v>
      </c>
      <c r="M19" s="96">
        <f>-'[9]Summary of Revenue'!L$12</f>
        <v>-2091796.725258501</v>
      </c>
      <c r="N19" s="96">
        <f>-'[9]Summary of Revenue'!M$12</f>
        <v>-3547724.2611189121</v>
      </c>
      <c r="O19" s="96">
        <f>-'[9]Summary of Revenue'!N$12</f>
        <v>-5285173.8612298202</v>
      </c>
      <c r="P19" s="210">
        <f t="shared" si="3"/>
        <v>-45531133.19149138</v>
      </c>
      <c r="Q19" s="148"/>
      <c r="R19" s="592"/>
      <c r="S19" s="148"/>
    </row>
    <row r="20" spans="1:25">
      <c r="A20" s="868">
        <f t="shared" si="0"/>
        <v>9</v>
      </c>
      <c r="B20" s="830">
        <v>4812</v>
      </c>
      <c r="C20" s="210" t="s">
        <v>1388</v>
      </c>
      <c r="D20" s="597">
        <f>'[12]Division 009'!C132</f>
        <v>-973706.71</v>
      </c>
      <c r="E20" s="597">
        <f>'[12]Division 009'!D132</f>
        <v>-1334353.76</v>
      </c>
      <c r="F20" s="597">
        <f>'[12]Division 009'!E132</f>
        <v>-899110.9</v>
      </c>
      <c r="G20" s="597">
        <f>'[12]Division 009'!F132</f>
        <v>-594159.13</v>
      </c>
      <c r="H20" s="597">
        <f>'[12]Division 009'!G132</f>
        <v>-355282.98</v>
      </c>
      <c r="I20" s="597">
        <f>'[12]Division 009'!H132</f>
        <v>-174114.03</v>
      </c>
      <c r="J20" s="96">
        <f>-'[9]Summary of Revenue'!I$13</f>
        <v>-175217.12237435556</v>
      </c>
      <c r="K20" s="96">
        <f>-'[9]Summary of Revenue'!J$13</f>
        <v>-200280.25797535555</v>
      </c>
      <c r="L20" s="96">
        <f>-'[9]Summary of Revenue'!K$13</f>
        <v>-187713.57397539556</v>
      </c>
      <c r="M20" s="96">
        <f>-'[9]Summary of Revenue'!L$13</f>
        <v>-254047.71953455551</v>
      </c>
      <c r="N20" s="96">
        <f>-'[9]Summary of Revenue'!M$13</f>
        <v>-361508.19045149098</v>
      </c>
      <c r="O20" s="96">
        <f>-'[9]Summary of Revenue'!N$13</f>
        <v>-541727.0040097828</v>
      </c>
      <c r="P20" s="210">
        <f t="shared" si="3"/>
        <v>-6051221.3783209361</v>
      </c>
      <c r="Q20" s="148"/>
      <c r="R20" s="592"/>
      <c r="S20" s="148"/>
    </row>
    <row r="21" spans="1:25">
      <c r="A21" s="868">
        <f t="shared" si="0"/>
        <v>10</v>
      </c>
      <c r="B21" s="830">
        <v>4815</v>
      </c>
      <c r="C21" s="210" t="s">
        <v>1315</v>
      </c>
      <c r="D21" s="597">
        <f>'[12]Division 009'!C133</f>
        <v>87594.73</v>
      </c>
      <c r="E21" s="597">
        <f>'[12]Division 009'!D133</f>
        <v>1449165.56</v>
      </c>
      <c r="F21" s="597">
        <f>'[12]Division 009'!E133</f>
        <v>-170765.7</v>
      </c>
      <c r="G21" s="597">
        <f>'[12]Division 009'!F133</f>
        <v>667416.28</v>
      </c>
      <c r="H21" s="597">
        <f>'[12]Division 009'!G133</f>
        <v>568707</v>
      </c>
      <c r="I21" s="597">
        <f>'[12]Division 009'!H133</f>
        <v>44232</v>
      </c>
      <c r="J21" s="96"/>
      <c r="K21" s="96"/>
      <c r="L21" s="96"/>
      <c r="M21" s="96"/>
      <c r="N21" s="96"/>
      <c r="O21" s="96"/>
      <c r="P21" s="210">
        <f t="shared" si="3"/>
        <v>2646349.87</v>
      </c>
      <c r="Q21" s="148"/>
      <c r="R21" s="592"/>
      <c r="S21" s="148"/>
    </row>
    <row r="22" spans="1:25">
      <c r="A22" s="868">
        <f t="shared" si="0"/>
        <v>11</v>
      </c>
      <c r="B22" s="830">
        <v>4816</v>
      </c>
      <c r="C22" s="210" t="s">
        <v>1346</v>
      </c>
      <c r="D22" s="597">
        <f>'[12]Division 009'!C134</f>
        <v>-505592.3</v>
      </c>
      <c r="E22" s="597">
        <f>'[12]Division 009'!D134</f>
        <v>248260.24000000002</v>
      </c>
      <c r="F22" s="597">
        <f>'[12]Division 009'!E134</f>
        <v>260988.22</v>
      </c>
      <c r="G22" s="597">
        <f>'[12]Division 009'!F134</f>
        <v>70106.89</v>
      </c>
      <c r="H22" s="597">
        <f>'[12]Division 009'!G134</f>
        <v>48981.37</v>
      </c>
      <c r="I22" s="597">
        <f>'[12]Division 009'!H134</f>
        <v>80943.959999999992</v>
      </c>
      <c r="J22" s="96"/>
      <c r="K22" s="96"/>
      <c r="L22" s="96"/>
      <c r="M22" s="96"/>
      <c r="N22" s="96"/>
      <c r="O22" s="96"/>
      <c r="P22" s="210">
        <f t="shared" si="3"/>
        <v>203688.38000000003</v>
      </c>
      <c r="R22" s="592"/>
      <c r="S22" s="148"/>
    </row>
    <row r="23" spans="1:25">
      <c r="A23" s="868">
        <f t="shared" si="0"/>
        <v>12</v>
      </c>
      <c r="B23" s="830">
        <v>4820</v>
      </c>
      <c r="C23" s="210" t="s">
        <v>864</v>
      </c>
      <c r="D23" s="597">
        <f>'[12]Division 009'!C135</f>
        <v>-1354829.99</v>
      </c>
      <c r="E23" s="597">
        <f>'[12]Division 009'!D135</f>
        <v>-1331272.1100000001</v>
      </c>
      <c r="F23" s="597">
        <f>'[12]Division 009'!E135</f>
        <v>-872594.26</v>
      </c>
      <c r="G23" s="597">
        <f>'[12]Division 009'!F135</f>
        <v>-783701.12000000011</v>
      </c>
      <c r="H23" s="597">
        <f>'[12]Division 009'!G135</f>
        <v>-441272.28000000009</v>
      </c>
      <c r="I23" s="597">
        <f>'[12]Division 009'!H135</f>
        <v>-251739.36</v>
      </c>
      <c r="J23" s="96">
        <f>-'[9]Summary of Revenue'!I$14</f>
        <v>-226688.90897395968</v>
      </c>
      <c r="K23" s="96">
        <f>-'[9]Summary of Revenue'!J$14</f>
        <v>-212706.97572869639</v>
      </c>
      <c r="L23" s="96">
        <f>-'[9]Summary of Revenue'!K$14</f>
        <v>-203679.18168436518</v>
      </c>
      <c r="M23" s="96">
        <f>-'[9]Summary of Revenue'!L$14</f>
        <v>-307934.67545647768</v>
      </c>
      <c r="N23" s="96">
        <f>-'[9]Summary of Revenue'!M$14</f>
        <v>-595284.49540316418</v>
      </c>
      <c r="O23" s="96">
        <f>-'[9]Summary of Revenue'!N$14</f>
        <v>-932195.08373129787</v>
      </c>
      <c r="P23" s="210">
        <f t="shared" si="3"/>
        <v>-7513898.4409779608</v>
      </c>
      <c r="Q23" s="210"/>
      <c r="R23" s="592"/>
      <c r="S23" s="148"/>
    </row>
    <row r="24" spans="1:25">
      <c r="A24" s="868">
        <f t="shared" si="0"/>
        <v>13</v>
      </c>
      <c r="B24" s="830">
        <v>4825</v>
      </c>
      <c r="C24" s="210" t="s">
        <v>1316</v>
      </c>
      <c r="D24" s="597">
        <f>'[12]Division 009'!C136</f>
        <v>20773.28</v>
      </c>
      <c r="E24" s="597">
        <f>'[12]Division 009'!D136</f>
        <v>303343.87</v>
      </c>
      <c r="F24" s="597">
        <f>'[12]Division 009'!E136</f>
        <v>-75991.209999999992</v>
      </c>
      <c r="G24" s="597">
        <f>'[12]Division 009'!F136</f>
        <v>96466.27</v>
      </c>
      <c r="H24" s="597">
        <f>'[12]Division 009'!G136</f>
        <v>221124</v>
      </c>
      <c r="I24" s="597">
        <f>'[12]Division 009'!H136</f>
        <v>6068</v>
      </c>
      <c r="J24" s="96"/>
      <c r="K24" s="96"/>
      <c r="L24" s="96"/>
      <c r="M24" s="96"/>
      <c r="N24" s="96"/>
      <c r="O24" s="96"/>
      <c r="P24" s="210">
        <f t="shared" si="3"/>
        <v>571784.21</v>
      </c>
      <c r="S24" s="148"/>
    </row>
    <row r="25" spans="1:25">
      <c r="A25" s="868">
        <f t="shared" si="0"/>
        <v>14</v>
      </c>
      <c r="B25" s="830">
        <v>4870</v>
      </c>
      <c r="C25" s="210" t="s">
        <v>230</v>
      </c>
      <c r="D25" s="597">
        <f>'[12]Division 009'!C137</f>
        <v>-192879.14</v>
      </c>
      <c r="E25" s="597">
        <f>'[12]Division 009'!D137</f>
        <v>-230566.08</v>
      </c>
      <c r="F25" s="597">
        <f>'[12]Division 009'!E137</f>
        <v>-230342.12</v>
      </c>
      <c r="G25" s="597">
        <f>'[12]Division 009'!F137</f>
        <v>-151214.99</v>
      </c>
      <c r="H25" s="597">
        <f>'[12]Division 009'!G137</f>
        <v>-139652.79999999999</v>
      </c>
      <c r="I25" s="597">
        <f>'[12]Division 009'!H137</f>
        <v>-59470.85</v>
      </c>
      <c r="J25" s="96">
        <f>-'[9]Summary of Revenue'!I$18</f>
        <v>-56702.008306875352</v>
      </c>
      <c r="K25" s="96">
        <f>-'[9]Summary of Revenue'!J$18</f>
        <v>-51800.784396585361</v>
      </c>
      <c r="L25" s="96">
        <f>-'[9]Summary of Revenue'!K$18</f>
        <v>-49979.244894852694</v>
      </c>
      <c r="M25" s="96">
        <f>-'[9]Summary of Revenue'!L$18</f>
        <v>-49537.852952870497</v>
      </c>
      <c r="N25" s="96">
        <f>-'[9]Summary of Revenue'!M$18</f>
        <v>-64694.648373821525</v>
      </c>
      <c r="O25" s="96">
        <f>-'[9]Summary of Revenue'!N$18</f>
        <v>-111548.2089530177</v>
      </c>
      <c r="P25" s="210">
        <f t="shared" si="3"/>
        <v>-1388388.7278780227</v>
      </c>
      <c r="R25" s="148"/>
      <c r="S25" s="148"/>
    </row>
    <row r="26" spans="1:25">
      <c r="A26" s="868">
        <f t="shared" si="0"/>
        <v>15</v>
      </c>
      <c r="B26" s="830">
        <v>4880</v>
      </c>
      <c r="C26" s="210" t="s">
        <v>865</v>
      </c>
      <c r="D26" s="597">
        <f>'[12]Division 009'!C138</f>
        <v>-59320</v>
      </c>
      <c r="E26" s="597">
        <f>'[12]Division 009'!D138</f>
        <v>-48866</v>
      </c>
      <c r="F26" s="597">
        <f>'[12]Division 009'!E138</f>
        <v>-64491</v>
      </c>
      <c r="G26" s="597">
        <f>'[12]Division 009'!F138</f>
        <v>-54927</v>
      </c>
      <c r="H26" s="597">
        <f>'[12]Division 009'!G138</f>
        <v>-49757</v>
      </c>
      <c r="I26" s="597">
        <f>'[12]Division 009'!H138</f>
        <v>-54928</v>
      </c>
      <c r="J26" s="96">
        <f>-'[9]Summary of Revenue'!I$19</f>
        <v>-45327</v>
      </c>
      <c r="K26" s="96">
        <f>-'[9]Summary of Revenue'!J$19</f>
        <v>-57173</v>
      </c>
      <c r="L26" s="96">
        <f>-'[9]Summary of Revenue'!K$19</f>
        <v>-55395</v>
      </c>
      <c r="M26" s="96">
        <f>-'[9]Summary of Revenue'!L$19</f>
        <v>-88176</v>
      </c>
      <c r="N26" s="96">
        <f>-'[9]Summary of Revenue'!M$19</f>
        <v>-126545</v>
      </c>
      <c r="O26" s="96">
        <f>-'[9]Summary of Revenue'!N$19</f>
        <v>-87101</v>
      </c>
      <c r="P26" s="210">
        <f t="shared" si="3"/>
        <v>-792006</v>
      </c>
      <c r="R26" s="148"/>
      <c r="S26" s="148"/>
    </row>
    <row r="27" spans="1:25">
      <c r="A27" s="868">
        <f t="shared" si="0"/>
        <v>16</v>
      </c>
      <c r="B27" s="830">
        <v>4893</v>
      </c>
      <c r="C27" s="210" t="s">
        <v>1210</v>
      </c>
      <c r="D27" s="597">
        <f>'[12]Division 009'!C139</f>
        <v>-2135654.7199999997</v>
      </c>
      <c r="E27" s="597">
        <f>'[12]Division 009'!D139</f>
        <v>-1772397.93</v>
      </c>
      <c r="F27" s="597">
        <f>'[12]Division 009'!E139</f>
        <v>-1770851.04</v>
      </c>
      <c r="G27" s="597">
        <f>'[12]Division 009'!F139</f>
        <v>-1589667.64</v>
      </c>
      <c r="H27" s="597">
        <f>'[12]Division 009'!G139</f>
        <v>-1412282.73</v>
      </c>
      <c r="I27" s="597">
        <f>'[12]Division 009'!H139</f>
        <v>-1232115.18</v>
      </c>
      <c r="J27" s="96">
        <f>-'[9]Summary of Revenue'!I$20</f>
        <v>-994105.16500000004</v>
      </c>
      <c r="K27" s="96">
        <f>-'[9]Summary of Revenue'!J$20</f>
        <v>-1088323.54</v>
      </c>
      <c r="L27" s="96">
        <f>-'[9]Summary of Revenue'!K$20</f>
        <v>-1079966.1724999999</v>
      </c>
      <c r="M27" s="96">
        <f>-'[9]Summary of Revenue'!L$20</f>
        <v>-1210609.0350000001</v>
      </c>
      <c r="N27" s="96">
        <f>-'[9]Summary of Revenue'!M$20</f>
        <v>-1304753.0449999999</v>
      </c>
      <c r="O27" s="96">
        <f>-'[9]Summary of Revenue'!N$20</f>
        <v>-1422619.82</v>
      </c>
      <c r="P27" s="210">
        <f t="shared" ref="P27:P31" si="4">SUM(D27:O27)</f>
        <v>-17013346.017499994</v>
      </c>
      <c r="Q27" s="833"/>
      <c r="R27" s="80"/>
      <c r="S27" s="80"/>
      <c r="T27" s="80"/>
      <c r="U27" s="80"/>
      <c r="V27" s="80"/>
      <c r="W27" s="80"/>
      <c r="X27" s="80"/>
      <c r="Y27" s="80"/>
    </row>
    <row r="28" spans="1:25">
      <c r="A28" s="868">
        <f t="shared" si="0"/>
        <v>17</v>
      </c>
      <c r="B28" s="707">
        <v>4950</v>
      </c>
      <c r="C28" s="81" t="s">
        <v>662</v>
      </c>
      <c r="D28" s="597">
        <f>0</f>
        <v>0</v>
      </c>
      <c r="E28" s="597">
        <f>0</f>
        <v>0</v>
      </c>
      <c r="F28" s="597">
        <f>0</f>
        <v>0</v>
      </c>
      <c r="G28" s="597">
        <f>0</f>
        <v>0</v>
      </c>
      <c r="H28" s="597">
        <f>0</f>
        <v>0</v>
      </c>
      <c r="I28" s="597">
        <f>0</f>
        <v>0</v>
      </c>
      <c r="J28" s="96">
        <f>-'[9]Summary of Revenue'!I21</f>
        <v>-157141.32000000004</v>
      </c>
      <c r="K28" s="96">
        <f>-'[9]Summary of Revenue'!J21</f>
        <v>-159211.59</v>
      </c>
      <c r="L28" s="96">
        <f>-'[9]Summary of Revenue'!K21</f>
        <v>-171560.08999999997</v>
      </c>
      <c r="M28" s="96">
        <f>-'[9]Summary of Revenue'!L21</f>
        <v>-201623.49000000002</v>
      </c>
      <c r="N28" s="96">
        <f>-'[9]Summary of Revenue'!M21</f>
        <v>-213081.41000000003</v>
      </c>
      <c r="O28" s="96">
        <f>-'[9]Summary of Revenue'!N21</f>
        <v>-245950.37</v>
      </c>
      <c r="P28" s="210">
        <f t="shared" si="4"/>
        <v>-1148568.27</v>
      </c>
      <c r="Q28" s="726"/>
    </row>
    <row r="29" spans="1:25" s="793" customFormat="1">
      <c r="A29" s="868">
        <f t="shared" si="0"/>
        <v>18</v>
      </c>
      <c r="B29" s="707">
        <v>4960</v>
      </c>
      <c r="C29" s="103" t="s">
        <v>1626</v>
      </c>
      <c r="D29" s="597">
        <f>'[12]Division 009'!C140</f>
        <v>651059</v>
      </c>
      <c r="E29" s="597">
        <f>'[12]Division 009'!D140</f>
        <v>688493</v>
      </c>
      <c r="F29" s="597">
        <f>'[12]Division 009'!E140</f>
        <v>452336</v>
      </c>
      <c r="G29" s="597">
        <f>'[12]Division 009'!F140</f>
        <v>0</v>
      </c>
      <c r="H29" s="597">
        <f>'[12]Division 009'!G140</f>
        <v>0</v>
      </c>
      <c r="I29" s="597">
        <f>'[12]Division 009'!H140</f>
        <v>0</v>
      </c>
      <c r="J29" s="96"/>
      <c r="K29" s="96"/>
      <c r="L29" s="96"/>
      <c r="M29" s="96"/>
      <c r="N29" s="96"/>
      <c r="O29" s="96"/>
      <c r="P29" s="210">
        <f t="shared" si="4"/>
        <v>1791888</v>
      </c>
      <c r="Q29" s="726"/>
    </row>
    <row r="30" spans="1:25" ht="12" customHeight="1">
      <c r="A30" s="868">
        <f t="shared" si="0"/>
        <v>19</v>
      </c>
      <c r="B30" s="830">
        <v>7560</v>
      </c>
      <c r="C30" s="80" t="s">
        <v>1391</v>
      </c>
      <c r="D30" s="597">
        <f>0</f>
        <v>0</v>
      </c>
      <c r="E30" s="597">
        <f>0</f>
        <v>0</v>
      </c>
      <c r="F30" s="597">
        <f>0</f>
        <v>0</v>
      </c>
      <c r="G30" s="597">
        <f>0</f>
        <v>0</v>
      </c>
      <c r="H30" s="597">
        <f>0</f>
        <v>0</v>
      </c>
      <c r="I30" s="597">
        <f>0</f>
        <v>0</v>
      </c>
      <c r="J30" s="398">
        <f>VLOOKUP($B30,'[13]Div 9 forecast'!$D$590:$AF$671, 9,FALSE)</f>
        <v>0</v>
      </c>
      <c r="K30" s="398">
        <f>VLOOKUP($B30,'[13]Div 9 forecast'!$D$590:$AF$671, 10,FALSE)</f>
        <v>0</v>
      </c>
      <c r="L30" s="398">
        <f>VLOOKUP($B30,'[13]Div 9 forecast'!$D$590:$AF$671, 11,FALSE)</f>
        <v>0</v>
      </c>
      <c r="M30" s="398">
        <f>VLOOKUP($B30,'[13]Div 9 forecast'!$D$590:$AF$671, 12,FALSE)</f>
        <v>0</v>
      </c>
      <c r="N30" s="398">
        <f>VLOOKUP($B30,'[13]Div 9 forecast'!$D$590:$AF$671, 13,FALSE)</f>
        <v>0</v>
      </c>
      <c r="O30" s="398">
        <f>VLOOKUP($B30,'[13]Div 9 forecast'!$D$590:$AF$671, 14,FALSE)</f>
        <v>0</v>
      </c>
      <c r="P30" s="210">
        <f t="shared" si="4"/>
        <v>0</v>
      </c>
      <c r="S30" s="148"/>
    </row>
    <row r="31" spans="1:25" s="789" customFormat="1">
      <c r="A31" s="868">
        <f t="shared" si="0"/>
        <v>20</v>
      </c>
      <c r="B31" s="830">
        <v>7590</v>
      </c>
      <c r="C31" s="103" t="s">
        <v>1349</v>
      </c>
      <c r="D31" s="597">
        <f>0</f>
        <v>0</v>
      </c>
      <c r="E31" s="597">
        <f>0</f>
        <v>0</v>
      </c>
      <c r="F31" s="597">
        <f>0</f>
        <v>0</v>
      </c>
      <c r="G31" s="597">
        <f>0</f>
        <v>0</v>
      </c>
      <c r="H31" s="597">
        <f>0</f>
        <v>0</v>
      </c>
      <c r="I31" s="597">
        <f>0</f>
        <v>0</v>
      </c>
      <c r="J31" s="398">
        <f>VLOOKUP($B31,'[13]Div 9 forecast'!$D$590:$AF$671, 9,FALSE)</f>
        <v>0</v>
      </c>
      <c r="K31" s="398">
        <f>VLOOKUP($B31,'[13]Div 9 forecast'!$D$590:$AF$671, 10,FALSE)</f>
        <v>0</v>
      </c>
      <c r="L31" s="398">
        <f>VLOOKUP($B31,'[13]Div 9 forecast'!$D$590:$AF$671, 11,FALSE)</f>
        <v>0</v>
      </c>
      <c r="M31" s="398">
        <f>VLOOKUP($B31,'[13]Div 9 forecast'!$D$590:$AF$671, 12,FALSE)</f>
        <v>0</v>
      </c>
      <c r="N31" s="398">
        <f>VLOOKUP($B31,'[13]Div 9 forecast'!$D$590:$AF$671, 13,FALSE)</f>
        <v>0</v>
      </c>
      <c r="O31" s="398">
        <f>VLOOKUP($B31,'[13]Div 9 forecast'!$D$590:$AF$671, 14,FALSE)</f>
        <v>0</v>
      </c>
      <c r="P31" s="210">
        <f t="shared" si="4"/>
        <v>0</v>
      </c>
      <c r="S31" s="148"/>
    </row>
    <row r="32" spans="1:25">
      <c r="A32" s="868">
        <f t="shared" si="0"/>
        <v>21</v>
      </c>
      <c r="B32" s="830">
        <v>8001</v>
      </c>
      <c r="C32" s="210" t="s">
        <v>867</v>
      </c>
      <c r="D32" s="597">
        <f>0</f>
        <v>0</v>
      </c>
      <c r="E32" s="597">
        <f>0</f>
        <v>0</v>
      </c>
      <c r="F32" s="597">
        <f>0</f>
        <v>0</v>
      </c>
      <c r="G32" s="597">
        <f>0</f>
        <v>0</v>
      </c>
      <c r="H32" s="597">
        <f>0</f>
        <v>0</v>
      </c>
      <c r="I32" s="597">
        <f>0</f>
        <v>0</v>
      </c>
      <c r="J32" s="96">
        <f>'[14]2018 case'!O7</f>
        <v>0</v>
      </c>
      <c r="K32" s="96">
        <f>'[14]2018 case'!P7</f>
        <v>0</v>
      </c>
      <c r="L32" s="96">
        <f>'[14]2018 case'!Q7</f>
        <v>0</v>
      </c>
      <c r="M32" s="96">
        <f>'[14]2018 case'!R7</f>
        <v>0</v>
      </c>
      <c r="N32" s="96">
        <f>'[14]2018 case'!S7</f>
        <v>0</v>
      </c>
      <c r="O32" s="96">
        <f>'[14]2018 case'!T7</f>
        <v>0</v>
      </c>
      <c r="P32" s="210">
        <f t="shared" si="3"/>
        <v>0</v>
      </c>
      <c r="Q32" s="592"/>
      <c r="R32" s="592"/>
      <c r="S32" s="148"/>
    </row>
    <row r="33" spans="1:19">
      <c r="A33" s="868">
        <f t="shared" si="0"/>
        <v>22</v>
      </c>
      <c r="B33" s="830">
        <v>8010</v>
      </c>
      <c r="C33" s="103" t="s">
        <v>1208</v>
      </c>
      <c r="D33" s="597">
        <f>'[12]Division 009'!C141</f>
        <v>4142.43</v>
      </c>
      <c r="E33" s="597">
        <f>'[12]Division 009'!D141</f>
        <v>4390.79</v>
      </c>
      <c r="F33" s="597">
        <f>'[12]Division 009'!E141</f>
        <v>5052.87</v>
      </c>
      <c r="G33" s="597">
        <f>'[12]Division 009'!F141</f>
        <v>4211.0600000000004</v>
      </c>
      <c r="H33" s="597">
        <f>'[12]Division 009'!G141</f>
        <v>4530.34</v>
      </c>
      <c r="I33" s="597">
        <f>'[12]Division 009'!H141</f>
        <v>5322.71</v>
      </c>
      <c r="J33" s="96">
        <f>'[14]2018 case'!O8</f>
        <v>7324.2615980656183</v>
      </c>
      <c r="K33" s="96">
        <f>'[14]2018 case'!P8</f>
        <v>5554.5048695551986</v>
      </c>
      <c r="L33" s="96">
        <f>'[14]2018 case'!Q8</f>
        <v>5780.096747083735</v>
      </c>
      <c r="M33" s="96">
        <f>'[14]2018 case'!R8</f>
        <v>6580.9363857371791</v>
      </c>
      <c r="N33" s="96">
        <f>'[14]2018 case'!S8</f>
        <v>4318.9815720120605</v>
      </c>
      <c r="O33" s="96">
        <f>'[14]2018 case'!T8</f>
        <v>4014.4276462716489</v>
      </c>
      <c r="P33" s="210">
        <f t="shared" ref="P33" si="5">SUM(D33:O33)</f>
        <v>61223.408818725438</v>
      </c>
      <c r="Q33" s="148"/>
      <c r="R33" s="148"/>
      <c r="S33" s="148"/>
    </row>
    <row r="34" spans="1:19">
      <c r="A34" s="868">
        <f t="shared" si="0"/>
        <v>23</v>
      </c>
      <c r="B34" s="830">
        <v>8040</v>
      </c>
      <c r="C34" s="210" t="s">
        <v>868</v>
      </c>
      <c r="D34" s="597">
        <f>'[12]Division 009'!C142</f>
        <v>6202228.0199999996</v>
      </c>
      <c r="E34" s="597">
        <f>'[12]Division 009'!D142</f>
        <v>6877704.7200000007</v>
      </c>
      <c r="F34" s="597">
        <f>'[12]Division 009'!E142</f>
        <v>2247878.71</v>
      </c>
      <c r="G34" s="597">
        <f>'[12]Division 009'!F142</f>
        <v>927969.08</v>
      </c>
      <c r="H34" s="597">
        <f>'[12]Division 009'!G142</f>
        <v>6008159.8899999997</v>
      </c>
      <c r="I34" s="597">
        <f>'[12]Division 009'!H142</f>
        <v>4785365.57</v>
      </c>
      <c r="J34" s="96">
        <f>'[14]2018 case'!O9</f>
        <v>5782058.4411809836</v>
      </c>
      <c r="K34" s="96">
        <f>'[14]2018 case'!P9</f>
        <v>3445775.071468797</v>
      </c>
      <c r="L34" s="96">
        <f>'[14]2018 case'!Q9</f>
        <v>3107251.4596612607</v>
      </c>
      <c r="M34" s="96">
        <f>'[14]2018 case'!R9</f>
        <v>3438833.3638782799</v>
      </c>
      <c r="N34" s="96">
        <f>'[14]2018 case'!S9</f>
        <v>4828545.1402501734</v>
      </c>
      <c r="O34" s="96">
        <f>'[14]2018 case'!T9</f>
        <v>2228393.9559807465</v>
      </c>
      <c r="P34" s="210">
        <f t="shared" si="3"/>
        <v>49880163.422420248</v>
      </c>
      <c r="Q34" s="148"/>
      <c r="R34" s="592"/>
      <c r="S34" s="148"/>
    </row>
    <row r="35" spans="1:19">
      <c r="A35" s="868">
        <f t="shared" si="0"/>
        <v>24</v>
      </c>
      <c r="B35" s="830">
        <v>8050</v>
      </c>
      <c r="C35" s="210" t="s">
        <v>869</v>
      </c>
      <c r="D35" s="597">
        <f>'[12]Division 009'!C143</f>
        <v>-1038.32</v>
      </c>
      <c r="E35" s="597">
        <f>'[12]Division 009'!D143</f>
        <v>-266.42</v>
      </c>
      <c r="F35" s="597">
        <f>'[12]Division 009'!E143</f>
        <v>-310.01</v>
      </c>
      <c r="G35" s="597">
        <f>'[12]Division 009'!F143</f>
        <v>-1325.87</v>
      </c>
      <c r="H35" s="597">
        <f>'[12]Division 009'!G143</f>
        <v>-63.36</v>
      </c>
      <c r="I35" s="597">
        <f>'[12]Division 009'!H143</f>
        <v>0</v>
      </c>
      <c r="J35" s="96">
        <f>'[14]2018 case'!O10</f>
        <v>-293.53013022036407</v>
      </c>
      <c r="K35" s="96">
        <f>'[14]2018 case'!P10</f>
        <v>-701.50265946338197</v>
      </c>
      <c r="L35" s="96">
        <f>'[14]2018 case'!Q10</f>
        <v>-1696.0802371570996</v>
      </c>
      <c r="M35" s="96">
        <f>'[14]2018 case'!R10</f>
        <v>-1026.7316105785051</v>
      </c>
      <c r="N35" s="96">
        <f>'[14]2018 case'!S10</f>
        <v>-72.123899498415383</v>
      </c>
      <c r="O35" s="96">
        <f>'[14]2018 case'!T10</f>
        <v>-1267.0630474528411</v>
      </c>
      <c r="P35" s="210">
        <f t="shared" si="3"/>
        <v>-8061.0115843706062</v>
      </c>
      <c r="Q35" s="148"/>
      <c r="R35" s="592"/>
      <c r="S35" s="148"/>
    </row>
    <row r="36" spans="1:19">
      <c r="A36" s="868">
        <f t="shared" si="0"/>
        <v>25</v>
      </c>
      <c r="B36" s="830">
        <v>8051</v>
      </c>
      <c r="C36" s="210" t="s">
        <v>870</v>
      </c>
      <c r="D36" s="597">
        <f>'[12]Division 009'!C144</f>
        <v>12247863.539999999</v>
      </c>
      <c r="E36" s="597">
        <f>'[12]Division 009'!D144</f>
        <v>10646486.09</v>
      </c>
      <c r="F36" s="597">
        <f>'[12]Division 009'!E144</f>
        <v>6624828.5599999996</v>
      </c>
      <c r="G36" s="597">
        <f>'[12]Division 009'!F144</f>
        <v>6433023.0899999999</v>
      </c>
      <c r="H36" s="597">
        <f>'[12]Division 009'!G144</f>
        <v>2509641.14</v>
      </c>
      <c r="I36" s="597">
        <f>'[12]Division 009'!H144</f>
        <v>813836.76</v>
      </c>
      <c r="J36" s="96">
        <f>'[14]2018 case'!O11</f>
        <v>842169.92141525832</v>
      </c>
      <c r="K36" s="96">
        <f>'[14]2018 case'!P11</f>
        <v>633324.81376741116</v>
      </c>
      <c r="L36" s="96">
        <f>'[14]2018 case'!Q11</f>
        <v>656352.35715170437</v>
      </c>
      <c r="M36" s="96">
        <f>'[14]2018 case'!R11</f>
        <v>686034.32081669837</v>
      </c>
      <c r="N36" s="96">
        <f>'[14]2018 case'!S11</f>
        <v>2799494.3176577878</v>
      </c>
      <c r="O36" s="96">
        <f>'[14]2018 case'!T11</f>
        <v>5211307.2135423655</v>
      </c>
      <c r="P36" s="210">
        <f t="shared" si="3"/>
        <v>50104362.124351226</v>
      </c>
      <c r="Q36" s="148"/>
      <c r="R36" s="148"/>
      <c r="S36" s="148"/>
    </row>
    <row r="37" spans="1:19">
      <c r="A37" s="868">
        <f t="shared" si="0"/>
        <v>26</v>
      </c>
      <c r="B37" s="830">
        <v>8052</v>
      </c>
      <c r="C37" s="210" t="s">
        <v>871</v>
      </c>
      <c r="D37" s="597">
        <f>'[12]Division 009'!C145</f>
        <v>5664066.96</v>
      </c>
      <c r="E37" s="597">
        <f>'[12]Division 009'!D145</f>
        <v>4986155.1500000004</v>
      </c>
      <c r="F37" s="597">
        <f>'[12]Division 009'!E145</f>
        <v>3093000.9</v>
      </c>
      <c r="G37" s="597">
        <f>'[12]Division 009'!F145</f>
        <v>2940052.18</v>
      </c>
      <c r="H37" s="597">
        <f>'[12]Division 009'!G145</f>
        <v>1392501.77</v>
      </c>
      <c r="I37" s="597">
        <f>'[12]Division 009'!H145</f>
        <v>720018.14</v>
      </c>
      <c r="J37" s="96">
        <f>'[14]2018 case'!O12</f>
        <v>757374.05991727882</v>
      </c>
      <c r="K37" s="96">
        <f>'[14]2018 case'!P12</f>
        <v>660615.50745652197</v>
      </c>
      <c r="L37" s="96">
        <f>'[14]2018 case'!Q12</f>
        <v>753215.40531069785</v>
      </c>
      <c r="M37" s="96">
        <f>'[14]2018 case'!R12</f>
        <v>766363.28117374331</v>
      </c>
      <c r="N37" s="96">
        <f>'[14]2018 case'!S12</f>
        <v>1468924.1463515474</v>
      </c>
      <c r="O37" s="96">
        <f>'[14]2018 case'!T12</f>
        <v>2433567.1194687164</v>
      </c>
      <c r="P37" s="210">
        <f t="shared" si="3"/>
        <v>25635854.619678505</v>
      </c>
      <c r="Q37" s="148"/>
      <c r="R37" s="148"/>
      <c r="S37" s="148"/>
    </row>
    <row r="38" spans="1:19">
      <c r="A38" s="868">
        <f t="shared" si="0"/>
        <v>27</v>
      </c>
      <c r="B38" s="830">
        <v>8053</v>
      </c>
      <c r="C38" s="210" t="s">
        <v>872</v>
      </c>
      <c r="D38" s="597">
        <f>'[12]Division 009'!C146</f>
        <v>839872.67</v>
      </c>
      <c r="E38" s="597">
        <f>'[12]Division 009'!D146</f>
        <v>1154836.7</v>
      </c>
      <c r="F38" s="597">
        <f>'[12]Division 009'!E146</f>
        <v>782933.51</v>
      </c>
      <c r="G38" s="597">
        <f>'[12]Division 009'!F146</f>
        <v>531775.71</v>
      </c>
      <c r="H38" s="597">
        <f>'[12]Division 009'!G146</f>
        <v>326707.57</v>
      </c>
      <c r="I38" s="597">
        <f>'[12]Division 009'!H146</f>
        <v>154525.03</v>
      </c>
      <c r="J38" s="96">
        <f>'[14]2018 case'!O13</f>
        <v>177083.1641640086</v>
      </c>
      <c r="K38" s="96">
        <f>'[14]2018 case'!P13</f>
        <v>150310.06025453439</v>
      </c>
      <c r="L38" s="96">
        <f>'[14]2018 case'!Q13</f>
        <v>130195.95226936085</v>
      </c>
      <c r="M38" s="96">
        <f>'[14]2018 case'!R13</f>
        <v>178489.03715741987</v>
      </c>
      <c r="N38" s="96">
        <f>'[14]2018 case'!S13</f>
        <v>228686.11565799391</v>
      </c>
      <c r="O38" s="96">
        <f>'[14]2018 case'!T13</f>
        <v>318471.91582604626</v>
      </c>
      <c r="P38" s="210">
        <f t="shared" si="3"/>
        <v>4973887.4353293628</v>
      </c>
      <c r="Q38" s="148"/>
      <c r="R38" s="148"/>
      <c r="S38" s="148"/>
    </row>
    <row r="39" spans="1:19">
      <c r="A39" s="868">
        <f t="shared" si="0"/>
        <v>28</v>
      </c>
      <c r="B39" s="830">
        <v>8054</v>
      </c>
      <c r="C39" s="210" t="s">
        <v>873</v>
      </c>
      <c r="D39" s="597">
        <f>'[12]Division 009'!C147</f>
        <v>1022753.76</v>
      </c>
      <c r="E39" s="597">
        <f>'[12]Division 009'!D147</f>
        <v>979168.91</v>
      </c>
      <c r="F39" s="597">
        <f>'[12]Division 009'!E147</f>
        <v>585698.86</v>
      </c>
      <c r="G39" s="597">
        <f>'[12]Division 009'!F147</f>
        <v>571222.75</v>
      </c>
      <c r="H39" s="597">
        <f>'[12]Division 009'!G147</f>
        <v>290609.27</v>
      </c>
      <c r="I39" s="597">
        <f>'[12]Division 009'!H147</f>
        <v>141188.26999999999</v>
      </c>
      <c r="J39" s="96">
        <f>'[14]2018 case'!O14</f>
        <v>119398.91110083784</v>
      </c>
      <c r="K39" s="96">
        <f>'[14]2018 case'!P14</f>
        <v>103655.18345780151</v>
      </c>
      <c r="L39" s="96">
        <f>'[14]2018 case'!Q14</f>
        <v>90544.068939283447</v>
      </c>
      <c r="M39" s="96">
        <f>'[14]2018 case'!R14</f>
        <v>121015.56018335611</v>
      </c>
      <c r="N39" s="96">
        <f>'[14]2018 case'!S14</f>
        <v>274988.49662852997</v>
      </c>
      <c r="O39" s="96">
        <f>'[14]2018 case'!T14</f>
        <v>460088.04176891362</v>
      </c>
      <c r="P39" s="210">
        <f t="shared" si="3"/>
        <v>4760332.0820787232</v>
      </c>
      <c r="Q39" s="148"/>
      <c r="S39" s="148"/>
    </row>
    <row r="40" spans="1:19">
      <c r="A40" s="868">
        <f t="shared" si="0"/>
        <v>29</v>
      </c>
      <c r="B40" s="830">
        <v>8058</v>
      </c>
      <c r="C40" s="210" t="s">
        <v>874</v>
      </c>
      <c r="D40" s="597">
        <f>'[12]Division 009'!C148</f>
        <v>-125247.93</v>
      </c>
      <c r="E40" s="597">
        <f>'[12]Division 009'!D148</f>
        <v>-4775431.7300000004</v>
      </c>
      <c r="F40" s="597">
        <f>'[12]Division 009'!E148</f>
        <v>1386749.3599999999</v>
      </c>
      <c r="G40" s="597">
        <f>'[12]Division 009'!F148</f>
        <v>-2097362</v>
      </c>
      <c r="H40" s="597">
        <f>'[12]Division 009'!G148</f>
        <v>-2064133.79</v>
      </c>
      <c r="I40" s="597">
        <f>'[12]Division 009'!H148</f>
        <v>-132916.89000000001</v>
      </c>
      <c r="J40" s="96">
        <f>'[14]2018 case'!O15</f>
        <v>-77607.598373707428</v>
      </c>
      <c r="K40" s="96">
        <f>'[14]2018 case'!P15</f>
        <v>85243.046248953266</v>
      </c>
      <c r="L40" s="96">
        <f>'[14]2018 case'!Q15</f>
        <v>-4047.8485697393185</v>
      </c>
      <c r="M40" s="96">
        <f>'[14]2018 case'!R15</f>
        <v>1158383.0539583352</v>
      </c>
      <c r="N40" s="96">
        <f>'[14]2018 case'!S15</f>
        <v>1984840.1719477675</v>
      </c>
      <c r="O40" s="96">
        <f>'[14]2018 case'!T15</f>
        <v>3086269.6882969714</v>
      </c>
      <c r="P40" s="210">
        <f t="shared" si="3"/>
        <v>-1575262.4664914203</v>
      </c>
      <c r="Q40" s="148"/>
      <c r="R40" s="148"/>
      <c r="S40" s="148"/>
    </row>
    <row r="41" spans="1:19">
      <c r="A41" s="868">
        <f t="shared" si="0"/>
        <v>30</v>
      </c>
      <c r="B41" s="830">
        <v>8059</v>
      </c>
      <c r="C41" s="210" t="s">
        <v>875</v>
      </c>
      <c r="D41" s="597">
        <f>'[12]Division 009'!C149</f>
        <v>-12305786.710000001</v>
      </c>
      <c r="E41" s="597">
        <f>'[12]Division 009'!D149</f>
        <v>-14904062.199999999</v>
      </c>
      <c r="F41" s="597">
        <f>'[12]Division 009'!E149</f>
        <v>-9380793.1899999995</v>
      </c>
      <c r="G41" s="597">
        <f>'[12]Division 009'!F149</f>
        <v>-8938833.0299999993</v>
      </c>
      <c r="H41" s="597">
        <f>'[12]Division 009'!G149</f>
        <v>-5948837.0899999999</v>
      </c>
      <c r="I41" s="597">
        <f>'[12]Division 009'!H149</f>
        <v>-3054463.42</v>
      </c>
      <c r="J41" s="96">
        <f>'[14]2018 case'!O16</f>
        <v>-2938143.4967744481</v>
      </c>
      <c r="K41" s="96">
        <f>'[14]2018 case'!P16</f>
        <v>-2094408.5142190468</v>
      </c>
      <c r="L41" s="96">
        <f>'[14]2018 case'!Q16</f>
        <v>-2009257.8361541391</v>
      </c>
      <c r="M41" s="96">
        <f>'[14]2018 case'!R16</f>
        <v>-2346774.4690224743</v>
      </c>
      <c r="N41" s="96">
        <f>'[14]2018 case'!S16</f>
        <v>-3530039.1282410589</v>
      </c>
      <c r="O41" s="96">
        <f>'[14]2018 case'!T16</f>
        <v>-5662828.095563788</v>
      </c>
      <c r="P41" s="210">
        <f t="shared" si="3"/>
        <v>-73114227.179974958</v>
      </c>
      <c r="Q41" s="148"/>
      <c r="R41" s="148"/>
      <c r="S41" s="148"/>
    </row>
    <row r="42" spans="1:19">
      <c r="A42" s="868">
        <f t="shared" si="0"/>
        <v>31</v>
      </c>
      <c r="B42" s="830">
        <v>8060</v>
      </c>
      <c r="C42" s="210" t="s">
        <v>876</v>
      </c>
      <c r="D42" s="597">
        <f>'[12]Division 009'!C150</f>
        <v>2208043.6</v>
      </c>
      <c r="E42" s="597">
        <f>'[12]Division 009'!D150</f>
        <v>2687186.07</v>
      </c>
      <c r="F42" s="597">
        <f>'[12]Division 009'!E150</f>
        <v>1880162.88</v>
      </c>
      <c r="G42" s="597">
        <f>'[12]Division 009'!F150</f>
        <v>1445651.89</v>
      </c>
      <c r="H42" s="597">
        <f>'[12]Division 009'!G150</f>
        <v>-953989.42</v>
      </c>
      <c r="I42" s="597">
        <f>'[12]Division 009'!H150</f>
        <v>-1317365.48</v>
      </c>
      <c r="J42" s="96">
        <f>'[14]2018 case'!O17</f>
        <v>-2793874.8838667795</v>
      </c>
      <c r="K42" s="96">
        <f>'[14]2018 case'!P17</f>
        <v>-1537644.54769944</v>
      </c>
      <c r="L42" s="96">
        <f>'[14]2018 case'!Q17</f>
        <v>-914547.82522040326</v>
      </c>
      <c r="M42" s="96">
        <f>'[14]2018 case'!R17</f>
        <v>-1047042.391719118</v>
      </c>
      <c r="N42" s="96">
        <f>'[14]2018 case'!S17</f>
        <v>-1230718.8626861146</v>
      </c>
      <c r="O42" s="96">
        <f>'[14]2018 case'!T17</f>
        <v>428966.49338164646</v>
      </c>
      <c r="P42" s="210">
        <f t="shared" si="3"/>
        <v>-1145172.4778102098</v>
      </c>
      <c r="Q42" s="148"/>
      <c r="R42" s="148"/>
      <c r="S42" s="148"/>
    </row>
    <row r="43" spans="1:19">
      <c r="A43" s="868">
        <f t="shared" si="0"/>
        <v>32</v>
      </c>
      <c r="B43" s="830">
        <v>8081</v>
      </c>
      <c r="C43" s="210" t="s">
        <v>877</v>
      </c>
      <c r="D43" s="597">
        <f>'[12]Division 009'!C151</f>
        <v>2111350.42</v>
      </c>
      <c r="E43" s="597">
        <f>'[12]Division 009'!D151</f>
        <v>2831484.03</v>
      </c>
      <c r="F43" s="597">
        <f>'[12]Division 009'!E151</f>
        <v>3028402.48</v>
      </c>
      <c r="G43" s="597">
        <f>'[12]Division 009'!F151</f>
        <v>4186572.5</v>
      </c>
      <c r="H43" s="597">
        <f>'[12]Division 009'!G151</f>
        <v>93596.59</v>
      </c>
      <c r="I43" s="597">
        <f>'[12]Division 009'!H151</f>
        <v>0</v>
      </c>
      <c r="J43" s="96">
        <f>'[14]2018 case'!O18</f>
        <v>0</v>
      </c>
      <c r="K43" s="96">
        <f>'[14]2018 case'!P18</f>
        <v>207.42057949657493</v>
      </c>
      <c r="L43" s="96">
        <f>'[14]2018 case'!Q18</f>
        <v>0</v>
      </c>
      <c r="M43" s="96">
        <f>'[14]2018 case'!R18</f>
        <v>0</v>
      </c>
      <c r="N43" s="96">
        <f>'[14]2018 case'!S18</f>
        <v>18607.384816867878</v>
      </c>
      <c r="O43" s="96">
        <f>'[14]2018 case'!T18</f>
        <v>1414768.4063697604</v>
      </c>
      <c r="P43" s="210">
        <f t="shared" si="3"/>
        <v>13684989.231766125</v>
      </c>
      <c r="Q43" s="148"/>
      <c r="R43" s="148"/>
      <c r="S43" s="148"/>
    </row>
    <row r="44" spans="1:19">
      <c r="A44" s="868">
        <f t="shared" si="0"/>
        <v>33</v>
      </c>
      <c r="B44" s="830">
        <v>8082</v>
      </c>
      <c r="C44" s="210" t="s">
        <v>878</v>
      </c>
      <c r="D44" s="597">
        <f>'[12]Division 009'!C152</f>
        <v>-767259.71</v>
      </c>
      <c r="E44" s="597">
        <f>'[12]Division 009'!D152</f>
        <v>-82686.990000000005</v>
      </c>
      <c r="F44" s="597">
        <f>'[12]Division 009'!E152</f>
        <v>-93914.68</v>
      </c>
      <c r="G44" s="597">
        <f>'[12]Division 009'!F152</f>
        <v>-68390.820000000007</v>
      </c>
      <c r="H44" s="597">
        <f>'[12]Division 009'!G152</f>
        <v>-1292343.8</v>
      </c>
      <c r="I44" s="597">
        <f>'[12]Division 009'!H152</f>
        <v>-2081696.93</v>
      </c>
      <c r="J44" s="96">
        <f>'[14]2018 case'!O19</f>
        <v>-1808945.5713518986</v>
      </c>
      <c r="K44" s="96">
        <f>'[14]2018 case'!P19</f>
        <v>-1190772.5920280172</v>
      </c>
      <c r="L44" s="96">
        <f>'[14]2018 case'!Q19</f>
        <v>-1392591.8772589799</v>
      </c>
      <c r="M44" s="96">
        <f>'[14]2018 case'!R19</f>
        <v>-1315934.0339575321</v>
      </c>
      <c r="N44" s="96">
        <f>'[14]2018 case'!S19</f>
        <v>-1769235.0825297958</v>
      </c>
      <c r="O44" s="96">
        <f>'[14]2018 case'!T19</f>
        <v>-313866.95897423191</v>
      </c>
      <c r="P44" s="210">
        <f t="shared" si="3"/>
        <v>-12177639.046100454</v>
      </c>
      <c r="Q44" s="726"/>
      <c r="S44" s="148"/>
    </row>
    <row r="45" spans="1:19">
      <c r="A45" s="868">
        <f t="shared" si="0"/>
        <v>34</v>
      </c>
      <c r="B45" s="830">
        <v>8120</v>
      </c>
      <c r="C45" s="210" t="s">
        <v>879</v>
      </c>
      <c r="D45" s="597">
        <f>'[12]Division 009'!C153</f>
        <v>-3733.119999999999</v>
      </c>
      <c r="E45" s="597">
        <f>'[12]Division 009'!D153</f>
        <v>-4846.1900000000005</v>
      </c>
      <c r="F45" s="597">
        <f>'[12]Division 009'!E153</f>
        <v>-8115.1899999999987</v>
      </c>
      <c r="G45" s="597">
        <f>'[12]Division 009'!F153</f>
        <v>-3818.7199999999993</v>
      </c>
      <c r="H45" s="597">
        <f>'[12]Division 009'!G153</f>
        <v>-1045</v>
      </c>
      <c r="I45" s="597">
        <f>'[12]Division 009'!H153</f>
        <v>7015.07</v>
      </c>
      <c r="J45" s="96">
        <f>'[14]2018 case'!O20</f>
        <v>760.10061049255467</v>
      </c>
      <c r="K45" s="96">
        <f>'[14]2018 case'!P20</f>
        <v>176.22297115463903</v>
      </c>
      <c r="L45" s="96">
        <f>'[14]2018 case'!Q20</f>
        <v>1082.8488807818489</v>
      </c>
      <c r="M45" s="96">
        <f>'[14]2018 case'!R20</f>
        <v>-8888.3043557450528</v>
      </c>
      <c r="N45" s="96">
        <f>'[14]2018 case'!S20</f>
        <v>7593.3452546804374</v>
      </c>
      <c r="O45" s="96">
        <f>'[14]2018 case'!T20</f>
        <v>-2933.3443691687239</v>
      </c>
      <c r="P45" s="210">
        <f t="shared" si="3"/>
        <v>-16752.2810078043</v>
      </c>
      <c r="Q45" s="148"/>
      <c r="R45" s="148"/>
      <c r="S45" s="148"/>
    </row>
    <row r="46" spans="1:19" s="793" customFormat="1">
      <c r="A46" s="868">
        <f t="shared" si="0"/>
        <v>35</v>
      </c>
      <c r="B46" s="830">
        <v>8580</v>
      </c>
      <c r="C46" s="103" t="s">
        <v>1209</v>
      </c>
      <c r="D46" s="597">
        <f>'[12]Division 009'!C168</f>
        <v>2548320.27</v>
      </c>
      <c r="E46" s="597">
        <f>'[12]Division 009'!D168</f>
        <v>2586250</v>
      </c>
      <c r="F46" s="597">
        <f>'[12]Division 009'!E168</f>
        <v>2313520.94</v>
      </c>
      <c r="G46" s="597">
        <f>'[12]Division 009'!F168</f>
        <v>2444145.19</v>
      </c>
      <c r="H46" s="597">
        <f>'[12]Division 009'!G168</f>
        <v>2088946.8499999999</v>
      </c>
      <c r="I46" s="597">
        <f>'[12]Division 009'!H168</f>
        <v>1662837.5500000003</v>
      </c>
      <c r="J46" s="96">
        <f>'[14]2018 case'!O21</f>
        <v>1751874.7793442977</v>
      </c>
      <c r="K46" s="96">
        <f>'[14]2018 case'!P21</f>
        <v>1371990.1596881193</v>
      </c>
      <c r="L46" s="96">
        <f>'[14]2018 case'!Q21</f>
        <v>1205062.0624623343</v>
      </c>
      <c r="M46" s="96">
        <f>'[14]2018 case'!R21</f>
        <v>1265363.3260456857</v>
      </c>
      <c r="N46" s="96">
        <f>'[14]2018 case'!S21</f>
        <v>1678593.6907174131</v>
      </c>
      <c r="O46" s="96">
        <f>'[14]2018 case'!T21</f>
        <v>1901818.8342070479</v>
      </c>
      <c r="P46" s="210">
        <f t="shared" si="3"/>
        <v>22818723.652464896</v>
      </c>
      <c r="Q46" s="592"/>
      <c r="R46" s="148"/>
      <c r="S46" s="148"/>
    </row>
    <row r="47" spans="1:19" ht="22.5" customHeight="1">
      <c r="A47" s="868">
        <f t="shared" si="0"/>
        <v>36</v>
      </c>
      <c r="B47" s="830">
        <v>8140</v>
      </c>
      <c r="C47" s="210" t="s">
        <v>880</v>
      </c>
      <c r="D47" s="597">
        <f>0</f>
        <v>0</v>
      </c>
      <c r="E47" s="597">
        <f>0</f>
        <v>0</v>
      </c>
      <c r="F47" s="597">
        <f>0</f>
        <v>0</v>
      </c>
      <c r="G47" s="597">
        <f>0</f>
        <v>0</v>
      </c>
      <c r="H47" s="597">
        <f>0</f>
        <v>0</v>
      </c>
      <c r="I47" s="597">
        <f>0</f>
        <v>0</v>
      </c>
      <c r="J47" s="398">
        <f>VLOOKUP($B47,'[13]Div 9 forecast'!$D$590:$AF$671, 9,FALSE)</f>
        <v>0</v>
      </c>
      <c r="K47" s="398">
        <f>VLOOKUP($B47,'[13]Div 9 forecast'!$D$590:$AF$671, 10,FALSE)</f>
        <v>0</v>
      </c>
      <c r="L47" s="398">
        <f>VLOOKUP($B47,'[13]Div 9 forecast'!$D$590:$AF$671, 11,FALSE)</f>
        <v>0</v>
      </c>
      <c r="M47" s="398">
        <f>VLOOKUP($B47,'[13]Div 9 forecast'!$D$590:$AF$671, 12,FALSE)</f>
        <v>0</v>
      </c>
      <c r="N47" s="398">
        <f>VLOOKUP($B47,'[13]Div 9 forecast'!$D$590:$AF$671, 13,FALSE)</f>
        <v>0</v>
      </c>
      <c r="O47" s="398">
        <f>VLOOKUP($B47,'[13]Div 9 forecast'!$D$590:$AF$671, 14,FALSE)</f>
        <v>0</v>
      </c>
      <c r="P47" s="210">
        <f t="shared" si="3"/>
        <v>0</v>
      </c>
      <c r="S47" s="148"/>
    </row>
    <row r="48" spans="1:19" ht="21.75" customHeight="1">
      <c r="A48" s="868">
        <f t="shared" si="0"/>
        <v>37</v>
      </c>
      <c r="B48" s="830">
        <v>8160</v>
      </c>
      <c r="C48" s="210" t="s">
        <v>881</v>
      </c>
      <c r="D48" s="597">
        <f>'[12]Division 009'!C154</f>
        <v>17162.68</v>
      </c>
      <c r="E48" s="597">
        <f>'[12]Division 009'!D154</f>
        <v>8905.0399999999991</v>
      </c>
      <c r="F48" s="597">
        <f>'[12]Division 009'!E154</f>
        <v>2878.4</v>
      </c>
      <c r="G48" s="597">
        <f>'[12]Division 009'!F154</f>
        <v>3990.9499999999994</v>
      </c>
      <c r="H48" s="597">
        <f>'[12]Division 009'!G154</f>
        <v>33606.07</v>
      </c>
      <c r="I48" s="597">
        <f>'[12]Division 009'!H154</f>
        <v>124066.81999999999</v>
      </c>
      <c r="J48" s="398">
        <f>VLOOKUP($B48,'[13]Div 9 forecast'!$D$590:$AF$671, 9,FALSE)</f>
        <v>35129.544427470457</v>
      </c>
      <c r="K48" s="398">
        <f>VLOOKUP($B48,'[13]Div 9 forecast'!$D$590:$AF$671, 10,FALSE)</f>
        <v>21842.400920302422</v>
      </c>
      <c r="L48" s="398">
        <f>VLOOKUP($B48,'[13]Div 9 forecast'!$D$590:$AF$671, 11,FALSE)</f>
        <v>21657.910322734053</v>
      </c>
      <c r="M48" s="398">
        <f>VLOOKUP($B48,'[13]Div 9 forecast'!$D$590:$AF$671, 12,FALSE)</f>
        <v>20740.143820242294</v>
      </c>
      <c r="N48" s="398">
        <f>VLOOKUP($B48,'[13]Div 9 forecast'!$D$590:$AF$671, 13,FALSE)</f>
        <v>20422.114539138543</v>
      </c>
      <c r="O48" s="398">
        <f>VLOOKUP($B48,'[13]Div 9 forecast'!$D$590:$AF$671, 14,FALSE)</f>
        <v>16331.63300529869</v>
      </c>
      <c r="P48" s="210">
        <f t="shared" si="3"/>
        <v>326733.70703518647</v>
      </c>
      <c r="Q48" s="148"/>
      <c r="R48" s="148"/>
      <c r="S48" s="148"/>
    </row>
    <row r="49" spans="1:22">
      <c r="A49" s="868">
        <f t="shared" si="0"/>
        <v>38</v>
      </c>
      <c r="B49" s="830">
        <v>8170</v>
      </c>
      <c r="C49" s="210" t="s">
        <v>887</v>
      </c>
      <c r="D49" s="597">
        <f>'[12]Division 009'!C155</f>
        <v>5748.35</v>
      </c>
      <c r="E49" s="597">
        <f>'[12]Division 009'!D155</f>
        <v>1963.5899999999997</v>
      </c>
      <c r="F49" s="597">
        <f>'[12]Division 009'!E155</f>
        <v>613.67999999999995</v>
      </c>
      <c r="G49" s="597">
        <f>'[12]Division 009'!F155</f>
        <v>812.28000000000009</v>
      </c>
      <c r="H49" s="597">
        <f>'[12]Division 009'!G155</f>
        <v>1432.28</v>
      </c>
      <c r="I49" s="597">
        <f>'[12]Division 009'!H155</f>
        <v>1515.31</v>
      </c>
      <c r="J49" s="398">
        <f>VLOOKUP($B49,'[13]Div 9 forecast'!$D$590:$AF$671, 9,FALSE)</f>
        <v>1784.1591205616505</v>
      </c>
      <c r="K49" s="398">
        <f>VLOOKUP($B49,'[13]Div 9 forecast'!$D$590:$AF$671, 10,FALSE)</f>
        <v>1823.4918859910956</v>
      </c>
      <c r="L49" s="398">
        <f>VLOOKUP($B49,'[13]Div 9 forecast'!$D$590:$AF$671, 11,FALSE)</f>
        <v>1606.621874206726</v>
      </c>
      <c r="M49" s="398">
        <f>VLOOKUP($B49,'[13]Div 9 forecast'!$D$590:$AF$671, 12,FALSE)</f>
        <v>1817.1736857392029</v>
      </c>
      <c r="N49" s="398">
        <f>VLOOKUP($B49,'[13]Div 9 forecast'!$D$590:$AF$671, 13,FALSE)</f>
        <v>1803.8230220036885</v>
      </c>
      <c r="O49" s="398">
        <f>VLOOKUP($B49,'[13]Div 9 forecast'!$D$590:$AF$671, 14,FALSE)</f>
        <v>1718.4069285868406</v>
      </c>
      <c r="P49" s="210">
        <f t="shared" si="3"/>
        <v>22639.166517089205</v>
      </c>
      <c r="Q49" s="148"/>
      <c r="R49" s="148"/>
      <c r="S49" s="148"/>
    </row>
    <row r="50" spans="1:22">
      <c r="A50" s="868">
        <f t="shared" si="0"/>
        <v>39</v>
      </c>
      <c r="B50" s="830">
        <v>8180</v>
      </c>
      <c r="C50" s="210" t="s">
        <v>888</v>
      </c>
      <c r="D50" s="597">
        <f>'[12]Division 009'!C156</f>
        <v>3767.84</v>
      </c>
      <c r="E50" s="597">
        <f>'[12]Division 009'!D156</f>
        <v>2066.5099999999998</v>
      </c>
      <c r="F50" s="597">
        <f>'[12]Division 009'!E156</f>
        <v>2175.2800000000002</v>
      </c>
      <c r="G50" s="597">
        <f>'[12]Division 009'!F156</f>
        <v>1614.34</v>
      </c>
      <c r="H50" s="597">
        <f>'[12]Division 009'!G156</f>
        <v>4831.5599999999995</v>
      </c>
      <c r="I50" s="597">
        <f>'[12]Division 009'!H156</f>
        <v>1735.18</v>
      </c>
      <c r="J50" s="398">
        <f>VLOOKUP($B50,'[13]Div 9 forecast'!$D$590:$AF$671, 9,FALSE)</f>
        <v>2459.9823483355858</v>
      </c>
      <c r="K50" s="398">
        <f>VLOOKUP($B50,'[13]Div 9 forecast'!$D$590:$AF$671, 10,FALSE)</f>
        <v>2291.796983595867</v>
      </c>
      <c r="L50" s="398">
        <f>VLOOKUP($B50,'[13]Div 9 forecast'!$D$590:$AF$671, 11,FALSE)</f>
        <v>1951.5656251205173</v>
      </c>
      <c r="M50" s="398">
        <f>VLOOKUP($B50,'[13]Div 9 forecast'!$D$590:$AF$671, 12,FALSE)</f>
        <v>2066.5995322070444</v>
      </c>
      <c r="N50" s="398">
        <f>VLOOKUP($B50,'[13]Div 9 forecast'!$D$590:$AF$671, 13,FALSE)</f>
        <v>2073.1447490603532</v>
      </c>
      <c r="O50" s="398">
        <f>VLOOKUP($B50,'[13]Div 9 forecast'!$D$590:$AF$671, 14,FALSE)</f>
        <v>1826.5187889123015</v>
      </c>
      <c r="P50" s="210">
        <f t="shared" si="3"/>
        <v>28860.318027231671</v>
      </c>
      <c r="Q50" s="148"/>
      <c r="R50" s="148"/>
      <c r="S50" s="148"/>
    </row>
    <row r="51" spans="1:22" ht="15.75">
      <c r="A51" s="868">
        <f t="shared" si="0"/>
        <v>40</v>
      </c>
      <c r="B51" s="830">
        <v>8190</v>
      </c>
      <c r="C51" s="210" t="s">
        <v>889</v>
      </c>
      <c r="D51" s="597">
        <f>'[12]Division 009'!C157</f>
        <v>94.86</v>
      </c>
      <c r="E51" s="597">
        <f>'[12]Division 009'!D157</f>
        <v>114.33</v>
      </c>
      <c r="F51" s="597">
        <f>'[12]Division 009'!E157</f>
        <v>104.41</v>
      </c>
      <c r="G51" s="597">
        <f>'[12]Division 009'!F157</f>
        <v>0</v>
      </c>
      <c r="H51" s="597">
        <f>'[12]Division 009'!G157</f>
        <v>100.72</v>
      </c>
      <c r="I51" s="597">
        <f>'[12]Division 009'!H157</f>
        <v>103.52</v>
      </c>
      <c r="J51" s="398">
        <f>VLOOKUP($B51,'[13]Div 9 forecast'!$D$590:$AF$671, 9,FALSE)</f>
        <v>58.463586575521653</v>
      </c>
      <c r="K51" s="398">
        <f>VLOOKUP($B51,'[13]Div 9 forecast'!$D$590:$AF$671, 10,FALSE)</f>
        <v>61.306608558284296</v>
      </c>
      <c r="L51" s="398">
        <f>VLOOKUP($B51,'[13]Div 9 forecast'!$D$590:$AF$671, 11,FALSE)</f>
        <v>55.319595774215976</v>
      </c>
      <c r="M51" s="398">
        <f>VLOOKUP($B51,'[13]Div 9 forecast'!$D$590:$AF$671, 12,FALSE)</f>
        <v>57.920176458071708</v>
      </c>
      <c r="N51" s="398">
        <f>VLOOKUP($B51,'[13]Div 9 forecast'!$D$590:$AF$671, 13,FALSE)</f>
        <v>63.95139486456457</v>
      </c>
      <c r="O51" s="398">
        <f>VLOOKUP($B51,'[13]Div 9 forecast'!$D$590:$AF$671, 14,FALSE)</f>
        <v>63.998205734828169</v>
      </c>
      <c r="P51" s="210">
        <f t="shared" si="3"/>
        <v>878.7995679654864</v>
      </c>
      <c r="Q51" s="148"/>
      <c r="R51" s="593"/>
      <c r="S51" s="102"/>
    </row>
    <row r="52" spans="1:22" ht="15.75">
      <c r="A52" s="868">
        <f t="shared" si="0"/>
        <v>41</v>
      </c>
      <c r="B52" s="830">
        <v>8200</v>
      </c>
      <c r="C52" s="210" t="s">
        <v>890</v>
      </c>
      <c r="D52" s="597">
        <f>'[12]Division 009'!C158</f>
        <v>327.27999999999997</v>
      </c>
      <c r="E52" s="597">
        <f>'[12]Division 009'!D158</f>
        <v>1967.46</v>
      </c>
      <c r="F52" s="597">
        <f>'[12]Division 009'!E158</f>
        <v>796.03</v>
      </c>
      <c r="G52" s="597">
        <f>'[12]Division 009'!F158</f>
        <v>-61.56</v>
      </c>
      <c r="H52" s="597">
        <f>'[12]Division 009'!G158</f>
        <v>574.07999999999993</v>
      </c>
      <c r="I52" s="597">
        <f>'[12]Division 009'!H158</f>
        <v>278.54000000000002</v>
      </c>
      <c r="J52" s="398">
        <f>VLOOKUP($B52,'[13]Div 9 forecast'!$D$590:$AF$671, 9,FALSE)</f>
        <v>618.85284406804203</v>
      </c>
      <c r="K52" s="398">
        <f>VLOOKUP($B52,'[13]Div 9 forecast'!$D$590:$AF$671, 10,FALSE)</f>
        <v>494.15694372212988</v>
      </c>
      <c r="L52" s="398">
        <f>VLOOKUP($B52,'[13]Div 9 forecast'!$D$590:$AF$671, 11,FALSE)</f>
        <v>455.72779529549655</v>
      </c>
      <c r="M52" s="398">
        <f>VLOOKUP($B52,'[13]Div 9 forecast'!$D$590:$AF$671, 12,FALSE)</f>
        <v>480.12769298411501</v>
      </c>
      <c r="N52" s="398">
        <f>VLOOKUP($B52,'[13]Div 9 forecast'!$D$590:$AF$671, 13,FALSE)</f>
        <v>485.44594923180341</v>
      </c>
      <c r="O52" s="398">
        <f>VLOOKUP($B52,'[13]Div 9 forecast'!$D$590:$AF$671, 14,FALSE)</f>
        <v>430.91484164235453</v>
      </c>
      <c r="P52" s="210">
        <f t="shared" si="3"/>
        <v>6847.0560669439419</v>
      </c>
      <c r="Q52" s="148"/>
      <c r="R52" s="625"/>
      <c r="S52" s="626"/>
    </row>
    <row r="53" spans="1:22">
      <c r="A53" s="868">
        <f t="shared" si="0"/>
        <v>42</v>
      </c>
      <c r="B53" s="830">
        <v>8210</v>
      </c>
      <c r="C53" s="210" t="s">
        <v>891</v>
      </c>
      <c r="D53" s="597">
        <f>'[12]Division 009'!C159</f>
        <v>16004.170000000002</v>
      </c>
      <c r="E53" s="597">
        <f>'[12]Division 009'!D159</f>
        <v>8232.48</v>
      </c>
      <c r="F53" s="597">
        <f>'[12]Division 009'!E159</f>
        <v>979.35999999999956</v>
      </c>
      <c r="G53" s="597">
        <f>'[12]Division 009'!F159</f>
        <v>-180.35</v>
      </c>
      <c r="H53" s="597">
        <f>'[12]Division 009'!G159</f>
        <v>1240.8499999999999</v>
      </c>
      <c r="I53" s="597">
        <f>'[12]Division 009'!H159</f>
        <v>3290.67</v>
      </c>
      <c r="J53" s="398">
        <f>VLOOKUP($B53,'[13]Div 9 forecast'!$D$590:$AF$671, 9,FALSE)</f>
        <v>4437.4388731267536</v>
      </c>
      <c r="K53" s="398">
        <f>VLOOKUP($B53,'[13]Div 9 forecast'!$D$590:$AF$671, 10,FALSE)</f>
        <v>4370.2533523907068</v>
      </c>
      <c r="L53" s="398">
        <f>VLOOKUP($B53,'[13]Div 9 forecast'!$D$590:$AF$671, 11,FALSE)</f>
        <v>3806.5465159394107</v>
      </c>
      <c r="M53" s="398">
        <f>VLOOKUP($B53,'[13]Div 9 forecast'!$D$590:$AF$671, 12,FALSE)</f>
        <v>4212.0966827232978</v>
      </c>
      <c r="N53" s="398">
        <f>VLOOKUP($B53,'[13]Div 9 forecast'!$D$590:$AF$671, 13,FALSE)</f>
        <v>4189.4259084446021</v>
      </c>
      <c r="O53" s="398">
        <f>VLOOKUP($B53,'[13]Div 9 forecast'!$D$590:$AF$671, 14,FALSE)</f>
        <v>3885.606924738413</v>
      </c>
      <c r="P53" s="210">
        <f t="shared" si="3"/>
        <v>54468.548257363182</v>
      </c>
      <c r="Q53" s="148"/>
      <c r="R53" s="211"/>
      <c r="S53" s="148"/>
    </row>
    <row r="54" spans="1:22">
      <c r="A54" s="868">
        <f t="shared" si="0"/>
        <v>43</v>
      </c>
      <c r="B54" s="830">
        <v>8240</v>
      </c>
      <c r="C54" s="210" t="s">
        <v>892</v>
      </c>
      <c r="D54" s="597">
        <f>0</f>
        <v>0</v>
      </c>
      <c r="E54" s="597">
        <f>0</f>
        <v>0</v>
      </c>
      <c r="F54" s="597">
        <f>0</f>
        <v>0</v>
      </c>
      <c r="G54" s="597">
        <f>0</f>
        <v>0</v>
      </c>
      <c r="H54" s="597">
        <f>0</f>
        <v>0</v>
      </c>
      <c r="I54" s="597">
        <f>0</f>
        <v>0</v>
      </c>
      <c r="J54" s="398">
        <f>VLOOKUP($B54,'[13]Div 9 forecast'!$D$590:$AF$671, 9,FALSE)</f>
        <v>0</v>
      </c>
      <c r="K54" s="398">
        <f>VLOOKUP($B54,'[13]Div 9 forecast'!$D$590:$AF$671, 10,FALSE)</f>
        <v>0</v>
      </c>
      <c r="L54" s="398">
        <f>VLOOKUP($B54,'[13]Div 9 forecast'!$D$590:$AF$671, 11,FALSE)</f>
        <v>0</v>
      </c>
      <c r="M54" s="398">
        <f>VLOOKUP($B54,'[13]Div 9 forecast'!$D$590:$AF$671, 12,FALSE)</f>
        <v>0</v>
      </c>
      <c r="N54" s="398">
        <f>VLOOKUP($B54,'[13]Div 9 forecast'!$D$590:$AF$671, 13,FALSE)</f>
        <v>0</v>
      </c>
      <c r="O54" s="398">
        <f>VLOOKUP($B54,'[13]Div 9 forecast'!$D$590:$AF$671, 14,FALSE)</f>
        <v>0</v>
      </c>
      <c r="P54" s="210">
        <f t="shared" si="3"/>
        <v>0</v>
      </c>
      <c r="Q54" s="148"/>
      <c r="R54" s="211"/>
      <c r="S54" s="148"/>
    </row>
    <row r="55" spans="1:22">
      <c r="A55" s="868">
        <f t="shared" si="0"/>
        <v>44</v>
      </c>
      <c r="B55" s="830">
        <v>8250</v>
      </c>
      <c r="C55" s="210" t="s">
        <v>903</v>
      </c>
      <c r="D55" s="597">
        <f>'[12]Division 009'!C160</f>
        <v>2637.08</v>
      </c>
      <c r="E55" s="597">
        <f>'[12]Division 009'!D160</f>
        <v>772.91000000000008</v>
      </c>
      <c r="F55" s="597">
        <f>'[12]Division 009'!E160</f>
        <v>854.21</v>
      </c>
      <c r="G55" s="597">
        <f>'[12]Division 009'!F160</f>
        <v>948.66000000000008</v>
      </c>
      <c r="H55" s="597">
        <f>'[12]Division 009'!G160</f>
        <v>406.31</v>
      </c>
      <c r="I55" s="597">
        <f>'[12]Division 009'!H160</f>
        <v>535.35</v>
      </c>
      <c r="J55" s="398">
        <f>VLOOKUP($B55,'[13]Div 9 forecast'!$D$590:$AF$671, 9,FALSE)</f>
        <v>695.19657913566471</v>
      </c>
      <c r="K55" s="398">
        <f>VLOOKUP($B55,'[13]Div 9 forecast'!$D$590:$AF$671, 10,FALSE)</f>
        <v>728.93332099872475</v>
      </c>
      <c r="L55" s="398">
        <f>VLOOKUP($B55,'[13]Div 9 forecast'!$D$590:$AF$671, 11,FALSE)</f>
        <v>657.79207892025227</v>
      </c>
      <c r="M55" s="398">
        <f>VLOOKUP($B55,'[13]Div 9 forecast'!$D$590:$AF$671, 12,FALSE)</f>
        <v>690.30411382471289</v>
      </c>
      <c r="N55" s="398">
        <f>VLOOKUP($B55,'[13]Div 9 forecast'!$D$590:$AF$671, 13,FALSE)</f>
        <v>762.04843985293314</v>
      </c>
      <c r="O55" s="398">
        <f>VLOOKUP($B55,'[13]Div 9 forecast'!$D$590:$AF$671, 14,FALSE)</f>
        <v>762.56768467664222</v>
      </c>
      <c r="P55" s="210">
        <f t="shared" si="3"/>
        <v>10451.362217408931</v>
      </c>
      <c r="Q55" s="148"/>
      <c r="R55" s="148"/>
      <c r="S55" s="148"/>
    </row>
    <row r="56" spans="1:22">
      <c r="A56" s="868">
        <f t="shared" si="0"/>
        <v>45</v>
      </c>
      <c r="B56" s="830">
        <v>8310</v>
      </c>
      <c r="C56" s="210" t="s">
        <v>904</v>
      </c>
      <c r="D56" s="597">
        <f>'[12]Division 009'!C161</f>
        <v>459.78</v>
      </c>
      <c r="E56" s="597">
        <f>'[12]Division 009'!D161</f>
        <v>1020</v>
      </c>
      <c r="F56" s="597">
        <f>'[12]Division 009'!E161</f>
        <v>824.38</v>
      </c>
      <c r="G56" s="597">
        <f>'[12]Division 009'!F161</f>
        <v>88</v>
      </c>
      <c r="H56" s="597">
        <f>'[12]Division 009'!G161</f>
        <v>2405</v>
      </c>
      <c r="I56" s="597">
        <f>'[12]Division 009'!H161</f>
        <v>3015.25</v>
      </c>
      <c r="J56" s="398">
        <f>VLOOKUP($B56,'[13]Div 9 forecast'!$D$590:$AF$671, 9,FALSE)</f>
        <v>1508.8492745276435</v>
      </c>
      <c r="K56" s="398">
        <f>VLOOKUP($B56,'[13]Div 9 forecast'!$D$590:$AF$671, 10,FALSE)</f>
        <v>867.31095363900488</v>
      </c>
      <c r="L56" s="398">
        <f>VLOOKUP($B56,'[13]Div 9 forecast'!$D$590:$AF$671, 11,FALSE)</f>
        <v>884.75552079906595</v>
      </c>
      <c r="M56" s="398">
        <f>VLOOKUP($B56,'[13]Div 9 forecast'!$D$590:$AF$671, 12,FALSE)</f>
        <v>893.69028205847394</v>
      </c>
      <c r="N56" s="398">
        <f>VLOOKUP($B56,'[13]Div 9 forecast'!$D$590:$AF$671, 13,FALSE)</f>
        <v>878.68104816800246</v>
      </c>
      <c r="O56" s="398">
        <f>VLOOKUP($B56,'[13]Div 9 forecast'!$D$590:$AF$671, 14,FALSE)</f>
        <v>694.81336498519988</v>
      </c>
      <c r="P56" s="210">
        <f t="shared" si="3"/>
        <v>13540.510444177393</v>
      </c>
      <c r="Q56" s="148"/>
      <c r="R56" s="211"/>
      <c r="S56" s="148"/>
    </row>
    <row r="57" spans="1:22">
      <c r="A57" s="868">
        <f t="shared" si="0"/>
        <v>46</v>
      </c>
      <c r="B57" s="830">
        <v>8340</v>
      </c>
      <c r="C57" s="210" t="s">
        <v>905</v>
      </c>
      <c r="D57" s="597">
        <f>'[12]Division 009'!C162</f>
        <v>0</v>
      </c>
      <c r="E57" s="597">
        <f>'[12]Division 009'!D162</f>
        <v>31.29</v>
      </c>
      <c r="F57" s="597">
        <f>'[12]Division 009'!E162</f>
        <v>1242.82</v>
      </c>
      <c r="G57" s="597">
        <f>'[12]Division 009'!F162</f>
        <v>-177.55</v>
      </c>
      <c r="H57" s="597">
        <f>'[12]Division 009'!G162</f>
        <v>1034.3799999999999</v>
      </c>
      <c r="I57" s="597">
        <f>'[12]Division 009'!H162</f>
        <v>-318.56</v>
      </c>
      <c r="J57" s="398">
        <f>VLOOKUP($B57,'[13]Div 9 forecast'!$D$590:$AF$671, 9,FALSE)</f>
        <v>273.61855981055839</v>
      </c>
      <c r="K57" s="398">
        <f>VLOOKUP($B57,'[13]Div 9 forecast'!$D$590:$AF$671, 10,FALSE)</f>
        <v>283.20487223144141</v>
      </c>
      <c r="L57" s="398">
        <f>VLOOKUP($B57,'[13]Div 9 forecast'!$D$590:$AF$671, 11,FALSE)</f>
        <v>250.60510794468291</v>
      </c>
      <c r="M57" s="398">
        <f>VLOOKUP($B57,'[13]Div 9 forecast'!$D$590:$AF$671, 12,FALSE)</f>
        <v>288.2872418852545</v>
      </c>
      <c r="N57" s="398">
        <f>VLOOKUP($B57,'[13]Div 9 forecast'!$D$590:$AF$671, 13,FALSE)</f>
        <v>283.09128028956007</v>
      </c>
      <c r="O57" s="398">
        <f>VLOOKUP($B57,'[13]Div 9 forecast'!$D$590:$AF$671, 14,FALSE)</f>
        <v>271.55655942253367</v>
      </c>
      <c r="P57" s="210">
        <f t="shared" si="3"/>
        <v>3462.7436215840307</v>
      </c>
      <c r="Q57" s="148"/>
      <c r="R57" s="211"/>
      <c r="S57" s="148"/>
    </row>
    <row r="58" spans="1:22">
      <c r="A58" s="868">
        <f t="shared" si="0"/>
        <v>47</v>
      </c>
      <c r="B58" s="830">
        <v>8350</v>
      </c>
      <c r="C58" s="210" t="s">
        <v>906</v>
      </c>
      <c r="D58" s="597">
        <f>0</f>
        <v>0</v>
      </c>
      <c r="E58" s="597">
        <f>0</f>
        <v>0</v>
      </c>
      <c r="F58" s="597">
        <f>0</f>
        <v>0</v>
      </c>
      <c r="G58" s="597">
        <f>0</f>
        <v>0</v>
      </c>
      <c r="H58" s="597">
        <f>0</f>
        <v>0</v>
      </c>
      <c r="I58" s="597">
        <f>0</f>
        <v>0</v>
      </c>
      <c r="J58" s="398">
        <f>VLOOKUP($B58,'[13]Div 9 forecast'!$D$590:$AF$671, 9,FALSE)</f>
        <v>0</v>
      </c>
      <c r="K58" s="398">
        <f>VLOOKUP($B58,'[13]Div 9 forecast'!$D$590:$AF$671, 10,FALSE)</f>
        <v>0</v>
      </c>
      <c r="L58" s="398">
        <f>VLOOKUP($B58,'[13]Div 9 forecast'!$D$590:$AF$671, 11,FALSE)</f>
        <v>0</v>
      </c>
      <c r="M58" s="398">
        <f>VLOOKUP($B58,'[13]Div 9 forecast'!$D$590:$AF$671, 12,FALSE)</f>
        <v>0</v>
      </c>
      <c r="N58" s="398">
        <f>VLOOKUP($B58,'[13]Div 9 forecast'!$D$590:$AF$671, 13,FALSE)</f>
        <v>0</v>
      </c>
      <c r="O58" s="398">
        <f>VLOOKUP($B58,'[13]Div 9 forecast'!$D$590:$AF$671, 14,FALSE)</f>
        <v>0</v>
      </c>
      <c r="P58" s="210">
        <f t="shared" si="3"/>
        <v>0</v>
      </c>
      <c r="Q58" s="148"/>
      <c r="R58" s="211"/>
      <c r="S58" s="148"/>
    </row>
    <row r="59" spans="1:22">
      <c r="A59" s="868">
        <f t="shared" si="0"/>
        <v>48</v>
      </c>
      <c r="B59" s="830">
        <v>8360</v>
      </c>
      <c r="C59" s="210" t="s">
        <v>907</v>
      </c>
      <c r="D59" s="597">
        <f>0</f>
        <v>0</v>
      </c>
      <c r="E59" s="597">
        <f>0</f>
        <v>0</v>
      </c>
      <c r="F59" s="597">
        <f>0</f>
        <v>0</v>
      </c>
      <c r="G59" s="597">
        <f>0</f>
        <v>0</v>
      </c>
      <c r="H59" s="597">
        <f>0</f>
        <v>0</v>
      </c>
      <c r="I59" s="597">
        <f>0</f>
        <v>0</v>
      </c>
      <c r="J59" s="398">
        <f>VLOOKUP($B59,'[13]Div 9 forecast'!$D$590:$AF$671, 9,FALSE)</f>
        <v>0</v>
      </c>
      <c r="K59" s="398">
        <f>VLOOKUP($B59,'[13]Div 9 forecast'!$D$590:$AF$671, 10,FALSE)</f>
        <v>0</v>
      </c>
      <c r="L59" s="398">
        <f>VLOOKUP($B59,'[13]Div 9 forecast'!$D$590:$AF$671, 11,FALSE)</f>
        <v>0</v>
      </c>
      <c r="M59" s="398">
        <f>VLOOKUP($B59,'[13]Div 9 forecast'!$D$590:$AF$671, 12,FALSE)</f>
        <v>0</v>
      </c>
      <c r="N59" s="398">
        <f>VLOOKUP($B59,'[13]Div 9 forecast'!$D$590:$AF$671, 13,FALSE)</f>
        <v>0</v>
      </c>
      <c r="O59" s="398">
        <f>VLOOKUP($B59,'[13]Div 9 forecast'!$D$590:$AF$671, 14,FALSE)</f>
        <v>0</v>
      </c>
      <c r="P59" s="210">
        <f t="shared" si="3"/>
        <v>0</v>
      </c>
      <c r="Q59" s="148"/>
      <c r="R59" s="211"/>
      <c r="S59" s="148"/>
    </row>
    <row r="60" spans="1:22" s="790" customFormat="1">
      <c r="A60" s="868">
        <f t="shared" si="0"/>
        <v>49</v>
      </c>
      <c r="B60" s="707">
        <v>8370</v>
      </c>
      <c r="C60" s="81" t="s">
        <v>1342</v>
      </c>
      <c r="D60" s="597">
        <f>0</f>
        <v>0</v>
      </c>
      <c r="E60" s="597">
        <f>0</f>
        <v>0</v>
      </c>
      <c r="F60" s="597">
        <f>0</f>
        <v>0</v>
      </c>
      <c r="G60" s="597">
        <f>0</f>
        <v>0</v>
      </c>
      <c r="H60" s="597">
        <f>0</f>
        <v>0</v>
      </c>
      <c r="I60" s="597">
        <f>0</f>
        <v>0</v>
      </c>
      <c r="J60" s="398">
        <f>VLOOKUP($B60,'[13]Div 9 forecast'!$D$590:$AF$671, 9,FALSE)</f>
        <v>0</v>
      </c>
      <c r="K60" s="398">
        <f>VLOOKUP($B60,'[13]Div 9 forecast'!$D$590:$AF$671, 10,FALSE)</f>
        <v>0</v>
      </c>
      <c r="L60" s="398">
        <f>VLOOKUP($B60,'[13]Div 9 forecast'!$D$590:$AF$671, 11,FALSE)</f>
        <v>0</v>
      </c>
      <c r="M60" s="398">
        <f>VLOOKUP($B60,'[13]Div 9 forecast'!$D$590:$AF$671, 12,FALSE)</f>
        <v>0</v>
      </c>
      <c r="N60" s="398">
        <f>VLOOKUP($B60,'[13]Div 9 forecast'!$D$590:$AF$671, 13,FALSE)</f>
        <v>0</v>
      </c>
      <c r="O60" s="398">
        <f>VLOOKUP($B60,'[13]Div 9 forecast'!$D$590:$AF$671, 14,FALSE)</f>
        <v>0</v>
      </c>
      <c r="P60" s="210">
        <f t="shared" si="3"/>
        <v>0</v>
      </c>
      <c r="Q60" s="148"/>
      <c r="R60" s="211"/>
      <c r="S60" s="148"/>
    </row>
    <row r="61" spans="1:22">
      <c r="A61" s="868">
        <f t="shared" si="0"/>
        <v>50</v>
      </c>
      <c r="B61" s="830">
        <v>8410</v>
      </c>
      <c r="C61" s="210" t="s">
        <v>188</v>
      </c>
      <c r="D61" s="597">
        <f>'[12]Division 009'!C163</f>
        <v>19063.29</v>
      </c>
      <c r="E61" s="597">
        <f>'[12]Division 009'!D163</f>
        <v>-7360.12</v>
      </c>
      <c r="F61" s="597">
        <f>'[12]Division 009'!E163</f>
        <v>6379.6500000000005</v>
      </c>
      <c r="G61" s="597">
        <f>'[12]Division 009'!F163</f>
        <v>5083.41</v>
      </c>
      <c r="H61" s="597">
        <f>'[12]Division 009'!G163</f>
        <v>5229.17</v>
      </c>
      <c r="I61" s="597">
        <f>'[12]Division 009'!H163</f>
        <v>9242.4</v>
      </c>
      <c r="J61" s="398">
        <f>VLOOKUP($B61,'[13]Div 9 forecast'!$D$590:$AF$671, 9,FALSE)</f>
        <v>5597.6894438190484</v>
      </c>
      <c r="K61" s="398">
        <f>VLOOKUP($B61,'[13]Div 9 forecast'!$D$590:$AF$671, 10,FALSE)</f>
        <v>5874.1106231991535</v>
      </c>
      <c r="L61" s="398">
        <f>VLOOKUP($B61,'[13]Div 9 forecast'!$D$590:$AF$671, 11,FALSE)</f>
        <v>5231.7166932373802</v>
      </c>
      <c r="M61" s="398">
        <f>VLOOKUP($B61,'[13]Div 9 forecast'!$D$590:$AF$671, 12,FALSE)</f>
        <v>5929.1268042623678</v>
      </c>
      <c r="N61" s="398">
        <f>VLOOKUP($B61,'[13]Div 9 forecast'!$D$590:$AF$671, 13,FALSE)</f>
        <v>5935.7716037573427</v>
      </c>
      <c r="O61" s="398">
        <f>VLOOKUP($B61,'[13]Div 9 forecast'!$D$590:$AF$671, 14,FALSE)</f>
        <v>5594.2378667647063</v>
      </c>
      <c r="P61" s="210">
        <f t="shared" si="3"/>
        <v>71800.453035040002</v>
      </c>
      <c r="Q61" s="148"/>
      <c r="R61" s="148"/>
      <c r="S61" s="148"/>
    </row>
    <row r="62" spans="1:22" s="793" customFormat="1">
      <c r="A62" s="868">
        <f t="shared" si="0"/>
        <v>51</v>
      </c>
      <c r="B62" s="830">
        <v>8500</v>
      </c>
      <c r="C62" s="80" t="s">
        <v>908</v>
      </c>
      <c r="D62" s="597">
        <f>'[12]Division 009'!C164</f>
        <v>0</v>
      </c>
      <c r="E62" s="597">
        <f>'[12]Division 009'!D164</f>
        <v>0</v>
      </c>
      <c r="F62" s="597">
        <f>'[12]Division 009'!E164</f>
        <v>0</v>
      </c>
      <c r="G62" s="597">
        <f>'[12]Division 009'!F164</f>
        <v>0</v>
      </c>
      <c r="H62" s="597">
        <f>'[12]Division 009'!G164</f>
        <v>28.57</v>
      </c>
      <c r="I62" s="597">
        <f>'[12]Division 009'!H164</f>
        <v>0</v>
      </c>
      <c r="J62" s="398">
        <f>VLOOKUP($B62,'[13]Div 9 forecast'!$D$590:$AF$671, 9,FALSE)</f>
        <v>4.3253125363796325</v>
      </c>
      <c r="K62" s="398">
        <f>VLOOKUP($B62,'[13]Div 9 forecast'!$D$590:$AF$671, 10,FALSE)</f>
        <v>3.6356039894814449</v>
      </c>
      <c r="L62" s="398">
        <f>VLOOKUP($B62,'[13]Div 9 forecast'!$D$590:$AF$671, 11,FALSE)</f>
        <v>2.9059519692187297</v>
      </c>
      <c r="M62" s="398">
        <f>VLOOKUP($B62,'[13]Div 9 forecast'!$D$590:$AF$671, 12,FALSE)</f>
        <v>2.6919449727918452</v>
      </c>
      <c r="N62" s="398">
        <f>VLOOKUP($B62,'[13]Div 9 forecast'!$D$590:$AF$671, 13,FALSE)</f>
        <v>2.8051729977777491</v>
      </c>
      <c r="O62" s="398">
        <f>VLOOKUP($B62,'[13]Div 9 forecast'!$D$590:$AF$671, 14,FALSE)</f>
        <v>2.100998534874619</v>
      </c>
      <c r="P62" s="210">
        <f t="shared" si="3"/>
        <v>47.034985000524017</v>
      </c>
      <c r="Q62" s="148"/>
      <c r="R62" s="148"/>
      <c r="S62" s="148"/>
    </row>
    <row r="63" spans="1:22" s="791" customFormat="1">
      <c r="A63" s="868">
        <f t="shared" si="0"/>
        <v>52</v>
      </c>
      <c r="B63" s="707">
        <v>8520</v>
      </c>
      <c r="C63" s="81" t="s">
        <v>1343</v>
      </c>
      <c r="D63" s="597">
        <f>0</f>
        <v>0</v>
      </c>
      <c r="E63" s="597">
        <f>0</f>
        <v>0</v>
      </c>
      <c r="F63" s="597">
        <f>0</f>
        <v>0</v>
      </c>
      <c r="G63" s="597">
        <f>0</f>
        <v>0</v>
      </c>
      <c r="H63" s="597">
        <f>0</f>
        <v>0</v>
      </c>
      <c r="I63" s="597">
        <f>0</f>
        <v>0</v>
      </c>
      <c r="J63" s="398">
        <f>VLOOKUP($B63,'[13]Div 9 forecast'!$D$590:$AF$671, 9,FALSE)</f>
        <v>0</v>
      </c>
      <c r="K63" s="398">
        <f>VLOOKUP($B63,'[13]Div 9 forecast'!$D$590:$AF$671, 10,FALSE)</f>
        <v>0</v>
      </c>
      <c r="L63" s="398">
        <f>VLOOKUP($B63,'[13]Div 9 forecast'!$D$590:$AF$671, 11,FALSE)</f>
        <v>0</v>
      </c>
      <c r="M63" s="398">
        <f>VLOOKUP($B63,'[13]Div 9 forecast'!$D$590:$AF$671, 12,FALSE)</f>
        <v>0</v>
      </c>
      <c r="N63" s="398">
        <f>VLOOKUP($B63,'[13]Div 9 forecast'!$D$590:$AF$671, 13,FALSE)</f>
        <v>0</v>
      </c>
      <c r="O63" s="398">
        <f>VLOOKUP($B63,'[13]Div 9 forecast'!$D$590:$AF$671, 14,FALSE)</f>
        <v>0</v>
      </c>
      <c r="P63" s="210">
        <f t="shared" si="3"/>
        <v>0</v>
      </c>
      <c r="Q63" s="148"/>
      <c r="R63" s="148"/>
      <c r="S63" s="148"/>
      <c r="U63" s="691"/>
      <c r="V63" s="80"/>
    </row>
    <row r="64" spans="1:22" s="793" customFormat="1">
      <c r="A64" s="868">
        <f t="shared" si="0"/>
        <v>53</v>
      </c>
      <c r="B64" s="707">
        <v>8550</v>
      </c>
      <c r="C64" s="81" t="s">
        <v>1396</v>
      </c>
      <c r="D64" s="597">
        <f>'[12]Division 009'!C165</f>
        <v>39.590000000000003</v>
      </c>
      <c r="E64" s="597">
        <f>'[12]Division 009'!D165</f>
        <v>34.520000000000003</v>
      </c>
      <c r="F64" s="597">
        <f>'[12]Division 009'!E165</f>
        <v>37.520000000000003</v>
      </c>
      <c r="G64" s="597">
        <f>'[12]Division 009'!F165</f>
        <v>34.909999999999997</v>
      </c>
      <c r="H64" s="597">
        <f>'[12]Division 009'!G165</f>
        <v>35.21</v>
      </c>
      <c r="I64" s="597">
        <f>'[12]Division 009'!H165</f>
        <v>35.22</v>
      </c>
      <c r="J64" s="398">
        <f>VLOOKUP($B64,'[13]Div 9 forecast'!$D$590:$AF$671, 9,FALSE)</f>
        <v>24.495682796406101</v>
      </c>
      <c r="K64" s="398">
        <f>VLOOKUP($B64,'[13]Div 9 forecast'!$D$590:$AF$671, 10,FALSE)</f>
        <v>25.68688177601372</v>
      </c>
      <c r="L64" s="398">
        <f>VLOOKUP($B64,'[13]Div 9 forecast'!$D$590:$AF$671, 11,FALSE)</f>
        <v>23.178380764582965</v>
      </c>
      <c r="M64" s="398">
        <f>VLOOKUP($B64,'[13]Div 9 forecast'!$D$590:$AF$671, 12,FALSE)</f>
        <v>24.267999162111501</v>
      </c>
      <c r="N64" s="398">
        <f>VLOOKUP($B64,'[13]Div 9 forecast'!$D$590:$AF$671, 13,FALSE)</f>
        <v>26.795021905925722</v>
      </c>
      <c r="O64" s="398">
        <f>VLOOKUP($B64,'[13]Div 9 forecast'!$D$590:$AF$671, 14,FALSE)</f>
        <v>26.814635212200042</v>
      </c>
      <c r="P64" s="210">
        <f t="shared" si="3"/>
        <v>368.20860161724005</v>
      </c>
      <c r="Q64" s="148"/>
      <c r="R64" s="148"/>
      <c r="S64" s="148"/>
      <c r="U64" s="691"/>
      <c r="V64" s="80"/>
    </row>
    <row r="65" spans="1:19">
      <c r="A65" s="868">
        <f t="shared" si="0"/>
        <v>54</v>
      </c>
      <c r="B65" s="830">
        <v>8560</v>
      </c>
      <c r="C65" s="210" t="s">
        <v>909</v>
      </c>
      <c r="D65" s="597">
        <f>'[12]Division 009'!C166</f>
        <v>12455.669999999998</v>
      </c>
      <c r="E65" s="597">
        <f>'[12]Division 009'!D166</f>
        <v>29430.539999999997</v>
      </c>
      <c r="F65" s="597">
        <f>'[12]Division 009'!E166</f>
        <v>47533.689999999988</v>
      </c>
      <c r="G65" s="597">
        <f>'[12]Division 009'!F166</f>
        <v>35350.81</v>
      </c>
      <c r="H65" s="597">
        <f>'[12]Division 009'!G166</f>
        <v>49826.01</v>
      </c>
      <c r="I65" s="597">
        <f>'[12]Division 009'!H166</f>
        <v>43467.520000000011</v>
      </c>
      <c r="J65" s="398">
        <f>VLOOKUP($B65,'[13]Div 9 forecast'!$D$590:$AF$671, 9,FALSE)</f>
        <v>35638.342051698448</v>
      </c>
      <c r="K65" s="398">
        <f>VLOOKUP($B65,'[13]Div 9 forecast'!$D$590:$AF$671, 10,FALSE)</f>
        <v>29706.705001849004</v>
      </c>
      <c r="L65" s="398">
        <f>VLOOKUP($B65,'[13]Div 9 forecast'!$D$590:$AF$671, 11,FALSE)</f>
        <v>27267.858527128818</v>
      </c>
      <c r="M65" s="398">
        <f>VLOOKUP($B65,'[13]Div 9 forecast'!$D$590:$AF$671, 12,FALSE)</f>
        <v>29312.555723350531</v>
      </c>
      <c r="N65" s="398">
        <f>VLOOKUP($B65,'[13]Div 9 forecast'!$D$590:$AF$671, 13,FALSE)</f>
        <v>29064.460045144631</v>
      </c>
      <c r="O65" s="398">
        <f>VLOOKUP($B65,'[13]Div 9 forecast'!$D$590:$AF$671, 14,FALSE)</f>
        <v>26134.464902759213</v>
      </c>
      <c r="P65" s="210">
        <f t="shared" si="3"/>
        <v>395188.62625193066</v>
      </c>
      <c r="Q65" s="148"/>
      <c r="R65" s="211"/>
      <c r="S65" s="148"/>
    </row>
    <row r="66" spans="1:19">
      <c r="A66" s="868">
        <f t="shared" si="0"/>
        <v>55</v>
      </c>
      <c r="B66" s="830">
        <v>8570</v>
      </c>
      <c r="C66" s="210" t="s">
        <v>910</v>
      </c>
      <c r="D66" s="597">
        <f>'[12]Division 009'!C167</f>
        <v>2184.08</v>
      </c>
      <c r="E66" s="597">
        <f>'[12]Division 009'!D167</f>
        <v>10618.989999999998</v>
      </c>
      <c r="F66" s="597">
        <f>'[12]Division 009'!E167</f>
        <v>-1840.6700000000005</v>
      </c>
      <c r="G66" s="597">
        <f>'[12]Division 009'!F167</f>
        <v>1397.6299999999999</v>
      </c>
      <c r="H66" s="597">
        <f>'[12]Division 009'!G167</f>
        <v>2143.36</v>
      </c>
      <c r="I66" s="597">
        <f>'[12]Division 009'!H167</f>
        <v>1419.27</v>
      </c>
      <c r="J66" s="398">
        <f>VLOOKUP($B66,'[13]Div 9 forecast'!$D$590:$AF$671, 9,FALSE)</f>
        <v>2246.6979784821101</v>
      </c>
      <c r="K66" s="398">
        <f>VLOOKUP($B66,'[13]Div 9 forecast'!$D$590:$AF$671, 10,FALSE)</f>
        <v>2319.226875867942</v>
      </c>
      <c r="L66" s="398">
        <f>VLOOKUP($B66,'[13]Div 9 forecast'!$D$590:$AF$671, 11,FALSE)</f>
        <v>2056.1664771348242</v>
      </c>
      <c r="M66" s="398">
        <f>VLOOKUP($B66,'[13]Div 9 forecast'!$D$590:$AF$671, 12,FALSE)</f>
        <v>2310.0139054842239</v>
      </c>
      <c r="N66" s="398">
        <f>VLOOKUP($B66,'[13]Div 9 forecast'!$D$590:$AF$671, 13,FALSE)</f>
        <v>2327.2566024910539</v>
      </c>
      <c r="O66" s="398">
        <f>VLOOKUP($B66,'[13]Div 9 forecast'!$D$590:$AF$671, 14,FALSE)</f>
        <v>2244.8174348832599</v>
      </c>
      <c r="P66" s="210">
        <f t="shared" si="3"/>
        <v>29426.839274343416</v>
      </c>
      <c r="Q66" s="148"/>
      <c r="R66" s="148"/>
      <c r="S66" s="148"/>
    </row>
    <row r="67" spans="1:19">
      <c r="A67" s="868">
        <f t="shared" si="0"/>
        <v>56</v>
      </c>
      <c r="B67" s="830">
        <v>8630</v>
      </c>
      <c r="C67" s="210" t="s">
        <v>911</v>
      </c>
      <c r="D67" s="597">
        <f>'[12]Division 009'!C169</f>
        <v>0</v>
      </c>
      <c r="E67" s="597">
        <f>'[12]Division 009'!D169</f>
        <v>4742.46</v>
      </c>
      <c r="F67" s="597">
        <f>'[12]Division 009'!E169</f>
        <v>1145.7</v>
      </c>
      <c r="G67" s="597">
        <f>'[12]Division 009'!F169</f>
        <v>774.21</v>
      </c>
      <c r="H67" s="597">
        <f>'[12]Division 009'!G169</f>
        <v>2447.31</v>
      </c>
      <c r="I67" s="597">
        <f>'[12]Division 009'!H169</f>
        <v>-617.11999999999989</v>
      </c>
      <c r="J67" s="398">
        <f>VLOOKUP($B67,'[13]Div 9 forecast'!$D$590:$AF$671, 9,FALSE)</f>
        <v>1307.9490137252455</v>
      </c>
      <c r="K67" s="398">
        <f>VLOOKUP($B67,'[13]Div 9 forecast'!$D$590:$AF$671, 10,FALSE)</f>
        <v>1360.2044407615078</v>
      </c>
      <c r="L67" s="398">
        <f>VLOOKUP($B67,'[13]Div 9 forecast'!$D$590:$AF$671, 11,FALSE)</f>
        <v>1254.3950353333221</v>
      </c>
      <c r="M67" s="398">
        <f>VLOOKUP($B67,'[13]Div 9 forecast'!$D$590:$AF$671, 12,FALSE)</f>
        <v>1390.0480337376541</v>
      </c>
      <c r="N67" s="398">
        <f>VLOOKUP($B67,'[13]Div 9 forecast'!$D$590:$AF$671, 13,FALSE)</f>
        <v>1331.1032610051536</v>
      </c>
      <c r="O67" s="398">
        <f>VLOOKUP($B67,'[13]Div 9 forecast'!$D$590:$AF$671, 14,FALSE)</f>
        <v>1433.9122552099207</v>
      </c>
      <c r="P67" s="210">
        <f t="shared" ref="P67:P68" si="6">SUM(D67:O67)</f>
        <v>16570.172039772806</v>
      </c>
      <c r="Q67" s="148"/>
      <c r="R67" s="211"/>
      <c r="S67" s="148"/>
    </row>
    <row r="68" spans="1:19" s="792" customFormat="1">
      <c r="A68" s="868">
        <f t="shared" si="0"/>
        <v>57</v>
      </c>
      <c r="B68" s="707">
        <v>8640</v>
      </c>
      <c r="C68" s="81" t="s">
        <v>1344</v>
      </c>
      <c r="D68" s="597">
        <f>0</f>
        <v>0</v>
      </c>
      <c r="E68" s="597">
        <f>0</f>
        <v>0</v>
      </c>
      <c r="F68" s="597">
        <f>0</f>
        <v>0</v>
      </c>
      <c r="G68" s="597">
        <f>0</f>
        <v>0</v>
      </c>
      <c r="H68" s="597">
        <f>0</f>
        <v>0</v>
      </c>
      <c r="I68" s="597">
        <f>0</f>
        <v>0</v>
      </c>
      <c r="J68" s="398">
        <f>VLOOKUP($B68,'[13]Div 9 forecast'!$D$590:$AF$671, 9,FALSE)</f>
        <v>0</v>
      </c>
      <c r="K68" s="398">
        <f>VLOOKUP($B68,'[13]Div 9 forecast'!$D$590:$AF$671, 10,FALSE)</f>
        <v>0</v>
      </c>
      <c r="L68" s="398">
        <f>VLOOKUP($B68,'[13]Div 9 forecast'!$D$590:$AF$671, 11,FALSE)</f>
        <v>0</v>
      </c>
      <c r="M68" s="398">
        <f>VLOOKUP($B68,'[13]Div 9 forecast'!$D$590:$AF$671, 12,FALSE)</f>
        <v>0</v>
      </c>
      <c r="N68" s="398">
        <f>VLOOKUP($B68,'[13]Div 9 forecast'!$D$590:$AF$671, 13,FALSE)</f>
        <v>0</v>
      </c>
      <c r="O68" s="398">
        <f>VLOOKUP($B68,'[13]Div 9 forecast'!$D$590:$AF$671, 14,FALSE)</f>
        <v>0</v>
      </c>
      <c r="P68" s="210">
        <f t="shared" si="6"/>
        <v>0</v>
      </c>
      <c r="Q68" s="148"/>
      <c r="R68" s="211"/>
      <c r="S68" s="148"/>
    </row>
    <row r="69" spans="1:19">
      <c r="A69" s="868">
        <f t="shared" si="0"/>
        <v>58</v>
      </c>
      <c r="B69" s="830">
        <v>8650</v>
      </c>
      <c r="C69" s="210" t="s">
        <v>912</v>
      </c>
      <c r="D69" s="597">
        <f>0</f>
        <v>0</v>
      </c>
      <c r="E69" s="597">
        <f>0</f>
        <v>0</v>
      </c>
      <c r="F69" s="597">
        <f>0</f>
        <v>0</v>
      </c>
      <c r="G69" s="597">
        <f>0</f>
        <v>0</v>
      </c>
      <c r="H69" s="597">
        <f>0</f>
        <v>0</v>
      </c>
      <c r="I69" s="597">
        <f>0</f>
        <v>0</v>
      </c>
      <c r="J69" s="398">
        <f>VLOOKUP($B69,'[13]Div 9 forecast'!$D$590:$AF$671, 9,FALSE)</f>
        <v>0</v>
      </c>
      <c r="K69" s="398">
        <f>VLOOKUP($B69,'[13]Div 9 forecast'!$D$590:$AF$671, 10,FALSE)</f>
        <v>0</v>
      </c>
      <c r="L69" s="398">
        <f>VLOOKUP($B69,'[13]Div 9 forecast'!$D$590:$AF$671, 11,FALSE)</f>
        <v>0</v>
      </c>
      <c r="M69" s="398">
        <f>VLOOKUP($B69,'[13]Div 9 forecast'!$D$590:$AF$671, 12,FALSE)</f>
        <v>0</v>
      </c>
      <c r="N69" s="398">
        <f>VLOOKUP($B69,'[13]Div 9 forecast'!$D$590:$AF$671, 13,FALSE)</f>
        <v>0</v>
      </c>
      <c r="O69" s="398">
        <f>VLOOKUP($B69,'[13]Div 9 forecast'!$D$590:$AF$671, 14,FALSE)</f>
        <v>0</v>
      </c>
      <c r="P69" s="210">
        <f t="shared" ref="P69:P108" si="7">SUM(D69:O69)</f>
        <v>0</v>
      </c>
      <c r="Q69" s="148"/>
      <c r="R69" s="148"/>
      <c r="S69" s="148"/>
    </row>
    <row r="70" spans="1:19">
      <c r="A70" s="868">
        <f t="shared" si="0"/>
        <v>59</v>
      </c>
      <c r="B70" s="830">
        <v>8700</v>
      </c>
      <c r="C70" s="210" t="s">
        <v>913</v>
      </c>
      <c r="D70" s="597">
        <f>'[12]Division 009'!C170</f>
        <v>161945.13000000003</v>
      </c>
      <c r="E70" s="597">
        <f>'[12]Division 009'!D170</f>
        <v>57921.109999999986</v>
      </c>
      <c r="F70" s="597">
        <f>'[12]Division 009'!E170</f>
        <v>123487.73999999977</v>
      </c>
      <c r="G70" s="597">
        <f>'[12]Division 009'!F170</f>
        <v>161656.09</v>
      </c>
      <c r="H70" s="597">
        <f>'[12]Division 009'!G170</f>
        <v>183227.56000000032</v>
      </c>
      <c r="I70" s="597">
        <f>'[12]Division 009'!H170</f>
        <v>205824.88000000012</v>
      </c>
      <c r="J70" s="398">
        <f>VLOOKUP($B70,'[13]Div 9 forecast'!$D$590:$AF$671, 9,FALSE)</f>
        <v>119912.97548888726</v>
      </c>
      <c r="K70" s="398">
        <f>VLOOKUP($B70,'[13]Div 9 forecast'!$D$590:$AF$671, 10,FALSE)</f>
        <v>117861.36488419003</v>
      </c>
      <c r="L70" s="398">
        <f>VLOOKUP($B70,'[13]Div 9 forecast'!$D$590:$AF$671, 11,FALSE)</f>
        <v>107149.76092095581</v>
      </c>
      <c r="M70" s="398">
        <f>VLOOKUP($B70,'[13]Div 9 forecast'!$D$590:$AF$671, 12,FALSE)</f>
        <v>71405.348095168185</v>
      </c>
      <c r="N70" s="398">
        <f>VLOOKUP($B70,'[13]Div 9 forecast'!$D$590:$AF$671, 13,FALSE)</f>
        <v>74571.454034588663</v>
      </c>
      <c r="O70" s="398">
        <f>VLOOKUP($B70,'[13]Div 9 forecast'!$D$590:$AF$671, 14,FALSE)</f>
        <v>67879.947821622816</v>
      </c>
      <c r="P70" s="210">
        <f t="shared" si="7"/>
        <v>1452843.3612454131</v>
      </c>
      <c r="Q70" s="148"/>
      <c r="R70" s="211"/>
      <c r="S70" s="148"/>
    </row>
    <row r="71" spans="1:19">
      <c r="A71" s="868">
        <f t="shared" si="0"/>
        <v>60</v>
      </c>
      <c r="B71" s="830">
        <v>8710</v>
      </c>
      <c r="C71" s="210" t="s">
        <v>914</v>
      </c>
      <c r="D71" s="597">
        <f>'[12]Division 009'!C171</f>
        <v>69.58</v>
      </c>
      <c r="E71" s="597">
        <f>'[12]Division 009'!D171</f>
        <v>218.74</v>
      </c>
      <c r="F71" s="597">
        <f>'[12]Division 009'!E171</f>
        <v>43.39</v>
      </c>
      <c r="G71" s="597">
        <f>'[12]Division 009'!F171</f>
        <v>22.45</v>
      </c>
      <c r="H71" s="597">
        <f>'[12]Division 009'!G171</f>
        <v>22.2</v>
      </c>
      <c r="I71" s="597">
        <f>'[12]Division 009'!H171</f>
        <v>90.38</v>
      </c>
      <c r="J71" s="398">
        <f>VLOOKUP($B71,'[13]Div 9 forecast'!$D$590:$AF$671, 9,FALSE)</f>
        <v>52.69445079225045</v>
      </c>
      <c r="K71" s="398">
        <f>VLOOKUP($B71,'[13]Div 9 forecast'!$D$590:$AF$671, 10,FALSE)</f>
        <v>55.256925842912111</v>
      </c>
      <c r="L71" s="398">
        <f>VLOOKUP($B71,'[13]Div 9 forecast'!$D$590:$AF$671, 11,FALSE)</f>
        <v>49.860706263821953</v>
      </c>
      <c r="M71" s="398">
        <f>VLOOKUP($B71,'[13]Div 9 forecast'!$D$590:$AF$671, 12,FALSE)</f>
        <v>52.204663911710924</v>
      </c>
      <c r="N71" s="398">
        <f>VLOOKUP($B71,'[13]Div 9 forecast'!$D$590:$AF$671, 13,FALSE)</f>
        <v>57.640726940921645</v>
      </c>
      <c r="O71" s="398">
        <f>VLOOKUP($B71,'[13]Div 9 forecast'!$D$590:$AF$671, 14,FALSE)</f>
        <v>57.682918555294485</v>
      </c>
      <c r="P71" s="210">
        <f t="shared" si="7"/>
        <v>792.08039230691145</v>
      </c>
      <c r="Q71" s="148"/>
      <c r="R71" s="211"/>
      <c r="S71" s="148"/>
    </row>
    <row r="72" spans="1:19">
      <c r="A72" s="868">
        <f t="shared" si="0"/>
        <v>61</v>
      </c>
      <c r="B72" s="830">
        <v>8711</v>
      </c>
      <c r="C72" s="103" t="s">
        <v>189</v>
      </c>
      <c r="D72" s="597">
        <f>'[12]Division 009'!C172</f>
        <v>0</v>
      </c>
      <c r="E72" s="597">
        <f>'[12]Division 009'!D172</f>
        <v>0</v>
      </c>
      <c r="F72" s="597">
        <f>'[12]Division 009'!E172</f>
        <v>3088.43</v>
      </c>
      <c r="G72" s="597">
        <f>'[12]Division 009'!F172</f>
        <v>3033.77</v>
      </c>
      <c r="H72" s="597">
        <f>'[12]Division 009'!G172</f>
        <v>10112.4</v>
      </c>
      <c r="I72" s="597">
        <f>'[12]Division 009'!H172</f>
        <v>0</v>
      </c>
      <c r="J72" s="398">
        <f>VLOOKUP($B72,'[13]Div 9 forecast'!$D$590:$AF$671, 9,FALSE)</f>
        <v>2457.8130522614201</v>
      </c>
      <c r="K72" s="398">
        <f>VLOOKUP($B72,'[13]Div 9 forecast'!$D$590:$AF$671, 10,FALSE)</f>
        <v>2065.8934731408981</v>
      </c>
      <c r="L72" s="398">
        <f>VLOOKUP($B72,'[13]Div 9 forecast'!$D$590:$AF$671, 11,FALSE)</f>
        <v>1651.2764382036537</v>
      </c>
      <c r="M72" s="398">
        <f>VLOOKUP($B72,'[13]Div 9 forecast'!$D$590:$AF$671, 12,FALSE)</f>
        <v>1529.6692283964467</v>
      </c>
      <c r="N72" s="398">
        <f>VLOOKUP($B72,'[13]Div 9 forecast'!$D$590:$AF$671, 13,FALSE)</f>
        <v>1594.009854733029</v>
      </c>
      <c r="O72" s="398">
        <f>VLOOKUP($B72,'[13]Div 9 forecast'!$D$590:$AF$671, 14,FALSE)</f>
        <v>1193.8701720082422</v>
      </c>
      <c r="P72" s="210">
        <f t="shared" ref="P72:P73" si="8">SUM(D72:O72)</f>
        <v>26727.132218743693</v>
      </c>
      <c r="Q72" s="148"/>
      <c r="R72" s="211"/>
      <c r="S72" s="148"/>
    </row>
    <row r="73" spans="1:19" s="793" customFormat="1">
      <c r="A73" s="868">
        <f t="shared" si="0"/>
        <v>62</v>
      </c>
      <c r="B73" s="707">
        <v>8720</v>
      </c>
      <c r="C73" s="103" t="s">
        <v>1345</v>
      </c>
      <c r="D73" s="597">
        <f>0</f>
        <v>0</v>
      </c>
      <c r="E73" s="597">
        <f>0</f>
        <v>0</v>
      </c>
      <c r="F73" s="597">
        <f>0</f>
        <v>0</v>
      </c>
      <c r="G73" s="597">
        <f>0</f>
        <v>0</v>
      </c>
      <c r="H73" s="597">
        <f>0</f>
        <v>0</v>
      </c>
      <c r="I73" s="597">
        <f>0</f>
        <v>0</v>
      </c>
      <c r="J73" s="398">
        <f>VLOOKUP($B73,'[13]Div 9 forecast'!$D$590:$AF$671, 9,FALSE)</f>
        <v>0</v>
      </c>
      <c r="K73" s="398">
        <f>VLOOKUP($B73,'[13]Div 9 forecast'!$D$590:$AF$671, 10,FALSE)</f>
        <v>0</v>
      </c>
      <c r="L73" s="398">
        <f>VLOOKUP($B73,'[13]Div 9 forecast'!$D$590:$AF$671, 11,FALSE)</f>
        <v>0</v>
      </c>
      <c r="M73" s="398">
        <f>VLOOKUP($B73,'[13]Div 9 forecast'!$D$590:$AF$671, 12,FALSE)</f>
        <v>0</v>
      </c>
      <c r="N73" s="398">
        <f>VLOOKUP($B73,'[13]Div 9 forecast'!$D$590:$AF$671, 13,FALSE)</f>
        <v>0</v>
      </c>
      <c r="O73" s="398">
        <f>VLOOKUP($B73,'[13]Div 9 forecast'!$D$590:$AF$671, 14,FALSE)</f>
        <v>0</v>
      </c>
      <c r="P73" s="210">
        <f t="shared" si="8"/>
        <v>0</v>
      </c>
      <c r="Q73" s="148"/>
      <c r="R73" s="211"/>
      <c r="S73" s="148"/>
    </row>
    <row r="74" spans="1:19">
      <c r="A74" s="868">
        <f t="shared" si="0"/>
        <v>63</v>
      </c>
      <c r="B74" s="830">
        <v>8740</v>
      </c>
      <c r="C74" s="210" t="s">
        <v>915</v>
      </c>
      <c r="D74" s="597">
        <f>'[12]Division 009'!C173</f>
        <v>361665.04000000004</v>
      </c>
      <c r="E74" s="597">
        <f>'[12]Division 009'!D173</f>
        <v>388134.93</v>
      </c>
      <c r="F74" s="597">
        <f>'[12]Division 009'!E173</f>
        <v>427162.31999999977</v>
      </c>
      <c r="G74" s="597">
        <f>'[12]Division 009'!F173</f>
        <v>365967.21999999991</v>
      </c>
      <c r="H74" s="597">
        <f>'[12]Division 009'!G173</f>
        <v>433283.29000000027</v>
      </c>
      <c r="I74" s="597">
        <f>'[12]Division 009'!H173</f>
        <v>539226.75999999989</v>
      </c>
      <c r="J74" s="398">
        <f>VLOOKUP($B74,'[13]Div 9 forecast'!$D$590:$AF$671, 9,FALSE)</f>
        <v>409981.5753958468</v>
      </c>
      <c r="K74" s="398">
        <f>VLOOKUP($B74,'[13]Div 9 forecast'!$D$590:$AF$671, 10,FALSE)</f>
        <v>345043.04257348779</v>
      </c>
      <c r="L74" s="398">
        <f>VLOOKUP($B74,'[13]Div 9 forecast'!$D$590:$AF$671, 11,FALSE)</f>
        <v>325861.4918100611</v>
      </c>
      <c r="M74" s="398">
        <f>VLOOKUP($B74,'[13]Div 9 forecast'!$D$590:$AF$671, 12,FALSE)</f>
        <v>335445.80848787096</v>
      </c>
      <c r="N74" s="398">
        <f>VLOOKUP($B74,'[13]Div 9 forecast'!$D$590:$AF$671, 13,FALSE)</f>
        <v>339290.35114020645</v>
      </c>
      <c r="O74" s="398">
        <f>VLOOKUP($B74,'[13]Div 9 forecast'!$D$590:$AF$671, 14,FALSE)</f>
        <v>314148.09584082488</v>
      </c>
      <c r="P74" s="210">
        <f t="shared" si="7"/>
        <v>4585209.9252482979</v>
      </c>
      <c r="Q74" s="148"/>
      <c r="R74" s="211"/>
      <c r="S74" s="148"/>
    </row>
    <row r="75" spans="1:19">
      <c r="A75" s="868">
        <f t="shared" si="0"/>
        <v>64</v>
      </c>
      <c r="B75" s="830">
        <v>8750</v>
      </c>
      <c r="C75" s="210" t="s">
        <v>916</v>
      </c>
      <c r="D75" s="597">
        <f>'[12]Division 009'!C174</f>
        <v>105325.39000000001</v>
      </c>
      <c r="E75" s="597">
        <f>'[12]Division 009'!D174</f>
        <v>39732.149999999994</v>
      </c>
      <c r="F75" s="597">
        <f>'[12]Division 009'!E174</f>
        <v>29160.480000000007</v>
      </c>
      <c r="G75" s="597">
        <f>'[12]Division 009'!F174</f>
        <v>41974.970000000008</v>
      </c>
      <c r="H75" s="597">
        <f>'[12]Division 009'!G174</f>
        <v>68724.280000000013</v>
      </c>
      <c r="I75" s="597">
        <f>'[12]Division 009'!H174</f>
        <v>49620.76</v>
      </c>
      <c r="J75" s="398">
        <f>VLOOKUP($B75,'[13]Div 9 forecast'!$D$590:$AF$671, 9,FALSE)</f>
        <v>51319.432581303518</v>
      </c>
      <c r="K75" s="398">
        <f>VLOOKUP($B75,'[13]Div 9 forecast'!$D$590:$AF$671, 10,FALSE)</f>
        <v>49119.715687065465</v>
      </c>
      <c r="L75" s="398">
        <f>VLOOKUP($B75,'[13]Div 9 forecast'!$D$590:$AF$671, 11,FALSE)</f>
        <v>43558.439235610349</v>
      </c>
      <c r="M75" s="398">
        <f>VLOOKUP($B75,'[13]Div 9 forecast'!$D$590:$AF$671, 12,FALSE)</f>
        <v>47958.98187550647</v>
      </c>
      <c r="N75" s="398">
        <f>VLOOKUP($B75,'[13]Div 9 forecast'!$D$590:$AF$671, 13,FALSE)</f>
        <v>47858.610910155126</v>
      </c>
      <c r="O75" s="398">
        <f>VLOOKUP($B75,'[13]Div 9 forecast'!$D$590:$AF$671, 14,FALSE)</f>
        <v>43928.836512083435</v>
      </c>
      <c r="P75" s="210">
        <f t="shared" si="7"/>
        <v>618282.04680172435</v>
      </c>
      <c r="Q75" s="148"/>
      <c r="R75" s="211"/>
      <c r="S75" s="148"/>
    </row>
    <row r="76" spans="1:19">
      <c r="A76" s="868">
        <f t="shared" si="0"/>
        <v>65</v>
      </c>
      <c r="B76" s="830">
        <v>8760</v>
      </c>
      <c r="C76" s="210" t="s">
        <v>917</v>
      </c>
      <c r="D76" s="597">
        <f>'[12]Division 009'!C175</f>
        <v>5807.1399999999994</v>
      </c>
      <c r="E76" s="597">
        <f>'[12]Division 009'!D175</f>
        <v>9697.42</v>
      </c>
      <c r="F76" s="597">
        <f>'[12]Division 009'!E175</f>
        <v>17156.93</v>
      </c>
      <c r="G76" s="597">
        <f>'[12]Division 009'!F175</f>
        <v>7738.0599999999986</v>
      </c>
      <c r="H76" s="597">
        <f>'[12]Division 009'!G175</f>
        <v>12852.27</v>
      </c>
      <c r="I76" s="597">
        <f>'[12]Division 009'!H175</f>
        <v>12595.01</v>
      </c>
      <c r="J76" s="398">
        <f>VLOOKUP($B76,'[13]Div 9 forecast'!$D$590:$AF$671, 9,FALSE)</f>
        <v>9957.8551270459629</v>
      </c>
      <c r="K76" s="398">
        <f>VLOOKUP($B76,'[13]Div 9 forecast'!$D$590:$AF$671, 10,FALSE)</f>
        <v>10285.664877890393</v>
      </c>
      <c r="L76" s="398">
        <f>VLOOKUP($B76,'[13]Div 9 forecast'!$D$590:$AF$671, 11,FALSE)</f>
        <v>9124.7628398013767</v>
      </c>
      <c r="M76" s="398">
        <f>VLOOKUP($B76,'[13]Div 9 forecast'!$D$590:$AF$671, 12,FALSE)</f>
        <v>10443.530796904648</v>
      </c>
      <c r="N76" s="398">
        <f>VLOOKUP($B76,'[13]Div 9 forecast'!$D$590:$AF$671, 13,FALSE)</f>
        <v>10238.514678301608</v>
      </c>
      <c r="O76" s="398">
        <f>VLOOKUP($B76,'[13]Div 9 forecast'!$D$590:$AF$671, 14,FALSE)</f>
        <v>9903.9023533120962</v>
      </c>
      <c r="P76" s="210">
        <f t="shared" si="7"/>
        <v>125801.06067325606</v>
      </c>
      <c r="Q76" s="148"/>
      <c r="R76" s="211"/>
      <c r="S76" s="148"/>
    </row>
    <row r="77" spans="1:19">
      <c r="A77" s="868">
        <f t="shared" si="0"/>
        <v>66</v>
      </c>
      <c r="B77" s="830">
        <v>8770</v>
      </c>
      <c r="C77" s="210" t="s">
        <v>918</v>
      </c>
      <c r="D77" s="597">
        <f>'[12]Division 009'!C176</f>
        <v>665.18999999999994</v>
      </c>
      <c r="E77" s="597">
        <f>'[12]Division 009'!D176</f>
        <v>466.99</v>
      </c>
      <c r="F77" s="597">
        <f>'[12]Division 009'!E176</f>
        <v>206.28000000000003</v>
      </c>
      <c r="G77" s="597">
        <f>'[12]Division 009'!F176</f>
        <v>412.46</v>
      </c>
      <c r="H77" s="597">
        <f>'[12]Division 009'!G176</f>
        <v>14620.42</v>
      </c>
      <c r="I77" s="597">
        <f>'[12]Division 009'!H176</f>
        <v>10311.620000000001</v>
      </c>
      <c r="J77" s="398">
        <f>VLOOKUP($B77,'[13]Div 9 forecast'!$D$590:$AF$671, 9,FALSE)</f>
        <v>4467.9018243359506</v>
      </c>
      <c r="K77" s="398">
        <f>VLOOKUP($B77,'[13]Div 9 forecast'!$D$590:$AF$671, 10,FALSE)</f>
        <v>3170.5235364488126</v>
      </c>
      <c r="L77" s="398">
        <f>VLOOKUP($B77,'[13]Div 9 forecast'!$D$590:$AF$671, 11,FALSE)</f>
        <v>2870.9606848176686</v>
      </c>
      <c r="M77" s="398">
        <f>VLOOKUP($B77,'[13]Div 9 forecast'!$D$590:$AF$671, 12,FALSE)</f>
        <v>2809.8196104786566</v>
      </c>
      <c r="N77" s="398">
        <f>VLOOKUP($B77,'[13]Div 9 forecast'!$D$590:$AF$671, 13,FALSE)</f>
        <v>2860.7212723795883</v>
      </c>
      <c r="O77" s="398">
        <f>VLOOKUP($B77,'[13]Div 9 forecast'!$D$590:$AF$671, 14,FALSE)</f>
        <v>2277.5577819320715</v>
      </c>
      <c r="P77" s="210">
        <f t="shared" si="7"/>
        <v>45140.444710392752</v>
      </c>
      <c r="Q77" s="148"/>
      <c r="R77" s="211"/>
      <c r="S77" s="148"/>
    </row>
    <row r="78" spans="1:19">
      <c r="A78" s="868">
        <f t="shared" si="0"/>
        <v>67</v>
      </c>
      <c r="B78" s="830">
        <v>8780</v>
      </c>
      <c r="C78" s="210" t="s">
        <v>919</v>
      </c>
      <c r="D78" s="597">
        <f>'[12]Division 009'!C177</f>
        <v>123136.80000000002</v>
      </c>
      <c r="E78" s="597">
        <f>'[12]Division 009'!D177</f>
        <v>64566.010000000017</v>
      </c>
      <c r="F78" s="597">
        <f>'[12]Division 009'!E177</f>
        <v>51528.95</v>
      </c>
      <c r="G78" s="597">
        <f>'[12]Division 009'!F177</f>
        <v>67477.26999999999</v>
      </c>
      <c r="H78" s="597">
        <f>'[12]Division 009'!G177</f>
        <v>71004.609999999971</v>
      </c>
      <c r="I78" s="597">
        <f>'[12]Division 009'!H177</f>
        <v>67138.600000000006</v>
      </c>
      <c r="J78" s="398">
        <f>VLOOKUP($B78,'[13]Div 9 forecast'!$D$590:$AF$671, 9,FALSE)</f>
        <v>66112.38128261223</v>
      </c>
      <c r="K78" s="398">
        <f>VLOOKUP($B78,'[13]Div 9 forecast'!$D$590:$AF$671, 10,FALSE)</f>
        <v>68983.119397930219</v>
      </c>
      <c r="L78" s="398">
        <f>VLOOKUP($B78,'[13]Div 9 forecast'!$D$590:$AF$671, 11,FALSE)</f>
        <v>61769.416085555058</v>
      </c>
      <c r="M78" s="398">
        <f>VLOOKUP($B78,'[13]Div 9 forecast'!$D$590:$AF$671, 12,FALSE)</f>
        <v>70311.053465805875</v>
      </c>
      <c r="N78" s="398">
        <f>VLOOKUP($B78,'[13]Div 9 forecast'!$D$590:$AF$671, 13,FALSE)</f>
        <v>70021.073356759895</v>
      </c>
      <c r="O78" s="398">
        <f>VLOOKUP($B78,'[13]Div 9 forecast'!$D$590:$AF$671, 14,FALSE)</f>
        <v>66763.458529532974</v>
      </c>
      <c r="P78" s="210">
        <f t="shared" si="7"/>
        <v>848812.74211819621</v>
      </c>
      <c r="Q78" s="148"/>
      <c r="R78" s="211"/>
      <c r="S78" s="148"/>
    </row>
    <row r="79" spans="1:19">
      <c r="A79" s="868">
        <f t="shared" si="0"/>
        <v>68</v>
      </c>
      <c r="B79" s="830">
        <v>8790</v>
      </c>
      <c r="C79" s="210" t="s">
        <v>920</v>
      </c>
      <c r="D79" s="597">
        <f>'[12]Division 009'!C178</f>
        <v>0</v>
      </c>
      <c r="E79" s="597">
        <f>'[12]Division 009'!D178</f>
        <v>0</v>
      </c>
      <c r="F79" s="597">
        <f>'[12]Division 009'!E178</f>
        <v>0</v>
      </c>
      <c r="G79" s="597">
        <f>'[12]Division 009'!F178</f>
        <v>1827.44</v>
      </c>
      <c r="H79" s="597">
        <f>'[12]Division 009'!G178</f>
        <v>0</v>
      </c>
      <c r="I79" s="597">
        <f>'[12]Division 009'!H178</f>
        <v>0</v>
      </c>
      <c r="J79" s="398">
        <f>VLOOKUP($B79,'[13]Div 9 forecast'!$D$590:$AF$671, 9,FALSE)</f>
        <v>276.66255307950979</v>
      </c>
      <c r="K79" s="398">
        <f>VLOOKUP($B79,'[13]Div 9 forecast'!$D$590:$AF$671, 10,FALSE)</f>
        <v>232.54631272446522</v>
      </c>
      <c r="L79" s="398">
        <f>VLOOKUP($B79,'[13]Div 9 forecast'!$D$590:$AF$671, 11,FALSE)</f>
        <v>185.87514408922209</v>
      </c>
      <c r="M79" s="398">
        <f>VLOOKUP($B79,'[13]Div 9 forecast'!$D$590:$AF$671, 12,FALSE)</f>
        <v>172.18648656208362</v>
      </c>
      <c r="N79" s="398">
        <f>VLOOKUP($B79,'[13]Div 9 forecast'!$D$590:$AF$671, 13,FALSE)</f>
        <v>179.42895845498668</v>
      </c>
      <c r="O79" s="398">
        <f>VLOOKUP($B79,'[13]Div 9 forecast'!$D$590:$AF$671, 14,FALSE)</f>
        <v>134.38742606129762</v>
      </c>
      <c r="P79" s="210">
        <f t="shared" si="7"/>
        <v>3008.5268809715649</v>
      </c>
      <c r="Q79" s="148"/>
      <c r="R79" s="211"/>
      <c r="S79" s="148"/>
    </row>
    <row r="80" spans="1:19">
      <c r="A80" s="868">
        <f t="shared" si="0"/>
        <v>69</v>
      </c>
      <c r="B80" s="830">
        <v>8800</v>
      </c>
      <c r="C80" s="210" t="s">
        <v>921</v>
      </c>
      <c r="D80" s="597">
        <f>'[12]Division 009'!C179</f>
        <v>732.66</v>
      </c>
      <c r="E80" s="597">
        <f>'[12]Division 009'!D179</f>
        <v>123.07000000000001</v>
      </c>
      <c r="F80" s="597">
        <f>'[12]Division 009'!E179</f>
        <v>1232.1099999999999</v>
      </c>
      <c r="G80" s="597">
        <f>'[12]Division 009'!F179</f>
        <v>444.54</v>
      </c>
      <c r="H80" s="597">
        <f>'[12]Division 009'!G179</f>
        <v>325.12</v>
      </c>
      <c r="I80" s="597">
        <f>'[12]Division 009'!H179</f>
        <v>698.71</v>
      </c>
      <c r="J80" s="398">
        <f>VLOOKUP($B80,'[13]Div 9 forecast'!$D$590:$AF$671, 9,FALSE)</f>
        <v>457.59727233451406</v>
      </c>
      <c r="K80" s="398">
        <f>VLOOKUP($B80,'[13]Div 9 forecast'!$D$590:$AF$671, 10,FALSE)</f>
        <v>478.66715405558659</v>
      </c>
      <c r="L80" s="398">
        <f>VLOOKUP($B80,'[13]Div 9 forecast'!$D$590:$AF$671, 11,FALSE)</f>
        <v>480.69531034521225</v>
      </c>
      <c r="M80" s="398">
        <f>VLOOKUP($B80,'[13]Div 9 forecast'!$D$590:$AF$671, 12,FALSE)</f>
        <v>203.63358889573942</v>
      </c>
      <c r="N80" s="398">
        <f>VLOOKUP($B80,'[13]Div 9 forecast'!$D$590:$AF$671, 13,FALSE)</f>
        <v>172.66332538048425</v>
      </c>
      <c r="O80" s="398">
        <f>VLOOKUP($B80,'[13]Div 9 forecast'!$D$590:$AF$671, 14,FALSE)</f>
        <v>379.83266688366467</v>
      </c>
      <c r="P80" s="210">
        <f t="shared" si="7"/>
        <v>5729.2993178952001</v>
      </c>
      <c r="Q80" s="148"/>
      <c r="R80" s="148"/>
      <c r="S80" s="148"/>
    </row>
    <row r="81" spans="1:21">
      <c r="A81" s="868">
        <f t="shared" si="0"/>
        <v>70</v>
      </c>
      <c r="B81" s="830">
        <v>8810</v>
      </c>
      <c r="C81" s="210" t="s">
        <v>922</v>
      </c>
      <c r="D81" s="597">
        <f>'[12]Division 009'!C180</f>
        <v>38427.110000000008</v>
      </c>
      <c r="E81" s="597">
        <f>'[12]Division 009'!D180</f>
        <v>45087.55000000001</v>
      </c>
      <c r="F81" s="597">
        <f>'[12]Division 009'!E180</f>
        <v>46694.98000000001</v>
      </c>
      <c r="G81" s="597">
        <f>'[12]Division 009'!F180</f>
        <v>54738.010000000017</v>
      </c>
      <c r="H81" s="597">
        <f>'[12]Division 009'!G180</f>
        <v>40066.099999999991</v>
      </c>
      <c r="I81" s="597">
        <f>'[12]Division 009'!H180</f>
        <v>36209.22</v>
      </c>
      <c r="J81" s="398">
        <f>VLOOKUP($B81,'[13]Div 9 forecast'!$D$590:$AF$671, 9,FALSE)</f>
        <v>29605.285266352494</v>
      </c>
      <c r="K81" s="398">
        <f>VLOOKUP($B81,'[13]Div 9 forecast'!$D$590:$AF$671, 10,FALSE)</f>
        <v>31005.090987096075</v>
      </c>
      <c r="L81" s="398">
        <f>VLOOKUP($B81,'[13]Div 9 forecast'!$D$590:$AF$671, 11,FALSE)</f>
        <v>28173.072577116178</v>
      </c>
      <c r="M81" s="398">
        <f>VLOOKUP($B81,'[13]Div 9 forecast'!$D$590:$AF$671, 12,FALSE)</f>
        <v>29057.488305308038</v>
      </c>
      <c r="N81" s="398">
        <f>VLOOKUP($B81,'[13]Div 9 forecast'!$D$590:$AF$671, 13,FALSE)</f>
        <v>31809.136003741121</v>
      </c>
      <c r="O81" s="398">
        <f>VLOOKUP($B81,'[13]Div 9 forecast'!$D$590:$AF$671, 14,FALSE)</f>
        <v>32705.070598880568</v>
      </c>
      <c r="P81" s="210">
        <f t="shared" si="7"/>
        <v>443578.11373849458</v>
      </c>
      <c r="Q81" s="148"/>
      <c r="R81" s="148"/>
      <c r="S81" s="148"/>
    </row>
    <row r="82" spans="1:21">
      <c r="A82" s="868">
        <f t="shared" si="0"/>
        <v>71</v>
      </c>
      <c r="B82" s="830">
        <v>8850</v>
      </c>
      <c r="C82" s="210" t="s">
        <v>923</v>
      </c>
      <c r="D82" s="597">
        <f>'[12]Division 009'!C181</f>
        <v>37.75</v>
      </c>
      <c r="E82" s="597">
        <f>'[12]Division 009'!D181</f>
        <v>168.29</v>
      </c>
      <c r="F82" s="597">
        <f>'[12]Division 009'!E181</f>
        <v>0</v>
      </c>
      <c r="G82" s="597">
        <f>'[12]Division 009'!F181</f>
        <v>20.89</v>
      </c>
      <c r="H82" s="597">
        <f>'[12]Division 009'!G181</f>
        <v>183.35000000000002</v>
      </c>
      <c r="I82" s="597">
        <f>'[12]Division 009'!H181</f>
        <v>8.3800000000000008</v>
      </c>
      <c r="J82" s="398">
        <f>VLOOKUP($B82,'[13]Div 9 forecast'!$D$590:$AF$671, 9,FALSE)</f>
        <v>100.98830516392167</v>
      </c>
      <c r="K82" s="398">
        <f>VLOOKUP($B82,'[13]Div 9 forecast'!$D$590:$AF$671, 10,FALSE)</f>
        <v>106.11663540576792</v>
      </c>
      <c r="L82" s="398">
        <f>VLOOKUP($B82,'[13]Div 9 forecast'!$D$590:$AF$671, 11,FALSE)</f>
        <v>165.10844492281299</v>
      </c>
      <c r="M82" s="398">
        <f>VLOOKUP($B82,'[13]Div 9 forecast'!$D$590:$AF$671, 12,FALSE)</f>
        <v>106.60156226182119</v>
      </c>
      <c r="N82" s="398">
        <f>VLOOKUP($B82,'[13]Div 9 forecast'!$D$590:$AF$671, 13,FALSE)</f>
        <v>56.714711945342145</v>
      </c>
      <c r="O82" s="398">
        <f>VLOOKUP($B82,'[13]Div 9 forecast'!$D$590:$AF$671, 14,FALSE)</f>
        <v>278.14672498149207</v>
      </c>
      <c r="P82" s="210">
        <f t="shared" si="7"/>
        <v>1232.3363846811581</v>
      </c>
      <c r="Q82" s="148"/>
      <c r="R82" s="148"/>
      <c r="S82" s="148"/>
    </row>
    <row r="83" spans="1:21">
      <c r="A83" s="868">
        <f t="shared" si="0"/>
        <v>72</v>
      </c>
      <c r="B83" s="830">
        <v>8860</v>
      </c>
      <c r="C83" s="210" t="s">
        <v>924</v>
      </c>
      <c r="D83" s="597">
        <f>'[12]Division 009'!C182</f>
        <v>0</v>
      </c>
      <c r="E83" s="597">
        <f>'[12]Division 009'!D182</f>
        <v>0</v>
      </c>
      <c r="F83" s="597">
        <f>'[12]Division 009'!E182</f>
        <v>0</v>
      </c>
      <c r="G83" s="597">
        <f>'[12]Division 009'!F182</f>
        <v>0</v>
      </c>
      <c r="H83" s="597">
        <f>'[12]Division 009'!G182</f>
        <v>79.86</v>
      </c>
      <c r="I83" s="597">
        <f>'[12]Division 009'!H182</f>
        <v>0</v>
      </c>
      <c r="J83" s="398">
        <f>VLOOKUP($B83,'[13]Div 9 forecast'!$D$590:$AF$671, 9,FALSE)</f>
        <v>12.090285584713946</v>
      </c>
      <c r="K83" s="398">
        <f>VLOOKUP($B83,'[13]Div 9 forecast'!$D$590:$AF$671, 10,FALSE)</f>
        <v>10.162384830241098</v>
      </c>
      <c r="L83" s="398">
        <f>VLOOKUP($B83,'[13]Div 9 forecast'!$D$590:$AF$671, 11,FALSE)</f>
        <v>8.1228324907878111</v>
      </c>
      <c r="M83" s="398">
        <f>VLOOKUP($B83,'[13]Div 9 forecast'!$D$590:$AF$671, 12,FALSE)</f>
        <v>7.5246316250317378</v>
      </c>
      <c r="N83" s="398">
        <f>VLOOKUP($B83,'[13]Div 9 forecast'!$D$590:$AF$671, 13,FALSE)</f>
        <v>7.8411311026437183</v>
      </c>
      <c r="O83" s="398">
        <f>VLOOKUP($B83,'[13]Div 9 forecast'!$D$590:$AF$671, 14,FALSE)</f>
        <v>5.8727946445602743</v>
      </c>
      <c r="P83" s="210">
        <f t="shared" si="7"/>
        <v>131.47406027797859</v>
      </c>
      <c r="Q83" s="148"/>
      <c r="R83" s="148"/>
      <c r="S83" s="148"/>
    </row>
    <row r="84" spans="1:21">
      <c r="A84" s="868">
        <f t="shared" si="0"/>
        <v>73</v>
      </c>
      <c r="B84" s="830">
        <v>8870</v>
      </c>
      <c r="C84" s="210" t="s">
        <v>925</v>
      </c>
      <c r="D84" s="597">
        <f>'[12]Division 009'!C183</f>
        <v>3557.6</v>
      </c>
      <c r="E84" s="597">
        <f>'[12]Division 009'!D183</f>
        <v>2537.9399999999996</v>
      </c>
      <c r="F84" s="597">
        <f>'[12]Division 009'!E183</f>
        <v>2437.12</v>
      </c>
      <c r="G84" s="597">
        <f>'[12]Division 009'!F183</f>
        <v>1169.1400000000001</v>
      </c>
      <c r="H84" s="597">
        <f>'[12]Division 009'!G183</f>
        <v>2175.04</v>
      </c>
      <c r="I84" s="597">
        <f>'[12]Division 009'!H183</f>
        <v>4206.62</v>
      </c>
      <c r="J84" s="398">
        <f>VLOOKUP($B84,'[13]Div 9 forecast'!$D$590:$AF$671, 9,FALSE)</f>
        <v>2595.1179769992877</v>
      </c>
      <c r="K84" s="398">
        <f>VLOOKUP($B84,'[13]Div 9 forecast'!$D$590:$AF$671, 10,FALSE)</f>
        <v>2338.4915664603245</v>
      </c>
      <c r="L84" s="398">
        <f>VLOOKUP($B84,'[13]Div 9 forecast'!$D$590:$AF$671, 11,FALSE)</f>
        <v>2131.3577177011102</v>
      </c>
      <c r="M84" s="398">
        <f>VLOOKUP($B84,'[13]Div 9 forecast'!$D$590:$AF$671, 12,FALSE)</f>
        <v>2393.1604912141338</v>
      </c>
      <c r="N84" s="398">
        <f>VLOOKUP($B84,'[13]Div 9 forecast'!$D$590:$AF$671, 13,FALSE)</f>
        <v>2349.6694936267832</v>
      </c>
      <c r="O84" s="398">
        <f>VLOOKUP($B84,'[13]Div 9 forecast'!$D$590:$AF$671, 14,FALSE)</f>
        <v>2182.9113581903021</v>
      </c>
      <c r="P84" s="210">
        <f t="shared" si="7"/>
        <v>30074.168604191938</v>
      </c>
      <c r="Q84" s="148"/>
      <c r="R84" s="153"/>
      <c r="S84" s="148"/>
    </row>
    <row r="85" spans="1:21">
      <c r="A85" s="868">
        <f t="shared" si="0"/>
        <v>74</v>
      </c>
      <c r="B85" s="830">
        <v>8890</v>
      </c>
      <c r="C85" s="869" t="s">
        <v>926</v>
      </c>
      <c r="D85" s="597">
        <f>'[12]Division 009'!C184</f>
        <v>9671.44</v>
      </c>
      <c r="E85" s="597">
        <f>'[12]Division 009'!D184</f>
        <v>8890.89</v>
      </c>
      <c r="F85" s="597">
        <f>'[12]Division 009'!E184</f>
        <v>3151.4299999999994</v>
      </c>
      <c r="G85" s="597">
        <f>'[12]Division 009'!F184</f>
        <v>8057.46</v>
      </c>
      <c r="H85" s="597">
        <f>'[12]Division 009'!G184</f>
        <v>1172.2100000000003</v>
      </c>
      <c r="I85" s="597">
        <f>'[12]Division 009'!H184</f>
        <v>8114.9599999999991</v>
      </c>
      <c r="J85" s="398">
        <f>VLOOKUP($B85,'[13]Div 9 forecast'!$D$590:$AF$671, 9,FALSE)</f>
        <v>5734.6775998134362</v>
      </c>
      <c r="K85" s="398">
        <f>VLOOKUP($B85,'[13]Div 9 forecast'!$D$590:$AF$671, 10,FALSE)</f>
        <v>5728.5186806520305</v>
      </c>
      <c r="L85" s="398">
        <f>VLOOKUP($B85,'[13]Div 9 forecast'!$D$590:$AF$671, 11,FALSE)</f>
        <v>5000.3959217352276</v>
      </c>
      <c r="M85" s="398">
        <f>VLOOKUP($B85,'[13]Div 9 forecast'!$D$590:$AF$671, 12,FALSE)</f>
        <v>5537.7665847829394</v>
      </c>
      <c r="N85" s="398">
        <f>VLOOKUP($B85,'[13]Div 9 forecast'!$D$590:$AF$671, 13,FALSE)</f>
        <v>5538.8637672558198</v>
      </c>
      <c r="O85" s="398">
        <f>VLOOKUP($B85,'[13]Div 9 forecast'!$D$590:$AF$671, 14,FALSE)</f>
        <v>5186.9428402003514</v>
      </c>
      <c r="P85" s="210">
        <f t="shared" si="7"/>
        <v>71785.555394439813</v>
      </c>
      <c r="Q85" s="148"/>
      <c r="R85" s="148"/>
      <c r="S85" s="148"/>
    </row>
    <row r="86" spans="1:21">
      <c r="A86" s="868">
        <f t="shared" ref="A86:A112" si="9">A85+1</f>
        <v>75</v>
      </c>
      <c r="B86" s="830">
        <v>8900</v>
      </c>
      <c r="C86" s="210" t="s">
        <v>927</v>
      </c>
      <c r="D86" s="597">
        <f>'[12]Division 009'!C185</f>
        <v>567.77</v>
      </c>
      <c r="E86" s="597">
        <f>'[12]Division 009'!D185</f>
        <v>-223.67000000000002</v>
      </c>
      <c r="F86" s="597">
        <f>'[12]Division 009'!E185</f>
        <v>463.96</v>
      </c>
      <c r="G86" s="597">
        <f>'[12]Division 009'!F185</f>
        <v>0</v>
      </c>
      <c r="H86" s="597">
        <f>'[12]Division 009'!G185</f>
        <v>419.53</v>
      </c>
      <c r="I86" s="597">
        <f>'[12]Division 009'!H185</f>
        <v>0</v>
      </c>
      <c r="J86" s="398">
        <f>VLOOKUP($B86,'[13]Div 9 forecast'!$D$590:$AF$671, 9,FALSE)</f>
        <v>185.70089525849573</v>
      </c>
      <c r="K86" s="398">
        <f>VLOOKUP($B86,'[13]Div 9 forecast'!$D$590:$AF$671, 10,FALSE)</f>
        <v>166.41650212402013</v>
      </c>
      <c r="L86" s="398">
        <f>VLOOKUP($B86,'[13]Div 9 forecast'!$D$590:$AF$671, 11,FALSE)</f>
        <v>137.720993268678</v>
      </c>
      <c r="M86" s="398">
        <f>VLOOKUP($B86,'[13]Div 9 forecast'!$D$590:$AF$671, 12,FALSE)</f>
        <v>138.47261221605066</v>
      </c>
      <c r="N86" s="398">
        <f>VLOOKUP($B86,'[13]Div 9 forecast'!$D$590:$AF$671, 13,FALSE)</f>
        <v>140.93557443948436</v>
      </c>
      <c r="O86" s="398">
        <f>VLOOKUP($B86,'[13]Div 9 forecast'!$D$590:$AF$671, 14,FALSE)</f>
        <v>117.10898514009861</v>
      </c>
      <c r="P86" s="210">
        <f t="shared" si="7"/>
        <v>2113.9455624468274</v>
      </c>
      <c r="Q86" s="148"/>
      <c r="R86" s="148"/>
      <c r="S86" s="148"/>
    </row>
    <row r="87" spans="1:21">
      <c r="A87" s="868">
        <f t="shared" si="9"/>
        <v>76</v>
      </c>
      <c r="B87" s="830">
        <v>8910</v>
      </c>
      <c r="C87" s="210" t="s">
        <v>928</v>
      </c>
      <c r="D87" s="597">
        <f>'[12]Division 009'!C186</f>
        <v>0</v>
      </c>
      <c r="E87" s="597">
        <f>'[12]Division 009'!D186</f>
        <v>0</v>
      </c>
      <c r="F87" s="597">
        <f>'[12]Division 009'!E186</f>
        <v>0</v>
      </c>
      <c r="G87" s="597">
        <f>'[12]Division 009'!F186</f>
        <v>0</v>
      </c>
      <c r="H87" s="597">
        <f>'[12]Division 009'!G186</f>
        <v>0</v>
      </c>
      <c r="I87" s="597">
        <f>'[12]Division 009'!H186</f>
        <v>560</v>
      </c>
      <c r="J87" s="398">
        <f>VLOOKUP($B87,'[13]Div 9 forecast'!$D$590:$AF$671, 9,FALSE)</f>
        <v>63.223405844067905</v>
      </c>
      <c r="K87" s="398">
        <f>VLOOKUP($B87,'[13]Div 9 forecast'!$D$590:$AF$671, 10,FALSE)</f>
        <v>66.297892771201916</v>
      </c>
      <c r="L87" s="398">
        <f>VLOOKUP($B87,'[13]Div 9 forecast'!$D$590:$AF$671, 11,FALSE)</f>
        <v>59.823446689249465</v>
      </c>
      <c r="M87" s="398">
        <f>VLOOKUP($B87,'[13]Div 9 forecast'!$D$590:$AF$671, 12,FALSE)</f>
        <v>62.635753932720831</v>
      </c>
      <c r="N87" s="398">
        <f>VLOOKUP($B87,'[13]Div 9 forecast'!$D$590:$AF$671, 13,FALSE)</f>
        <v>69.158004642662135</v>
      </c>
      <c r="O87" s="398">
        <f>VLOOKUP($B87,'[13]Div 9 forecast'!$D$590:$AF$671, 14,FALSE)</f>
        <v>69.208626625026596</v>
      </c>
      <c r="P87" s="210">
        <f t="shared" si="7"/>
        <v>950.34713050492871</v>
      </c>
      <c r="Q87" s="148"/>
      <c r="R87" s="148"/>
      <c r="S87" s="148"/>
    </row>
    <row r="88" spans="1:21">
      <c r="A88" s="868">
        <f t="shared" si="9"/>
        <v>77</v>
      </c>
      <c r="B88" s="830">
        <v>8920</v>
      </c>
      <c r="C88" s="210" t="s">
        <v>929</v>
      </c>
      <c r="D88" s="597">
        <f>'[12]Division 009'!C187</f>
        <v>1873.3599999999997</v>
      </c>
      <c r="E88" s="597">
        <f>'[12]Division 009'!D187</f>
        <v>303.95000000000005</v>
      </c>
      <c r="F88" s="597">
        <f>'[12]Division 009'!E187</f>
        <v>-33.83</v>
      </c>
      <c r="G88" s="597">
        <f>'[12]Division 009'!F187</f>
        <v>509.33999999999992</v>
      </c>
      <c r="H88" s="597">
        <f>'[12]Division 009'!G187</f>
        <v>172.07999999999998</v>
      </c>
      <c r="I88" s="597">
        <f>'[12]Division 009'!H187</f>
        <v>732.34999999999991</v>
      </c>
      <c r="J88" s="398">
        <f>VLOOKUP($B88,'[13]Div 9 forecast'!$D$590:$AF$671, 9,FALSE)</f>
        <v>537.04872110952601</v>
      </c>
      <c r="K88" s="398">
        <f>VLOOKUP($B88,'[13]Div 9 forecast'!$D$590:$AF$671, 10,FALSE)</f>
        <v>555.60465781476978</v>
      </c>
      <c r="L88" s="398">
        <f>VLOOKUP($B88,'[13]Div 9 forecast'!$D$590:$AF$671, 11,FALSE)</f>
        <v>491.55283526712094</v>
      </c>
      <c r="M88" s="398">
        <f>VLOOKUP($B88,'[13]Div 9 forecast'!$D$590:$AF$671, 12,FALSE)</f>
        <v>565.26399195039312</v>
      </c>
      <c r="N88" s="398">
        <f>VLOOKUP($B88,'[13]Div 9 forecast'!$D$590:$AF$671, 13,FALSE)</f>
        <v>555.12586313738802</v>
      </c>
      <c r="O88" s="398">
        <f>VLOOKUP($B88,'[13]Div 9 forecast'!$D$590:$AF$671, 14,FALSE)</f>
        <v>532.32480931207874</v>
      </c>
      <c r="P88" s="210">
        <f t="shared" si="7"/>
        <v>6794.1708785912742</v>
      </c>
      <c r="Q88" s="148"/>
      <c r="R88" s="148"/>
      <c r="S88" s="148"/>
    </row>
    <row r="89" spans="1:21">
      <c r="A89" s="868">
        <f t="shared" si="9"/>
        <v>78</v>
      </c>
      <c r="B89" s="830">
        <v>8930</v>
      </c>
      <c r="C89" s="210" t="s">
        <v>930</v>
      </c>
      <c r="D89" s="597">
        <f>0</f>
        <v>0</v>
      </c>
      <c r="E89" s="597">
        <f>0</f>
        <v>0</v>
      </c>
      <c r="F89" s="597">
        <f>0</f>
        <v>0</v>
      </c>
      <c r="G89" s="597">
        <f>0</f>
        <v>0</v>
      </c>
      <c r="H89" s="597">
        <f>0</f>
        <v>0</v>
      </c>
      <c r="I89" s="597">
        <f>0</f>
        <v>0</v>
      </c>
      <c r="J89" s="398">
        <f>VLOOKUP($B89,'[13]Div 9 forecast'!$D$590:$AF$671, 9,FALSE)</f>
        <v>0</v>
      </c>
      <c r="K89" s="398">
        <f>VLOOKUP($B89,'[13]Div 9 forecast'!$D$590:$AF$671, 10,FALSE)</f>
        <v>0</v>
      </c>
      <c r="L89" s="398">
        <f>VLOOKUP($B89,'[13]Div 9 forecast'!$D$590:$AF$671, 11,FALSE)</f>
        <v>0</v>
      </c>
      <c r="M89" s="398">
        <f>VLOOKUP($B89,'[13]Div 9 forecast'!$D$590:$AF$671, 12,FALSE)</f>
        <v>0</v>
      </c>
      <c r="N89" s="398">
        <f>VLOOKUP($B89,'[13]Div 9 forecast'!$D$590:$AF$671, 13,FALSE)</f>
        <v>0</v>
      </c>
      <c r="O89" s="398">
        <f>VLOOKUP($B89,'[13]Div 9 forecast'!$D$590:$AF$671, 14,FALSE)</f>
        <v>0</v>
      </c>
      <c r="P89" s="210">
        <f t="shared" si="7"/>
        <v>0</v>
      </c>
      <c r="Q89" s="148"/>
      <c r="R89" s="148"/>
      <c r="S89" s="148"/>
    </row>
    <row r="90" spans="1:21">
      <c r="A90" s="868">
        <f t="shared" si="9"/>
        <v>79</v>
      </c>
      <c r="B90" s="830">
        <v>8940</v>
      </c>
      <c r="C90" s="210" t="s">
        <v>931</v>
      </c>
      <c r="D90" s="597">
        <f>'[12]Division 009'!C188</f>
        <v>657.09</v>
      </c>
      <c r="E90" s="597">
        <f>'[12]Division 009'!D188</f>
        <v>430.48</v>
      </c>
      <c r="F90" s="597">
        <f>'[12]Division 009'!E188</f>
        <v>559.29</v>
      </c>
      <c r="G90" s="597">
        <f>'[12]Division 009'!F188</f>
        <v>1701.3700000000001</v>
      </c>
      <c r="H90" s="597">
        <f>'[12]Division 009'!G188</f>
        <v>1255.1400000000001</v>
      </c>
      <c r="I90" s="597">
        <f>'[12]Division 009'!H188</f>
        <v>161.74</v>
      </c>
      <c r="J90" s="398">
        <f>VLOOKUP($B90,'[13]Div 9 forecast'!$D$590:$AF$671, 9,FALSE)</f>
        <v>721.11617157990202</v>
      </c>
      <c r="K90" s="398">
        <f>VLOOKUP($B90,'[13]Div 9 forecast'!$D$590:$AF$671, 10,FALSE)</f>
        <v>606.80756483089147</v>
      </c>
      <c r="L90" s="398">
        <f>VLOOKUP($B90,'[13]Div 9 forecast'!$D$590:$AF$671, 11,FALSE)</f>
        <v>485.1890739813515</v>
      </c>
      <c r="M90" s="398">
        <f>VLOOKUP($B90,'[13]Div 9 forecast'!$D$590:$AF$671, 12,FALSE)</f>
        <v>449.47611862145368</v>
      </c>
      <c r="N90" s="398">
        <f>VLOOKUP($B90,'[13]Div 9 forecast'!$D$590:$AF$671, 13,FALSE)</f>
        <v>468.26758060475908</v>
      </c>
      <c r="O90" s="398">
        <f>VLOOKUP($B90,'[13]Div 9 forecast'!$D$590:$AF$671, 14,FALSE)</f>
        <v>351.43612554071899</v>
      </c>
      <c r="P90" s="210">
        <f t="shared" si="7"/>
        <v>7847.4026351590774</v>
      </c>
      <c r="Q90" s="148"/>
      <c r="R90" s="148"/>
      <c r="S90" s="148"/>
    </row>
    <row r="91" spans="1:21" s="793" customFormat="1">
      <c r="A91" s="868">
        <f t="shared" si="9"/>
        <v>80</v>
      </c>
      <c r="B91" s="830">
        <v>9010</v>
      </c>
      <c r="C91" s="80" t="s">
        <v>181</v>
      </c>
      <c r="D91" s="597">
        <f>0</f>
        <v>0</v>
      </c>
      <c r="E91" s="597">
        <f>0</f>
        <v>0</v>
      </c>
      <c r="F91" s="597">
        <f>0</f>
        <v>0</v>
      </c>
      <c r="G91" s="597">
        <f>0</f>
        <v>0</v>
      </c>
      <c r="H91" s="597">
        <f>0</f>
        <v>0</v>
      </c>
      <c r="I91" s="597">
        <f>0</f>
        <v>0</v>
      </c>
      <c r="J91" s="398">
        <f>VLOOKUP($B91,'[13]Div 9 forecast'!$D$590:$AF$671, 9,FALSE)</f>
        <v>0</v>
      </c>
      <c r="K91" s="398">
        <f>VLOOKUP($B91,'[13]Div 9 forecast'!$D$590:$AF$671, 10,FALSE)</f>
        <v>0</v>
      </c>
      <c r="L91" s="398">
        <f>VLOOKUP($B91,'[13]Div 9 forecast'!$D$590:$AF$671, 11,FALSE)</f>
        <v>0</v>
      </c>
      <c r="M91" s="398">
        <f>VLOOKUP($B91,'[13]Div 9 forecast'!$D$590:$AF$671, 12,FALSE)</f>
        <v>0</v>
      </c>
      <c r="N91" s="398">
        <f>VLOOKUP($B91,'[13]Div 9 forecast'!$D$590:$AF$671, 13,FALSE)</f>
        <v>0</v>
      </c>
      <c r="O91" s="398">
        <f>VLOOKUP($B91,'[13]Div 9 forecast'!$D$590:$AF$671, 14,FALSE)</f>
        <v>0</v>
      </c>
      <c r="P91" s="210">
        <f t="shared" si="7"/>
        <v>0</v>
      </c>
      <c r="Q91" s="148"/>
      <c r="R91" s="148"/>
      <c r="S91" s="148"/>
    </row>
    <row r="92" spans="1:21">
      <c r="A92" s="868">
        <f t="shared" si="9"/>
        <v>81</v>
      </c>
      <c r="B92" s="830">
        <v>9020</v>
      </c>
      <c r="C92" s="210" t="s">
        <v>932</v>
      </c>
      <c r="D92" s="597">
        <f>'[12]Division 009'!C189</f>
        <v>101007.06999999999</v>
      </c>
      <c r="E92" s="597">
        <f>'[12]Division 009'!D189</f>
        <v>103317.64999999997</v>
      </c>
      <c r="F92" s="597">
        <f>'[12]Division 009'!E189</f>
        <v>108554.81999999999</v>
      </c>
      <c r="G92" s="597">
        <f>'[12]Division 009'!F189</f>
        <v>100537.97999999997</v>
      </c>
      <c r="H92" s="597">
        <f>'[12]Division 009'!G189</f>
        <v>125550.17</v>
      </c>
      <c r="I92" s="597">
        <f>'[12]Division 009'!H189</f>
        <v>81656.400000000009</v>
      </c>
      <c r="J92" s="398">
        <f>VLOOKUP($B92,'[13]Div 9 forecast'!$D$590:$AF$671, 9,FALSE)</f>
        <v>105814.26459357234</v>
      </c>
      <c r="K92" s="398">
        <f>VLOOKUP($B92,'[13]Div 9 forecast'!$D$590:$AF$671, 10,FALSE)</f>
        <v>82850.944677539985</v>
      </c>
      <c r="L92" s="398">
        <f>VLOOKUP($B92,'[13]Div 9 forecast'!$D$590:$AF$671, 11,FALSE)</f>
        <v>78434.521302221227</v>
      </c>
      <c r="M92" s="398">
        <f>VLOOKUP($B92,'[13]Div 9 forecast'!$D$590:$AF$671, 12,FALSE)</f>
        <v>83575.413922391599</v>
      </c>
      <c r="N92" s="398">
        <f>VLOOKUP($B92,'[13]Div 9 forecast'!$D$590:$AF$671, 13,FALSE)</f>
        <v>82129.76217465676</v>
      </c>
      <c r="O92" s="398">
        <f>VLOOKUP($B92,'[13]Div 9 forecast'!$D$590:$AF$671, 14,FALSE)</f>
        <v>74466.673614374537</v>
      </c>
      <c r="P92" s="210">
        <f t="shared" si="7"/>
        <v>1127895.6702847565</v>
      </c>
      <c r="Q92" s="592"/>
      <c r="R92" s="592"/>
      <c r="S92" s="592"/>
      <c r="T92" s="592"/>
      <c r="U92" s="592"/>
    </row>
    <row r="93" spans="1:21">
      <c r="A93" s="868">
        <f t="shared" si="9"/>
        <v>82</v>
      </c>
      <c r="B93" s="830">
        <v>9030</v>
      </c>
      <c r="C93" s="210" t="s">
        <v>937</v>
      </c>
      <c r="D93" s="597">
        <f>'[12]Division 009'!C190</f>
        <v>97694.84</v>
      </c>
      <c r="E93" s="597">
        <f>'[12]Division 009'!D190</f>
        <v>100440.28</v>
      </c>
      <c r="F93" s="597">
        <f>'[12]Division 009'!E190</f>
        <v>127619.04</v>
      </c>
      <c r="G93" s="597">
        <f>'[12]Division 009'!F190</f>
        <v>120053.23</v>
      </c>
      <c r="H93" s="597">
        <f>'[12]Division 009'!G190</f>
        <v>127428.33000000003</v>
      </c>
      <c r="I93" s="597">
        <f>'[12]Division 009'!H190</f>
        <v>142633.01999999996</v>
      </c>
      <c r="J93" s="398">
        <f>VLOOKUP($B93,'[13]Div 9 forecast'!$D$590:$AF$671, 9,FALSE)</f>
        <v>128725.83847568296</v>
      </c>
      <c r="K93" s="398">
        <f>VLOOKUP($B93,'[13]Div 9 forecast'!$D$590:$AF$671, 10,FALSE)</f>
        <v>89867.522884136182</v>
      </c>
      <c r="L93" s="398">
        <f>VLOOKUP($B93,'[13]Div 9 forecast'!$D$590:$AF$671, 11,FALSE)</f>
        <v>87186.31083587218</v>
      </c>
      <c r="M93" s="398">
        <f>VLOOKUP($B93,'[13]Div 9 forecast'!$D$590:$AF$671, 12,FALSE)</f>
        <v>92573.485622944732</v>
      </c>
      <c r="N93" s="398">
        <f>VLOOKUP($B93,'[13]Div 9 forecast'!$D$590:$AF$671, 13,FALSE)</f>
        <v>90993.18934483231</v>
      </c>
      <c r="O93" s="398">
        <f>VLOOKUP($B93,'[13]Div 9 forecast'!$D$590:$AF$671, 14,FALSE)</f>
        <v>78242.394439525349</v>
      </c>
      <c r="P93" s="210">
        <f t="shared" si="7"/>
        <v>1283457.4816029938</v>
      </c>
      <c r="Q93" s="592"/>
      <c r="R93" s="592"/>
      <c r="S93" s="592"/>
      <c r="T93" s="592"/>
      <c r="U93" s="592"/>
    </row>
    <row r="94" spans="1:21">
      <c r="A94" s="868">
        <f t="shared" si="9"/>
        <v>83</v>
      </c>
      <c r="B94" s="830">
        <v>9040</v>
      </c>
      <c r="C94" s="210" t="s">
        <v>938</v>
      </c>
      <c r="D94" s="597">
        <f>'[12]Division 009'!C191</f>
        <v>47272</v>
      </c>
      <c r="E94" s="597">
        <f>'[12]Division 009'!D191</f>
        <v>43913</v>
      </c>
      <c r="F94" s="597">
        <f>'[12]Division 009'!E191</f>
        <v>37532</v>
      </c>
      <c r="G94" s="597">
        <f>'[12]Division 009'!F191</f>
        <v>54899</v>
      </c>
      <c r="H94" s="597">
        <f>'[12]Division 009'!G191</f>
        <v>22112</v>
      </c>
      <c r="I94" s="597">
        <f>'[12]Division 009'!H191</f>
        <v>145471</v>
      </c>
      <c r="J94" s="398">
        <f>VLOOKUP($B94,'[13]Div 9 forecast'!$D$590:$AF$671, 9,FALSE)</f>
        <v>27627.48</v>
      </c>
      <c r="K94" s="398">
        <f>VLOOKUP($B94,'[13]Div 9 forecast'!$D$590:$AF$671, 10,FALSE)</f>
        <v>28037.360000000001</v>
      </c>
      <c r="L94" s="398">
        <f>VLOOKUP($B94,'[13]Div 9 forecast'!$D$590:$AF$671, 11,FALSE)</f>
        <v>28524.54</v>
      </c>
      <c r="M94" s="398">
        <f>VLOOKUP($B94,'[13]Div 9 forecast'!$D$590:$AF$671, 12,FALSE)</f>
        <v>27631.938900000001</v>
      </c>
      <c r="N94" s="398">
        <f>VLOOKUP($B94,'[13]Div 9 forecast'!$D$590:$AF$671, 13,FALSE)</f>
        <v>37759.1276</v>
      </c>
      <c r="O94" s="398">
        <f>VLOOKUP($B94,'[13]Div 9 forecast'!$D$590:$AF$671, 14,FALSE)</f>
        <v>48564.006300000001</v>
      </c>
      <c r="P94" s="210">
        <f t="shared" si="7"/>
        <v>549343.45279999997</v>
      </c>
      <c r="Q94" s="148"/>
      <c r="R94" s="148"/>
      <c r="S94" s="148"/>
    </row>
    <row r="95" spans="1:21">
      <c r="A95" s="868">
        <f t="shared" si="9"/>
        <v>84</v>
      </c>
      <c r="B95" s="830">
        <v>9090</v>
      </c>
      <c r="C95" s="210" t="s">
        <v>939</v>
      </c>
      <c r="D95" s="597">
        <f>'[12]Division 009'!C192</f>
        <v>12026.800000000001</v>
      </c>
      <c r="E95" s="597">
        <f>'[12]Division 009'!D192</f>
        <v>8468.51</v>
      </c>
      <c r="F95" s="597">
        <f>'[12]Division 009'!E192</f>
        <v>11705.92</v>
      </c>
      <c r="G95" s="597">
        <f>'[12]Division 009'!F192</f>
        <v>11387.3</v>
      </c>
      <c r="H95" s="597">
        <f>'[12]Division 009'!G192</f>
        <v>12611.04</v>
      </c>
      <c r="I95" s="597">
        <f>'[12]Division 009'!H192</f>
        <v>11147.93</v>
      </c>
      <c r="J95" s="398">
        <f>VLOOKUP($B95,'[13]Div 9 forecast'!$D$590:$AF$671, 9,FALSE)</f>
        <v>9548.3381953092758</v>
      </c>
      <c r="K95" s="398">
        <f>VLOOKUP($B95,'[13]Div 9 forecast'!$D$590:$AF$671, 10,FALSE)</f>
        <v>10606.544875548949</v>
      </c>
      <c r="L95" s="398">
        <f>VLOOKUP($B95,'[13]Div 9 forecast'!$D$590:$AF$671, 11,FALSE)</f>
        <v>9633.2201746136543</v>
      </c>
      <c r="M95" s="398">
        <f>VLOOKUP($B95,'[13]Div 9 forecast'!$D$590:$AF$671, 12,FALSE)</f>
        <v>10812.964337981146</v>
      </c>
      <c r="N95" s="398">
        <f>VLOOKUP($B95,'[13]Div 9 forecast'!$D$590:$AF$671, 13,FALSE)</f>
        <v>11123.950129011935</v>
      </c>
      <c r="O95" s="398">
        <f>VLOOKUP($B95,'[13]Div 9 forecast'!$D$590:$AF$671, 14,FALSE)</f>
        <v>10450.339238712655</v>
      </c>
      <c r="P95" s="210">
        <f t="shared" si="7"/>
        <v>129522.85695117761</v>
      </c>
      <c r="Q95" s="148"/>
      <c r="R95" s="148"/>
      <c r="S95" s="148"/>
    </row>
    <row r="96" spans="1:21" s="793" customFormat="1">
      <c r="A96" s="868">
        <f t="shared" si="9"/>
        <v>85</v>
      </c>
      <c r="B96" s="830">
        <v>9100</v>
      </c>
      <c r="C96" s="210" t="s">
        <v>940</v>
      </c>
      <c r="D96" s="597">
        <f>0</f>
        <v>0</v>
      </c>
      <c r="E96" s="597">
        <f>0</f>
        <v>0</v>
      </c>
      <c r="F96" s="597">
        <f>0</f>
        <v>0</v>
      </c>
      <c r="G96" s="597">
        <f>0</f>
        <v>0</v>
      </c>
      <c r="H96" s="597">
        <f>0</f>
        <v>0</v>
      </c>
      <c r="I96" s="597">
        <f>0</f>
        <v>0</v>
      </c>
      <c r="J96" s="398">
        <f>VLOOKUP($B96,'[13]Div 9 forecast'!$D$590:$AF$671, 9,FALSE)</f>
        <v>0</v>
      </c>
      <c r="K96" s="398">
        <f>VLOOKUP($B96,'[13]Div 9 forecast'!$D$590:$AF$671, 10,FALSE)</f>
        <v>0</v>
      </c>
      <c r="L96" s="398">
        <f>VLOOKUP($B96,'[13]Div 9 forecast'!$D$590:$AF$671, 11,FALSE)</f>
        <v>0</v>
      </c>
      <c r="M96" s="398">
        <f>VLOOKUP($B96,'[13]Div 9 forecast'!$D$590:$AF$671, 12,FALSE)</f>
        <v>0</v>
      </c>
      <c r="N96" s="398">
        <f>VLOOKUP($B96,'[13]Div 9 forecast'!$D$590:$AF$671, 13,FALSE)</f>
        <v>0</v>
      </c>
      <c r="O96" s="398">
        <f>VLOOKUP($B96,'[13]Div 9 forecast'!$D$590:$AF$671, 14,FALSE)</f>
        <v>0</v>
      </c>
      <c r="P96" s="210">
        <f t="shared" si="7"/>
        <v>0</v>
      </c>
      <c r="Q96" s="148"/>
      <c r="R96" s="148"/>
      <c r="S96" s="148"/>
    </row>
    <row r="97" spans="1:19">
      <c r="A97" s="868">
        <f t="shared" si="9"/>
        <v>86</v>
      </c>
      <c r="B97" s="830">
        <v>9110</v>
      </c>
      <c r="C97" s="210" t="s">
        <v>941</v>
      </c>
      <c r="D97" s="597">
        <f>'[12]Division 009'!C193</f>
        <v>19520.36</v>
      </c>
      <c r="E97" s="597">
        <f>'[12]Division 009'!D193</f>
        <v>21068.82</v>
      </c>
      <c r="F97" s="597">
        <f>'[12]Division 009'!E193</f>
        <v>25225.98</v>
      </c>
      <c r="G97" s="597">
        <f>'[12]Division 009'!F193</f>
        <v>21668.09</v>
      </c>
      <c r="H97" s="597">
        <f>'[12]Division 009'!G193</f>
        <v>22385.53</v>
      </c>
      <c r="I97" s="597">
        <f>'[12]Division 009'!H193</f>
        <v>21581.869999999995</v>
      </c>
      <c r="J97" s="398">
        <f>VLOOKUP($B97,'[13]Div 9 forecast'!$D$590:$AF$671, 9,FALSE)</f>
        <v>18199.698943782318</v>
      </c>
      <c r="K97" s="398">
        <f>VLOOKUP($B97,'[13]Div 9 forecast'!$D$590:$AF$671, 10,FALSE)</f>
        <v>20753.413885735659</v>
      </c>
      <c r="L97" s="398">
        <f>VLOOKUP($B97,'[13]Div 9 forecast'!$D$590:$AF$671, 11,FALSE)</f>
        <v>19060.844615314869</v>
      </c>
      <c r="M97" s="398">
        <f>VLOOKUP($B97,'[13]Div 9 forecast'!$D$590:$AF$671, 12,FALSE)</f>
        <v>21127.573332111806</v>
      </c>
      <c r="N97" s="398">
        <f>VLOOKUP($B97,'[13]Div 9 forecast'!$D$590:$AF$671, 13,FALSE)</f>
        <v>22089.241353389702</v>
      </c>
      <c r="O97" s="398">
        <f>VLOOKUP($B97,'[13]Div 9 forecast'!$D$590:$AF$671, 14,FALSE)</f>
        <v>20700.147111104408</v>
      </c>
      <c r="P97" s="210">
        <f t="shared" si="7"/>
        <v>253381.5692414387</v>
      </c>
      <c r="Q97" s="148"/>
      <c r="R97" s="153"/>
      <c r="S97" s="148"/>
    </row>
    <row r="98" spans="1:19">
      <c r="A98" s="868">
        <f t="shared" si="9"/>
        <v>87</v>
      </c>
      <c r="B98" s="830">
        <v>9120</v>
      </c>
      <c r="C98" s="210" t="s">
        <v>942</v>
      </c>
      <c r="D98" s="597">
        <f>'[12]Division 009'!C194</f>
        <v>14361.869999999999</v>
      </c>
      <c r="E98" s="597">
        <f>'[12]Division 009'!D194</f>
        <v>15310.52</v>
      </c>
      <c r="F98" s="597">
        <f>'[12]Division 009'!E194</f>
        <v>4892.2999999999993</v>
      </c>
      <c r="G98" s="597">
        <f>'[12]Division 009'!F194</f>
        <v>9360</v>
      </c>
      <c r="H98" s="597">
        <f>'[12]Division 009'!G194</f>
        <v>7556.7900000000009</v>
      </c>
      <c r="I98" s="597">
        <f>'[12]Division 009'!H194</f>
        <v>22228.080000000002</v>
      </c>
      <c r="J98" s="398">
        <f>VLOOKUP($B98,'[13]Div 9 forecast'!$D$590:$AF$671, 9,FALSE)</f>
        <v>9574.9855203346142</v>
      </c>
      <c r="K98" s="398">
        <f>VLOOKUP($B98,'[13]Div 9 forecast'!$D$590:$AF$671, 10,FALSE)</f>
        <v>12806.663661180857</v>
      </c>
      <c r="L98" s="398">
        <f>VLOOKUP($B98,'[13]Div 9 forecast'!$D$590:$AF$671, 11,FALSE)</f>
        <v>13420.932408236891</v>
      </c>
      <c r="M98" s="398">
        <f>VLOOKUP($B98,'[13]Div 9 forecast'!$D$590:$AF$671, 12,FALSE)</f>
        <v>9828.3327678697533</v>
      </c>
      <c r="N98" s="398">
        <f>VLOOKUP($B98,'[13]Div 9 forecast'!$D$590:$AF$671, 13,FALSE)</f>
        <v>17667.391076124215</v>
      </c>
      <c r="O98" s="398">
        <f>VLOOKUP($B98,'[13]Div 9 forecast'!$D$590:$AF$671, 14,FALSE)</f>
        <v>6972.8745914273049</v>
      </c>
      <c r="P98" s="210">
        <f t="shared" si="7"/>
        <v>143980.74002517364</v>
      </c>
      <c r="Q98" s="148"/>
      <c r="R98" s="153"/>
      <c r="S98" s="148"/>
    </row>
    <row r="99" spans="1:19">
      <c r="A99" s="868">
        <f t="shared" si="9"/>
        <v>88</v>
      </c>
      <c r="B99" s="830">
        <v>9130</v>
      </c>
      <c r="C99" s="210" t="s">
        <v>943</v>
      </c>
      <c r="D99" s="597">
        <f>'[12]Division 009'!C195</f>
        <v>3358</v>
      </c>
      <c r="E99" s="597">
        <f>'[12]Division 009'!D195</f>
        <v>3434.5</v>
      </c>
      <c r="F99" s="597">
        <f>'[12]Division 009'!E195</f>
        <v>7296.82</v>
      </c>
      <c r="G99" s="597">
        <f>'[12]Division 009'!F195</f>
        <v>1606</v>
      </c>
      <c r="H99" s="597">
        <f>'[12]Division 009'!G195</f>
        <v>5853.73</v>
      </c>
      <c r="I99" s="597">
        <f>'[12]Division 009'!H195</f>
        <v>670.66</v>
      </c>
      <c r="J99" s="398">
        <f>VLOOKUP($B99,'[13]Div 9 forecast'!$D$590:$AF$671, 9,FALSE)</f>
        <v>2741.4853324477854</v>
      </c>
      <c r="K99" s="398">
        <f>VLOOKUP($B99,'[13]Div 9 forecast'!$D$590:$AF$671, 10,FALSE)</f>
        <v>4034.3377568101678</v>
      </c>
      <c r="L99" s="398">
        <f>VLOOKUP($B99,'[13]Div 9 forecast'!$D$590:$AF$671, 11,FALSE)</f>
        <v>4243.7134863223146</v>
      </c>
      <c r="M99" s="398">
        <f>VLOOKUP($B99,'[13]Div 9 forecast'!$D$590:$AF$671, 12,FALSE)</f>
        <v>2786.2639846615257</v>
      </c>
      <c r="N99" s="398">
        <f>VLOOKUP($B99,'[13]Div 9 forecast'!$D$590:$AF$671, 13,FALSE)</f>
        <v>5444.1087735265628</v>
      </c>
      <c r="O99" s="398">
        <f>VLOOKUP($B99,'[13]Div 9 forecast'!$D$590:$AF$671, 14,FALSE)</f>
        <v>2060.0705605021894</v>
      </c>
      <c r="P99" s="210">
        <f t="shared" si="7"/>
        <v>43529.689894270545</v>
      </c>
      <c r="Q99" s="148"/>
      <c r="R99" s="148"/>
      <c r="S99" s="148"/>
    </row>
    <row r="100" spans="1:19">
      <c r="A100" s="868">
        <f t="shared" si="9"/>
        <v>89</v>
      </c>
      <c r="B100" s="830">
        <v>9200</v>
      </c>
      <c r="C100" s="103" t="s">
        <v>182</v>
      </c>
      <c r="D100" s="597">
        <f>'[12]Division 009'!C196</f>
        <v>10060.35</v>
      </c>
      <c r="E100" s="597">
        <f>'[12]Division 009'!D196</f>
        <v>10881.92</v>
      </c>
      <c r="F100" s="597">
        <f>'[12]Division 009'!E196</f>
        <v>11970.02</v>
      </c>
      <c r="G100" s="597">
        <f>'[12]Division 009'!F196</f>
        <v>11635.840000000002</v>
      </c>
      <c r="H100" s="597">
        <f>'[12]Division 009'!G196</f>
        <v>12840.22</v>
      </c>
      <c r="I100" s="597">
        <f>'[12]Division 009'!H196</f>
        <v>11987.77</v>
      </c>
      <c r="J100" s="398">
        <f>VLOOKUP($B100,'[13]Div 9 forecast'!$D$590:$AF$671, 9,FALSE)</f>
        <v>10473.202239274986</v>
      </c>
      <c r="K100" s="398">
        <f>VLOOKUP($B100,'[13]Div 9 forecast'!$D$590:$AF$671, 10,FALSE)</f>
        <v>10885.294461775722</v>
      </c>
      <c r="L100" s="398">
        <f>VLOOKUP($B100,'[13]Div 9 forecast'!$D$590:$AF$671, 11,FALSE)</f>
        <v>9648.9899344497517</v>
      </c>
      <c r="M100" s="398">
        <f>VLOOKUP($B100,'[13]Div 9 forecast'!$D$590:$AF$671, 12,FALSE)</f>
        <v>11134.801478940268</v>
      </c>
      <c r="N100" s="398">
        <f>VLOOKUP($B100,'[13]Div 9 forecast'!$D$590:$AF$671, 13,FALSE)</f>
        <v>10925.429788215586</v>
      </c>
      <c r="O100" s="398">
        <f>VLOOKUP($B100,'[13]Div 9 forecast'!$D$590:$AF$671, 14,FALSE)</f>
        <v>10511.932760455609</v>
      </c>
      <c r="P100" s="210">
        <f t="shared" ref="P100" si="10">SUM(D100:O100)</f>
        <v>132955.77066311194</v>
      </c>
      <c r="Q100" s="148"/>
      <c r="R100" s="153"/>
      <c r="S100" s="148"/>
    </row>
    <row r="101" spans="1:19">
      <c r="A101" s="868">
        <f t="shared" si="9"/>
        <v>90</v>
      </c>
      <c r="B101" s="830">
        <v>9210</v>
      </c>
      <c r="C101" s="210" t="s">
        <v>944</v>
      </c>
      <c r="D101" s="597">
        <f>'[12]Division 009'!C197</f>
        <v>2618.4899999999998</v>
      </c>
      <c r="E101" s="597">
        <f>'[12]Division 009'!D197</f>
        <v>1092.6300000000001</v>
      </c>
      <c r="F101" s="597">
        <f>'[12]Division 009'!E197</f>
        <v>2815.3300000000004</v>
      </c>
      <c r="G101" s="597">
        <f>'[12]Division 009'!F197</f>
        <v>2162.7400000000002</v>
      </c>
      <c r="H101" s="597">
        <f>'[12]Division 009'!G197</f>
        <v>-50</v>
      </c>
      <c r="I101" s="597">
        <f>'[12]Division 009'!H197</f>
        <v>2570.1599999999994</v>
      </c>
      <c r="J101" s="398">
        <f>VLOOKUP($B101,'[13]Div 9 forecast'!$D$590:$AF$671, 9,FALSE)</f>
        <v>860.55071209473988</v>
      </c>
      <c r="K101" s="398">
        <f>VLOOKUP($B101,'[13]Div 9 forecast'!$D$590:$AF$671, 10,FALSE)</f>
        <v>1288.7387949872964</v>
      </c>
      <c r="L101" s="398">
        <f>VLOOKUP($B101,'[13]Div 9 forecast'!$D$590:$AF$671, 11,FALSE)</f>
        <v>1333.6935655700158</v>
      </c>
      <c r="M101" s="398">
        <f>VLOOKUP($B101,'[13]Div 9 forecast'!$D$590:$AF$671, 12,FALSE)</f>
        <v>1353.0439578959063</v>
      </c>
      <c r="N101" s="398">
        <f>VLOOKUP($B101,'[13]Div 9 forecast'!$D$590:$AF$671, 13,FALSE)</f>
        <v>1810.3147078657089</v>
      </c>
      <c r="O101" s="398">
        <f>VLOOKUP($B101,'[13]Div 9 forecast'!$D$590:$AF$671, 14,FALSE)</f>
        <v>1455.547228047757</v>
      </c>
      <c r="P101" s="210">
        <f t="shared" si="7"/>
        <v>19311.238966461424</v>
      </c>
      <c r="Q101" s="148"/>
      <c r="R101" s="153"/>
      <c r="S101" s="148"/>
    </row>
    <row r="102" spans="1:19">
      <c r="A102" s="868">
        <f t="shared" si="9"/>
        <v>91</v>
      </c>
      <c r="B102" s="830">
        <v>9220</v>
      </c>
      <c r="C102" s="210" t="s">
        <v>945</v>
      </c>
      <c r="D102" s="597">
        <f>'[12]Division 009'!C198</f>
        <v>1077087.21</v>
      </c>
      <c r="E102" s="597">
        <f>'[12]Division 009'!D198</f>
        <v>921577.6399999999</v>
      </c>
      <c r="F102" s="597">
        <f>'[12]Division 009'!E198</f>
        <v>1144943.74</v>
      </c>
      <c r="G102" s="597">
        <f>'[12]Division 009'!F198</f>
        <v>997870.45000000007</v>
      </c>
      <c r="H102" s="597">
        <f>'[12]Division 009'!G198</f>
        <v>1306075.25</v>
      </c>
      <c r="I102" s="597">
        <f>'[12]Division 009'!H198</f>
        <v>776411.64000000013</v>
      </c>
      <c r="J102" s="398">
        <f>-('C.2.2 B 02'!J44+'C.2.2 B 12'!J34+'C.2.2 B 91'!J57)</f>
        <v>1222952.9584457388</v>
      </c>
      <c r="K102" s="398">
        <f>-('C.2.2 B 02'!K44+'C.2.2 B 12'!K34+'C.2.2 B 91'!K57)</f>
        <v>1071648.0890506178</v>
      </c>
      <c r="L102" s="398">
        <f>-('C.2.2 B 02'!L44+'C.2.2 B 12'!L34+'C.2.2 B 91'!L57)</f>
        <v>1079925.3567961534</v>
      </c>
      <c r="M102" s="398">
        <f>-('C.2.2 B 02'!M44+'C.2.2 B 12'!M34+'C.2.2 B 91'!M57)</f>
        <v>1130382.328421935</v>
      </c>
      <c r="N102" s="398">
        <f>-('C.2.2 B 02'!N44+'C.2.2 B 12'!N34+'C.2.2 B 91'!N57)</f>
        <v>1158532.8420704855</v>
      </c>
      <c r="O102" s="398">
        <f>-('C.2.2 B 02'!O44+'C.2.2 B 12'!O34+'C.2.2 B 91'!O57)</f>
        <v>1143337.8515960025</v>
      </c>
      <c r="P102" s="210">
        <f>SUM(D102:O102)</f>
        <v>13030745.356380932</v>
      </c>
      <c r="Q102" s="592"/>
      <c r="R102" s="809"/>
      <c r="S102" s="210"/>
    </row>
    <row r="103" spans="1:19">
      <c r="A103" s="868">
        <f t="shared" si="9"/>
        <v>92</v>
      </c>
      <c r="B103" s="830">
        <v>9230</v>
      </c>
      <c r="C103" s="210" t="s">
        <v>946</v>
      </c>
      <c r="D103" s="597">
        <f>'[12]Division 009'!C199</f>
        <v>160</v>
      </c>
      <c r="E103" s="597">
        <f>'[12]Division 009'!D199</f>
        <v>0</v>
      </c>
      <c r="F103" s="597">
        <f>'[12]Division 009'!E199</f>
        <v>15003.95</v>
      </c>
      <c r="G103" s="597">
        <f>'[12]Division 009'!F199</f>
        <v>6064.95</v>
      </c>
      <c r="H103" s="597">
        <f>'[12]Division 009'!G199</f>
        <v>256.70999999999998</v>
      </c>
      <c r="I103" s="597">
        <f>'[12]Division 009'!H199</f>
        <v>185986.05</v>
      </c>
      <c r="J103" s="398">
        <f>VLOOKUP($B103,'[13]Div 9 forecast'!$D$590:$AF$671, 9,FALSE)</f>
        <v>40223.92448292207</v>
      </c>
      <c r="K103" s="398">
        <f>VLOOKUP($B103,'[13]Div 9 forecast'!$D$590:$AF$671, 10,FALSE)</f>
        <v>22973.038510634236</v>
      </c>
      <c r="L103" s="398">
        <f>VLOOKUP($B103,'[13]Div 9 forecast'!$D$590:$AF$671, 11,FALSE)</f>
        <v>23538.703003981376</v>
      </c>
      <c r="M103" s="398">
        <f>VLOOKUP($B103,'[13]Div 9 forecast'!$D$590:$AF$671, 12,FALSE)</f>
        <v>23807.814955074704</v>
      </c>
      <c r="N103" s="398">
        <f>VLOOKUP($B103,'[13]Div 9 forecast'!$D$590:$AF$671, 13,FALSE)</f>
        <v>23387.523992428542</v>
      </c>
      <c r="O103" s="398">
        <f>VLOOKUP($B103,'[13]Div 9 forecast'!$D$590:$AF$671, 14,FALSE)</f>
        <v>18508.708988949806</v>
      </c>
      <c r="P103" s="210">
        <f t="shared" si="7"/>
        <v>359911.37393399072</v>
      </c>
      <c r="Q103" s="148"/>
      <c r="R103" s="153"/>
      <c r="S103" s="148"/>
    </row>
    <row r="104" spans="1:19">
      <c r="A104" s="868">
        <f t="shared" si="9"/>
        <v>93</v>
      </c>
      <c r="B104" s="830">
        <v>9240</v>
      </c>
      <c r="C104" s="210" t="s">
        <v>947</v>
      </c>
      <c r="D104" s="597">
        <f>'[12]Division 009'!C200</f>
        <v>14262.050000000001</v>
      </c>
      <c r="E104" s="597">
        <f>'[12]Division 009'!D200</f>
        <v>14560.55</v>
      </c>
      <c r="F104" s="597">
        <f>'[12]Division 009'!E200</f>
        <v>13925.159999999996</v>
      </c>
      <c r="G104" s="597">
        <f>'[12]Division 009'!F200</f>
        <v>13180.759999999998</v>
      </c>
      <c r="H104" s="597">
        <f>'[12]Division 009'!G200</f>
        <v>14464.279999999999</v>
      </c>
      <c r="I104" s="597">
        <f>'[12]Division 009'!H200</f>
        <v>14123.289999999997</v>
      </c>
      <c r="J104" s="398">
        <f>VLOOKUP($B104,'[13]Div 9 forecast'!$D$590:$AF$671, 9,FALSE)</f>
        <v>498.9601885414437</v>
      </c>
      <c r="K104" s="398">
        <f>VLOOKUP($B104,'[13]Div 9 forecast'!$D$590:$AF$671, 10,FALSE)</f>
        <v>369.89468542835493</v>
      </c>
      <c r="L104" s="398">
        <f>VLOOKUP($B104,'[13]Div 9 forecast'!$D$590:$AF$671, 11,FALSE)</f>
        <v>369.89468542835493</v>
      </c>
      <c r="M104" s="398">
        <f>VLOOKUP($B104,'[13]Div 9 forecast'!$D$590:$AF$671, 12,FALSE)</f>
        <v>126.68892975921156</v>
      </c>
      <c r="N104" s="398">
        <f>VLOOKUP($B104,'[13]Div 9 forecast'!$D$590:$AF$671, 13,FALSE)</f>
        <v>0</v>
      </c>
      <c r="O104" s="398">
        <f>VLOOKUP($B104,'[13]Div 9 forecast'!$D$590:$AF$671, 14,FALSE)</f>
        <v>2476.444918942836</v>
      </c>
      <c r="P104" s="210">
        <f t="shared" si="7"/>
        <v>88357.973408100195</v>
      </c>
      <c r="Q104" s="148"/>
      <c r="R104" s="153"/>
      <c r="S104" s="148"/>
    </row>
    <row r="105" spans="1:19">
      <c r="A105" s="868">
        <f t="shared" si="9"/>
        <v>94</v>
      </c>
      <c r="B105" s="830">
        <v>9250</v>
      </c>
      <c r="C105" s="210" t="s">
        <v>948</v>
      </c>
      <c r="D105" s="597">
        <f>'[12]Division 009'!C201</f>
        <v>2590.35</v>
      </c>
      <c r="E105" s="597">
        <f>'[12]Division 009'!D201</f>
        <v>3244.3199999999997</v>
      </c>
      <c r="F105" s="597">
        <f>'[12]Division 009'!E201</f>
        <v>7378.8200000000006</v>
      </c>
      <c r="G105" s="597">
        <f>'[12]Division 009'!F201</f>
        <v>4033.83</v>
      </c>
      <c r="H105" s="597">
        <f>'[12]Division 009'!G201</f>
        <v>26251.22</v>
      </c>
      <c r="I105" s="597">
        <f>'[12]Division 009'!H201</f>
        <v>1996.4799999999998</v>
      </c>
      <c r="J105" s="398">
        <f>VLOOKUP($B105,'[13]Div 9 forecast'!$D$590:$AF$671, 9,FALSE)</f>
        <v>8298.8573735540467</v>
      </c>
      <c r="K105" s="398">
        <f>VLOOKUP($B105,'[13]Div 9 forecast'!$D$590:$AF$671, 10,FALSE)</f>
        <v>5128.562577837386</v>
      </c>
      <c r="L105" s="398">
        <f>VLOOKUP($B105,'[13]Div 9 forecast'!$D$590:$AF$671, 11,FALSE)</f>
        <v>5651.8963645145186</v>
      </c>
      <c r="M105" s="398">
        <f>VLOOKUP($B105,'[13]Div 9 forecast'!$D$590:$AF$671, 12,FALSE)</f>
        <v>5379.7349987209454</v>
      </c>
      <c r="N105" s="398">
        <f>VLOOKUP($B105,'[13]Div 9 forecast'!$D$590:$AF$671, 13,FALSE)</f>
        <v>5618.4472624900245</v>
      </c>
      <c r="O105" s="398">
        <f>VLOOKUP($B105,'[13]Div 9 forecast'!$D$590:$AF$671, 14,FALSE)</f>
        <v>4333.3296955949236</v>
      </c>
      <c r="P105" s="210">
        <f t="shared" si="7"/>
        <v>79905.848272711839</v>
      </c>
      <c r="Q105" s="148"/>
      <c r="R105" s="153"/>
      <c r="S105" s="148"/>
    </row>
    <row r="106" spans="1:19">
      <c r="A106" s="868">
        <f t="shared" si="9"/>
        <v>95</v>
      </c>
      <c r="B106" s="830">
        <v>9260</v>
      </c>
      <c r="C106" s="210" t="s">
        <v>949</v>
      </c>
      <c r="D106" s="597">
        <f>'[12]Division 009'!C202</f>
        <v>186990.49999999994</v>
      </c>
      <c r="E106" s="597">
        <f>'[12]Division 009'!D202</f>
        <v>142600.23000000004</v>
      </c>
      <c r="F106" s="597">
        <f>'[12]Division 009'!E202</f>
        <v>136940.19000000003</v>
      </c>
      <c r="G106" s="597">
        <f>'[12]Division 009'!F202</f>
        <v>137078.23000000004</v>
      </c>
      <c r="H106" s="597">
        <f>'[12]Division 009'!G202</f>
        <v>173568.5800000001</v>
      </c>
      <c r="I106" s="597">
        <f>'[12]Division 009'!H202</f>
        <v>139491.36999999994</v>
      </c>
      <c r="J106" s="398">
        <f>VLOOKUP($B106,'[13]Div 9 forecast'!$D$590:$AF$671, 9,FALSE)</f>
        <v>137766.11450063094</v>
      </c>
      <c r="K106" s="398">
        <f>VLOOKUP($B106,'[13]Div 9 forecast'!$D$590:$AF$671, 10,FALSE)</f>
        <v>143669.94615849186</v>
      </c>
      <c r="L106" s="398">
        <f>VLOOKUP($B106,'[13]Div 9 forecast'!$D$590:$AF$671, 11,FALSE)</f>
        <v>134797.84698634676</v>
      </c>
      <c r="M106" s="398">
        <f>VLOOKUP($B106,'[13]Div 9 forecast'!$D$590:$AF$671, 12,FALSE)</f>
        <v>166081.2001248654</v>
      </c>
      <c r="N106" s="398">
        <f>VLOOKUP($B106,'[13]Div 9 forecast'!$D$590:$AF$671, 13,FALSE)</f>
        <v>163969.49996972448</v>
      </c>
      <c r="O106" s="398">
        <f>VLOOKUP($B106,'[13]Div 9 forecast'!$D$590:$AF$671, 14,FALSE)</f>
        <v>158310.77061674808</v>
      </c>
      <c r="P106" s="210">
        <f>SUM(D106:O106)</f>
        <v>1821264.4783568077</v>
      </c>
      <c r="Q106" s="148"/>
      <c r="R106" s="153"/>
      <c r="S106" s="148"/>
    </row>
    <row r="107" spans="1:19">
      <c r="A107" s="868">
        <f t="shared" si="9"/>
        <v>96</v>
      </c>
      <c r="B107" s="830">
        <v>9270</v>
      </c>
      <c r="C107" s="210" t="s">
        <v>950</v>
      </c>
      <c r="D107" s="597">
        <f>'[12]Division 009'!C203</f>
        <v>0</v>
      </c>
      <c r="E107" s="597">
        <f>'[12]Division 009'!D203</f>
        <v>408.39</v>
      </c>
      <c r="F107" s="597">
        <f>'[12]Division 009'!E203</f>
        <v>0</v>
      </c>
      <c r="G107" s="597">
        <f>'[12]Division 009'!F203</f>
        <v>0</v>
      </c>
      <c r="H107" s="597">
        <f>'[12]Division 009'!G203</f>
        <v>0</v>
      </c>
      <c r="I107" s="597">
        <f>'[12]Division 009'!H203</f>
        <v>0</v>
      </c>
      <c r="J107" s="398">
        <f>VLOOKUP($B107,'[13]Div 9 forecast'!$D$590:$AF$671, 9,FALSE)</f>
        <v>50.387480075948382</v>
      </c>
      <c r="K107" s="398">
        <f>VLOOKUP($B107,'[13]Div 9 forecast'!$D$590:$AF$671, 10,FALSE)</f>
        <v>74.149626457937771</v>
      </c>
      <c r="L107" s="398">
        <f>VLOOKUP($B107,'[13]Div 9 forecast'!$D$590:$AF$671, 11,FALSE)</f>
        <v>77.997874440268134</v>
      </c>
      <c r="M107" s="398">
        <f>VLOOKUP($B107,'[13]Div 9 forecast'!$D$590:$AF$671, 12,FALSE)</f>
        <v>51.210495037780447</v>
      </c>
      <c r="N107" s="398">
        <f>VLOOKUP($B107,'[13]Div 9 forecast'!$D$590:$AF$671, 13,FALSE)</f>
        <v>100.06069305227264</v>
      </c>
      <c r="O107" s="398">
        <f>VLOOKUP($B107,'[13]Div 9 forecast'!$D$590:$AF$671, 14,FALSE)</f>
        <v>37.863330178633703</v>
      </c>
      <c r="P107" s="210">
        <f t="shared" si="7"/>
        <v>800.05949924284096</v>
      </c>
      <c r="Q107" s="148"/>
      <c r="R107" s="153"/>
      <c r="S107" s="148"/>
    </row>
    <row r="108" spans="1:19">
      <c r="A108" s="868">
        <f t="shared" si="9"/>
        <v>97</v>
      </c>
      <c r="B108" s="830">
        <v>9280</v>
      </c>
      <c r="C108" s="210" t="s">
        <v>951</v>
      </c>
      <c r="D108" s="597">
        <f>'[12]Division 009'!C204</f>
        <v>-5239.2</v>
      </c>
      <c r="E108" s="597">
        <f>'[12]Division 009'!D204</f>
        <v>5750.21</v>
      </c>
      <c r="F108" s="597">
        <f>'[12]Division 009'!E204</f>
        <v>22134.719999999998</v>
      </c>
      <c r="G108" s="597">
        <f>'[12]Division 009'!F204</f>
        <v>21252.720000000001</v>
      </c>
      <c r="H108" s="597">
        <f>'[12]Division 009'!G204</f>
        <v>-139296.40000000002</v>
      </c>
      <c r="I108" s="597">
        <f>'[12]Division 009'!H204</f>
        <v>20951.13</v>
      </c>
      <c r="J108" s="398">
        <f>VLOOKUP($B108,'[13]Div 9 forecast'!$D$590:$AF$671, 9,FALSE)</f>
        <v>2968.7857107947243</v>
      </c>
      <c r="K108" s="398">
        <f>VLOOKUP($B108,'[13]Div 9 forecast'!$D$590:$AF$671, 10,FALSE)</f>
        <v>550.84288165379371</v>
      </c>
      <c r="L108" s="398">
        <f>VLOOKUP($B108,'[13]Div 9 forecast'!$D$590:$AF$671, 11,FALSE)</f>
        <v>1263.3712608185429</v>
      </c>
      <c r="M108" s="398">
        <f>VLOOKUP($B108,'[13]Div 9 forecast'!$D$590:$AF$671, 12,FALSE)</f>
        <v>54210.260063492547</v>
      </c>
      <c r="N108" s="398">
        <f>VLOOKUP($B108,'[13]Div 9 forecast'!$D$590:$AF$671, 13,FALSE)</f>
        <v>56040.102290235074</v>
      </c>
      <c r="O108" s="398">
        <f>VLOOKUP($B108,'[13]Div 9 forecast'!$D$590:$AF$671, 14,FALSE)</f>
        <v>52179.31832828898</v>
      </c>
      <c r="P108" s="210">
        <f t="shared" si="7"/>
        <v>92765.860535283631</v>
      </c>
      <c r="Q108" s="148"/>
      <c r="R108" s="153"/>
      <c r="S108" s="148"/>
    </row>
    <row r="109" spans="1:19">
      <c r="A109" s="868">
        <f t="shared" si="9"/>
        <v>98</v>
      </c>
      <c r="B109" s="830">
        <v>9302</v>
      </c>
      <c r="C109" s="210" t="s">
        <v>857</v>
      </c>
      <c r="D109" s="597">
        <f>'[12]Division 009'!C205</f>
        <v>20219.580000000002</v>
      </c>
      <c r="E109" s="597">
        <f>'[12]Division 009'!D205</f>
        <v>4981.92</v>
      </c>
      <c r="F109" s="597">
        <f>'[12]Division 009'!E205</f>
        <v>4023.58</v>
      </c>
      <c r="G109" s="597">
        <f>'[12]Division 009'!F205</f>
        <v>13198.58</v>
      </c>
      <c r="H109" s="597">
        <f>'[12]Division 009'!G205</f>
        <v>3648.58</v>
      </c>
      <c r="I109" s="597">
        <f>'[12]Division 009'!H205</f>
        <v>5221.66</v>
      </c>
      <c r="J109" s="398">
        <f>VLOOKUP($B109,'[13]Div 9 forecast'!$D$590:$AF$671, 9,FALSE)</f>
        <v>10786.685642577435</v>
      </c>
      <c r="K109" s="398">
        <f>VLOOKUP($B109,'[13]Div 9 forecast'!$D$590:$AF$671, 10,FALSE)</f>
        <v>1805.0374144666691</v>
      </c>
      <c r="L109" s="398">
        <f>VLOOKUP($B109,'[13]Div 9 forecast'!$D$590:$AF$671, 11,FALSE)</f>
        <v>318.97569285404165</v>
      </c>
      <c r="M109" s="398">
        <f>VLOOKUP($B109,'[13]Div 9 forecast'!$D$590:$AF$671, 12,FALSE)</f>
        <v>11122.560093088243</v>
      </c>
      <c r="N109" s="398">
        <f>VLOOKUP($B109,'[13]Div 9 forecast'!$D$590:$AF$671, 13,FALSE)</f>
        <v>7550.7980645098341</v>
      </c>
      <c r="O109" s="398">
        <f>VLOOKUP($B109,'[13]Div 9 forecast'!$D$590:$AF$671, 14,FALSE)</f>
        <v>913.21355825836713</v>
      </c>
      <c r="P109" s="210">
        <f t="shared" ref="P109:P111" si="11">SUM(D109:O109)</f>
        <v>83791.170465754592</v>
      </c>
      <c r="Q109" s="148"/>
      <c r="R109" s="153"/>
      <c r="S109" s="148"/>
    </row>
    <row r="110" spans="1:19">
      <c r="A110" s="868">
        <f t="shared" si="9"/>
        <v>99</v>
      </c>
      <c r="B110" s="830">
        <v>9310</v>
      </c>
      <c r="C110" s="103" t="s">
        <v>184</v>
      </c>
      <c r="D110" s="597">
        <f>'[12]Division 009'!C206</f>
        <v>1304.52</v>
      </c>
      <c r="E110" s="597">
        <f>'[12]Division 009'!D206</f>
        <v>1304.52</v>
      </c>
      <c r="F110" s="597">
        <f>'[12]Division 009'!E206</f>
        <v>1304.52</v>
      </c>
      <c r="G110" s="597">
        <f>'[12]Division 009'!F206</f>
        <v>1304.52</v>
      </c>
      <c r="H110" s="597">
        <f>'[12]Division 009'!G206</f>
        <v>1299.57</v>
      </c>
      <c r="I110" s="597">
        <f>'[12]Division 009'!H206</f>
        <v>1299.57</v>
      </c>
      <c r="J110" s="398">
        <f>VLOOKUP($B110,'[13]Div 9 forecast'!$D$590:$AF$671, 9,FALSE)</f>
        <v>882.55584398636506</v>
      </c>
      <c r="K110" s="398">
        <f>VLOOKUP($B110,'[13]Div 9 forecast'!$D$590:$AF$671, 10,FALSE)</f>
        <v>925.47359523016974</v>
      </c>
      <c r="L110" s="398">
        <f>VLOOKUP($B110,'[13]Div 9 forecast'!$D$590:$AF$671, 11,FALSE)</f>
        <v>835.09472130024051</v>
      </c>
      <c r="M110" s="398">
        <f>VLOOKUP($B110,'[13]Div 9 forecast'!$D$590:$AF$671, 12,FALSE)</f>
        <v>874.3526220677569</v>
      </c>
      <c r="N110" s="398">
        <f>VLOOKUP($B110,'[13]Div 9 forecast'!$D$590:$AF$671, 13,FALSE)</f>
        <v>965.39881616555567</v>
      </c>
      <c r="O110" s="398">
        <f>VLOOKUP($B110,'[13]Div 9 forecast'!$D$590:$AF$671, 14,FALSE)</f>
        <v>966.10546468873281</v>
      </c>
      <c r="P110" s="210">
        <f t="shared" si="11"/>
        <v>13266.201063438821</v>
      </c>
      <c r="Q110" s="148"/>
      <c r="R110" s="153"/>
      <c r="S110" s="148"/>
    </row>
    <row r="111" spans="1:19">
      <c r="A111" s="868">
        <f t="shared" si="9"/>
        <v>100</v>
      </c>
      <c r="B111" s="830">
        <v>9320</v>
      </c>
      <c r="C111" s="80" t="s">
        <v>185</v>
      </c>
      <c r="D111" s="597">
        <f>'[12]Division 009'!C207</f>
        <v>0</v>
      </c>
      <c r="E111" s="597">
        <f>'[12]Division 009'!D207</f>
        <v>0</v>
      </c>
      <c r="F111" s="597">
        <f>'[12]Division 009'!E207</f>
        <v>0</v>
      </c>
      <c r="G111" s="597">
        <f>'[12]Division 009'!F207</f>
        <v>0</v>
      </c>
      <c r="H111" s="597">
        <f>'[12]Division 009'!G207</f>
        <v>0</v>
      </c>
      <c r="I111" s="597">
        <f>'[12]Division 009'!H207</f>
        <v>11000</v>
      </c>
      <c r="J111" s="398">
        <f>VLOOKUP($B111,'[13]Div 9 forecast'!$D$590:$AF$671, 9,FALSE)</f>
        <v>2387.51201154316</v>
      </c>
      <c r="K111" s="398">
        <f>VLOOKUP($B111,'[13]Div 9 forecast'!$D$590:$AF$671, 10,FALSE)</f>
        <v>401.49658844995366</v>
      </c>
      <c r="L111" s="398">
        <f>VLOOKUP($B111,'[13]Div 9 forecast'!$D$590:$AF$671, 11,FALSE)</f>
        <v>77.814566536550387</v>
      </c>
      <c r="M111" s="398">
        <f>VLOOKUP($B111,'[13]Div 9 forecast'!$D$590:$AF$671, 12,FALSE)</f>
        <v>2658.4844225913034</v>
      </c>
      <c r="N111" s="398">
        <f>VLOOKUP($B111,'[13]Div 9 forecast'!$D$590:$AF$671, 13,FALSE)</f>
        <v>1876.5518370186846</v>
      </c>
      <c r="O111" s="398">
        <f>VLOOKUP($B111,'[13]Div 9 forecast'!$D$590:$AF$671, 14,FALSE)</f>
        <v>410.21647050581043</v>
      </c>
      <c r="P111" s="210">
        <f t="shared" si="11"/>
        <v>18812.07589664546</v>
      </c>
      <c r="Q111" s="148"/>
      <c r="R111" s="148"/>
      <c r="S111" s="148"/>
    </row>
    <row r="112" spans="1:19">
      <c r="A112" s="868">
        <f t="shared" si="9"/>
        <v>101</v>
      </c>
      <c r="B112" s="148"/>
      <c r="C112" s="148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8"/>
      <c r="P112" s="212"/>
      <c r="Q112" s="212"/>
      <c r="R112" s="212"/>
      <c r="S112" s="212"/>
    </row>
    <row r="113" spans="1:19" ht="15.75" thickBot="1">
      <c r="A113" s="247">
        <f t="shared" ref="A113" si="12">A112+1</f>
        <v>102</v>
      </c>
      <c r="B113" s="212"/>
      <c r="C113" s="212" t="s">
        <v>734</v>
      </c>
      <c r="D113" s="214">
        <f t="shared" ref="D113:O113" si="13">SUM(D14:D112)</f>
        <v>-6672482.2500000037</v>
      </c>
      <c r="E113" s="214">
        <f t="shared" si="13"/>
        <v>-6217457.6300000008</v>
      </c>
      <c r="F113" s="214">
        <f t="shared" si="13"/>
        <v>-4422971.9699999988</v>
      </c>
      <c r="G113" s="214">
        <f t="shared" si="13"/>
        <v>-3199298.8199999989</v>
      </c>
      <c r="H113" s="214">
        <f t="shared" si="13"/>
        <v>-902644.24999999965</v>
      </c>
      <c r="I113" s="214">
        <f t="shared" si="13"/>
        <v>-492418.05999999761</v>
      </c>
      <c r="J113" s="786">
        <f t="shared" si="13"/>
        <v>-582906.88363032823</v>
      </c>
      <c r="K113" s="214">
        <f t="shared" si="13"/>
        <v>-1022669.0193461631</v>
      </c>
      <c r="L113" s="214">
        <f t="shared" si="13"/>
        <v>-949598.83906560391</v>
      </c>
      <c r="M113" s="214">
        <f t="shared" si="13"/>
        <v>-1434919.2210347608</v>
      </c>
      <c r="N113" s="214">
        <f t="shared" si="13"/>
        <v>-2922109.0341364355</v>
      </c>
      <c r="O113" s="214">
        <f t="shared" si="13"/>
        <v>-4978568.8392808149</v>
      </c>
      <c r="P113" s="214">
        <f>SUM(P12:P112)</f>
        <v>-27477123.277349036</v>
      </c>
      <c r="Q113" s="215"/>
      <c r="R113" s="210"/>
      <c r="S113" s="212"/>
    </row>
    <row r="114" spans="1:19" ht="15.75" thickTop="1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</row>
    <row r="115" spans="1:19">
      <c r="A115" s="212"/>
      <c r="B115" s="212"/>
      <c r="C115" s="212" t="s">
        <v>197</v>
      </c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R115" s="212"/>
      <c r="S115" s="212"/>
    </row>
    <row r="116" spans="1:19">
      <c r="A116" s="212"/>
      <c r="B116" s="212"/>
      <c r="C116" s="213" t="s">
        <v>1215</v>
      </c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592"/>
      <c r="P116" s="212"/>
      <c r="Q116" s="212"/>
      <c r="R116" s="212"/>
      <c r="S116" s="212"/>
    </row>
    <row r="117" spans="1:19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P117" s="212"/>
      <c r="Q117" s="216"/>
      <c r="R117" s="212"/>
      <c r="S117" s="212"/>
    </row>
    <row r="118" spans="1:19">
      <c r="A118" s="212"/>
      <c r="B118" s="212"/>
      <c r="C118" s="212"/>
      <c r="D118" s="212"/>
      <c r="E118" s="212"/>
      <c r="F118" s="212"/>
      <c r="G118" s="212"/>
      <c r="H118" s="212"/>
      <c r="I118" s="212"/>
      <c r="J118" s="216"/>
      <c r="K118" s="216"/>
      <c r="L118" s="212"/>
      <c r="M118" s="212"/>
      <c r="N118" s="212"/>
      <c r="P118" s="80"/>
      <c r="Q118" s="80"/>
      <c r="R118" s="212"/>
      <c r="S118" s="212"/>
    </row>
    <row r="119" spans="1:19">
      <c r="A119" s="212"/>
      <c r="B119" s="212" t="s">
        <v>953</v>
      </c>
      <c r="C119" s="213"/>
      <c r="D119" s="212"/>
      <c r="E119" s="212"/>
      <c r="F119" s="216"/>
      <c r="G119" s="212"/>
      <c r="H119" s="212"/>
      <c r="I119" s="212"/>
      <c r="J119" s="216"/>
      <c r="K119" s="216"/>
      <c r="L119" s="212"/>
      <c r="M119" s="212"/>
      <c r="N119" s="212"/>
      <c r="P119" s="607">
        <f>SUM(P30:P111)</f>
        <v>112413558.06211956</v>
      </c>
      <c r="R119" s="212"/>
      <c r="S119" s="212"/>
    </row>
    <row r="120" spans="1:19">
      <c r="A120" s="212"/>
      <c r="B120" s="212" t="s">
        <v>1679</v>
      </c>
      <c r="C120" s="212"/>
      <c r="D120" s="217"/>
      <c r="E120" s="217"/>
      <c r="F120" s="217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6"/>
      <c r="R120" s="212"/>
      <c r="S120" s="212"/>
    </row>
    <row r="121" spans="1:19">
      <c r="A121" s="212"/>
      <c r="B121" s="1" t="s">
        <v>1624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6"/>
      <c r="P121" s="212"/>
      <c r="Q121" s="216"/>
      <c r="R121" s="212"/>
      <c r="S121" s="212"/>
    </row>
    <row r="122" spans="1:19">
      <c r="A122" s="212"/>
      <c r="B122" s="212"/>
      <c r="C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t="s">
        <v>1670</v>
      </c>
      <c r="P122" s="212">
        <f>SUM(P47:P111)+P30+P31-P102</f>
        <v>15500391.191799995</v>
      </c>
      <c r="Q122" s="212"/>
      <c r="R122" s="212"/>
      <c r="S122" s="212"/>
    </row>
    <row r="123" spans="1:19">
      <c r="A123" s="212"/>
      <c r="B123" s="212"/>
      <c r="C123" s="212"/>
      <c r="D123" s="212">
        <f>SUM(D47:D111)+D30+D31-D102</f>
        <v>1422291.2999999998</v>
      </c>
      <c r="E123" s="212">
        <f t="shared" ref="E123:O123" si="14">SUM(E47:E111)+E30+E31-E102</f>
        <v>1161373.8199999998</v>
      </c>
      <c r="F123" s="212">
        <f t="shared" si="14"/>
        <v>1308387.2100000002</v>
      </c>
      <c r="G123" s="212">
        <f t="shared" si="14"/>
        <v>1295849.9900000002</v>
      </c>
      <c r="H123" s="212">
        <f t="shared" si="14"/>
        <v>1361516.6900000004</v>
      </c>
      <c r="I123" s="212">
        <f t="shared" si="14"/>
        <v>1943285.7999999998</v>
      </c>
      <c r="J123" s="212">
        <f t="shared" si="14"/>
        <v>1313767.3700000008</v>
      </c>
      <c r="K123" s="212">
        <f t="shared" si="14"/>
        <v>1146960.99</v>
      </c>
      <c r="L123" s="212">
        <f t="shared" si="14"/>
        <v>1074936.31</v>
      </c>
      <c r="M123" s="212">
        <f t="shared" si="14"/>
        <v>1174001.7990000006</v>
      </c>
      <c r="N123" s="212">
        <f t="shared" si="14"/>
        <v>1196940.9963000002</v>
      </c>
      <c r="O123" s="212">
        <f t="shared" si="14"/>
        <v>1101078.9165000003</v>
      </c>
      <c r="P123" s="216"/>
      <c r="Q123" s="212"/>
      <c r="R123" s="212"/>
      <c r="S123" s="212"/>
    </row>
    <row r="124" spans="1:19">
      <c r="A124" s="212"/>
      <c r="B124" s="212"/>
      <c r="C124" s="212"/>
      <c r="D124" s="212">
        <f>'[13]Div 9 forecast'!F578</f>
        <v>1422291.3</v>
      </c>
      <c r="E124" s="212">
        <f>'[13]Div 9 forecast'!G578</f>
        <v>1161373.82</v>
      </c>
      <c r="F124" s="212">
        <f>'[13]Div 9 forecast'!H578</f>
        <v>1308387.2099999997</v>
      </c>
      <c r="G124" s="212">
        <f>'[13]Div 9 forecast'!I578</f>
        <v>1295849.9899999998</v>
      </c>
      <c r="H124" s="212">
        <f>'[13]Div 9 forecast'!J578</f>
        <v>1361516.6900000002</v>
      </c>
      <c r="I124" s="212">
        <f>'[13]Div 9 forecast'!K578</f>
        <v>1943285.7999999996</v>
      </c>
      <c r="J124" s="212">
        <f>'[13]Div 9 forecast'!L578</f>
        <v>1313767.3699999999</v>
      </c>
      <c r="K124" s="212">
        <f>'[13]Div 9 forecast'!M578</f>
        <v>1146960.99</v>
      </c>
      <c r="L124" s="212">
        <f>'[13]Div 9 forecast'!N578</f>
        <v>1074936.31</v>
      </c>
      <c r="M124" s="212">
        <f>'[13]Div 9 forecast'!O578</f>
        <v>1174001.7989999999</v>
      </c>
      <c r="N124" s="212">
        <f>'[13]Div 9 forecast'!P578</f>
        <v>1196940.9963</v>
      </c>
      <c r="O124" s="212">
        <f>'[13]Div 9 forecast'!Q578</f>
        <v>1101078.9165000001</v>
      </c>
      <c r="P124" s="216"/>
      <c r="Q124" s="212"/>
      <c r="R124" s="212"/>
      <c r="S124" s="212"/>
    </row>
    <row r="125" spans="1:19">
      <c r="A125" s="212"/>
      <c r="B125" s="212"/>
      <c r="C125" s="592"/>
      <c r="D125" s="719">
        <f>D123-D124</f>
        <v>0</v>
      </c>
      <c r="E125" s="719">
        <f t="shared" ref="E125:O125" si="15">E123-E124</f>
        <v>0</v>
      </c>
      <c r="F125" s="719">
        <f t="shared" si="15"/>
        <v>0</v>
      </c>
      <c r="G125" s="719">
        <f t="shared" si="15"/>
        <v>0</v>
      </c>
      <c r="H125" s="719">
        <f t="shared" si="15"/>
        <v>0</v>
      </c>
      <c r="I125" s="719">
        <f t="shared" si="15"/>
        <v>0</v>
      </c>
      <c r="J125" s="719">
        <f t="shared" si="15"/>
        <v>0</v>
      </c>
      <c r="K125" s="719">
        <f t="shared" si="15"/>
        <v>0</v>
      </c>
      <c r="L125" s="719">
        <f t="shared" si="15"/>
        <v>0</v>
      </c>
      <c r="M125" s="719">
        <f t="shared" si="15"/>
        <v>0</v>
      </c>
      <c r="N125" s="719">
        <f t="shared" si="15"/>
        <v>0</v>
      </c>
      <c r="O125" s="719">
        <f t="shared" si="15"/>
        <v>0</v>
      </c>
      <c r="P125" s="216"/>
      <c r="Q125" s="212"/>
      <c r="R125" s="212"/>
      <c r="S125" s="212"/>
    </row>
    <row r="126" spans="1:19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3"/>
      <c r="O126" s="170"/>
      <c r="P126" s="216"/>
      <c r="Q126" s="212"/>
      <c r="R126" s="212"/>
      <c r="S126" s="212"/>
    </row>
    <row r="127" spans="1:19">
      <c r="A127" s="212"/>
      <c r="B127" s="212"/>
      <c r="C127" s="59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463"/>
      <c r="P127" s="212"/>
      <c r="Q127" s="212"/>
      <c r="R127" s="212"/>
      <c r="S127" s="212"/>
    </row>
    <row r="128" spans="1:19">
      <c r="A128" s="212"/>
      <c r="B128" s="212"/>
      <c r="C128" s="9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170"/>
      <c r="P128" s="212"/>
      <c r="Q128" s="212"/>
      <c r="R128" s="212"/>
      <c r="S128" s="212"/>
    </row>
    <row r="129" spans="1:19">
      <c r="A129" s="212"/>
      <c r="B129" s="212"/>
      <c r="C129" s="9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170"/>
      <c r="P129" s="216"/>
      <c r="Q129" s="212"/>
      <c r="R129" s="212"/>
      <c r="S129" s="212"/>
    </row>
    <row r="130" spans="1:19">
      <c r="A130" s="212"/>
      <c r="B130" s="212"/>
      <c r="C130" s="9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6"/>
      <c r="P130" s="212"/>
      <c r="Q130" s="212"/>
      <c r="R130" s="212"/>
      <c r="S130" s="212"/>
    </row>
    <row r="131" spans="1:19">
      <c r="A131" s="212"/>
      <c r="B131" s="212"/>
      <c r="C131" s="9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6"/>
      <c r="P131" s="212"/>
      <c r="Q131" s="212"/>
      <c r="R131" s="212"/>
      <c r="S131" s="212"/>
    </row>
    <row r="132" spans="1:19">
      <c r="P132" s="212"/>
    </row>
    <row r="133" spans="1:19">
      <c r="P133" s="212"/>
    </row>
    <row r="134" spans="1:19">
      <c r="P134" s="212"/>
    </row>
    <row r="135" spans="1:19">
      <c r="P135" s="212"/>
    </row>
    <row r="136" spans="1:19">
      <c r="E136" s="793"/>
      <c r="F136" s="793"/>
      <c r="G136" s="793"/>
      <c r="H136" s="793"/>
      <c r="I136" s="793"/>
      <c r="J136" s="793"/>
      <c r="K136" s="793"/>
      <c r="L136" s="793"/>
      <c r="M136" s="793"/>
      <c r="N136" s="793"/>
      <c r="O136" s="793"/>
    </row>
    <row r="137" spans="1:19">
      <c r="D137" s="720"/>
      <c r="E137" s="720"/>
      <c r="F137" s="720"/>
      <c r="G137" s="720"/>
      <c r="H137" s="720"/>
      <c r="I137" s="720"/>
      <c r="J137" s="720"/>
      <c r="K137" s="720"/>
      <c r="L137" s="720"/>
      <c r="M137" s="720"/>
      <c r="N137" s="720"/>
      <c r="O137" s="720"/>
      <c r="P137" s="720"/>
    </row>
    <row r="138" spans="1:19">
      <c r="J138" s="80"/>
      <c r="K138" s="80"/>
      <c r="L138" s="80"/>
      <c r="M138" s="80"/>
      <c r="N138" s="80"/>
      <c r="O138" s="80"/>
    </row>
    <row r="139" spans="1:19">
      <c r="D139" s="721"/>
    </row>
    <row r="141" spans="1:19">
      <c r="J141" s="79"/>
    </row>
    <row r="142" spans="1:19">
      <c r="E142" s="793"/>
      <c r="F142" s="793"/>
      <c r="G142" s="793"/>
      <c r="H142" s="793"/>
      <c r="I142" s="793"/>
      <c r="J142" s="793"/>
    </row>
    <row r="143" spans="1:19">
      <c r="C143" s="592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8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5"/>
  <sheetViews>
    <sheetView view="pageBreakPreview" zoomScale="80" zoomScaleNormal="70" zoomScaleSheetLayoutView="80" workbookViewId="0">
      <pane xSplit="3" ySplit="11" topLeftCell="D33" activePane="bottomRight" state="frozen"/>
      <selection activeCell="F55" sqref="F55"/>
      <selection pane="topRight" activeCell="F55" sqref="F55"/>
      <selection pane="bottomLeft" activeCell="F55" sqref="F55"/>
      <selection pane="bottomRight" activeCell="D61" sqref="D61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5" width="13.109375" style="80" bestFit="1" customWidth="1"/>
    <col min="6" max="6" width="11.44140625" style="80" customWidth="1"/>
    <col min="7" max="8" width="13.109375" style="80" bestFit="1" customWidth="1"/>
    <col min="9" max="9" width="11.109375" style="80" customWidth="1"/>
    <col min="10" max="10" width="11.6640625" style="80" customWidth="1"/>
    <col min="11" max="14" width="13.109375" style="80" bestFit="1" customWidth="1"/>
    <col min="15" max="15" width="12.44140625" style="80" customWidth="1"/>
    <col min="16" max="16" width="14.109375" style="80" bestFit="1" customWidth="1"/>
    <col min="17" max="17" width="9.109375" style="80" customWidth="1"/>
    <col min="18" max="18" width="12.5546875" style="80" customWidth="1"/>
    <col min="19" max="22" width="7.109375" style="80"/>
    <col min="23" max="23" width="11.33203125" style="80" customWidth="1"/>
    <col min="24" max="24" width="12.5546875" style="80" customWidth="1"/>
    <col min="25" max="16384" width="7.109375" style="80"/>
  </cols>
  <sheetData>
    <row r="1" spans="1:18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81"/>
    </row>
    <row r="2" spans="1:18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81"/>
    </row>
    <row r="3" spans="1:18" ht="15.75">
      <c r="A3" s="1210" t="s">
        <v>186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81"/>
    </row>
    <row r="4" spans="1:18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95"/>
    </row>
    <row r="5" spans="1:18">
      <c r="A5" s="81"/>
      <c r="B5" s="150"/>
      <c r="C5" s="150"/>
      <c r="D5" s="150"/>
      <c r="E5" s="150"/>
      <c r="F5" s="150"/>
      <c r="G5" s="870"/>
      <c r="H5" s="671"/>
      <c r="I5" s="201"/>
      <c r="J5" s="201"/>
      <c r="K5" s="201"/>
      <c r="L5" s="201"/>
      <c r="M5" s="201"/>
      <c r="N5" s="201"/>
      <c r="O5" s="201"/>
      <c r="P5" s="195"/>
      <c r="Q5" s="195"/>
    </row>
    <row r="6" spans="1:18" ht="15.75">
      <c r="A6" s="233" t="str">
        <f>'C.2.2 B 09'!A6</f>
        <v>Data:___X____Base Period________Forecasted Period</v>
      </c>
      <c r="B6" s="195"/>
      <c r="C6" s="233"/>
      <c r="D6" s="195"/>
      <c r="E6" s="195"/>
      <c r="F6" s="195"/>
      <c r="G6" s="195"/>
      <c r="H6" s="871"/>
      <c r="I6" s="195"/>
      <c r="K6" s="872"/>
      <c r="L6" s="195"/>
      <c r="M6" s="195"/>
      <c r="N6" s="201"/>
      <c r="O6" s="201"/>
      <c r="P6" s="506" t="s">
        <v>1430</v>
      </c>
      <c r="Q6" s="195"/>
    </row>
    <row r="7" spans="1:18">
      <c r="A7" s="233" t="str">
        <f>'C.2.2 B 09'!A7</f>
        <v>Type of Filing:___X____Original________Updated ________Revised</v>
      </c>
      <c r="B7" s="195"/>
      <c r="C7" s="233"/>
      <c r="D7" s="195"/>
      <c r="E7" s="671"/>
      <c r="F7" s="195"/>
      <c r="G7" s="195"/>
      <c r="H7" s="195"/>
      <c r="I7" s="195"/>
      <c r="J7" s="195"/>
      <c r="K7" s="195"/>
      <c r="L7" s="195"/>
      <c r="M7" s="195"/>
      <c r="N7" s="201"/>
      <c r="O7" s="201"/>
      <c r="P7" s="507" t="s">
        <v>37</v>
      </c>
      <c r="Q7" s="195"/>
    </row>
    <row r="8" spans="1:18">
      <c r="A8" s="233" t="str">
        <f>'C.2.2 B 09'!A8</f>
        <v>Workpaper Reference No(s).____________________</v>
      </c>
      <c r="B8" s="237"/>
      <c r="C8" s="873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508" t="str">
        <f>'C.1'!J9</f>
        <v>Witness: Waller, Densman</v>
      </c>
      <c r="Q8" s="195"/>
    </row>
    <row r="9" spans="1:18">
      <c r="A9" s="861" t="s">
        <v>93</v>
      </c>
      <c r="B9" s="862" t="s">
        <v>100</v>
      </c>
      <c r="C9" s="863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1157" t="str">
        <f>'C.2.2 B 09'!I9</f>
        <v>actual</v>
      </c>
      <c r="J9" s="295" t="str">
        <f>'C.2.2 B 09'!J9</f>
        <v>Forecasted</v>
      </c>
      <c r="K9" s="295" t="str">
        <f>'C.2.2 B 09'!K9</f>
        <v>Forecasted</v>
      </c>
      <c r="L9" s="295" t="str">
        <f>'C.2.2 B 09'!L9</f>
        <v>Forecasted</v>
      </c>
      <c r="M9" s="295" t="str">
        <f>'C.2.2 B 09'!M9</f>
        <v>Budgeted</v>
      </c>
      <c r="N9" s="295" t="str">
        <f>'C.2.2 B 09'!N9</f>
        <v>Budgeted</v>
      </c>
      <c r="O9" s="295" t="str">
        <f>'C.2.2 B 09'!O9</f>
        <v>Budgeted</v>
      </c>
      <c r="P9" s="874"/>
      <c r="Q9" s="210"/>
    </row>
    <row r="10" spans="1:18">
      <c r="A10" s="864" t="s">
        <v>99</v>
      </c>
      <c r="B10" s="865" t="s">
        <v>99</v>
      </c>
      <c r="C10" s="866" t="s">
        <v>952</v>
      </c>
      <c r="D10" s="207">
        <f>'C.2.2 B 09'!D10</f>
        <v>43101</v>
      </c>
      <c r="E10" s="207">
        <f>'C.2.2 B 09'!F10</f>
        <v>43160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1158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210"/>
    </row>
    <row r="11" spans="1:18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115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10"/>
    </row>
    <row r="12" spans="1:18">
      <c r="A12" s="195"/>
      <c r="B12" s="830" t="s">
        <v>733</v>
      </c>
      <c r="C12" s="103" t="s">
        <v>724</v>
      </c>
      <c r="D12" s="597">
        <f>SUM('[12]Division 002'!C45:C46)</f>
        <v>-377820.12</v>
      </c>
      <c r="E12" s="597">
        <f>SUM('[12]Division 002'!D45:D46)</f>
        <v>-245393.37</v>
      </c>
      <c r="F12" s="597">
        <f>SUM('[12]Division 002'!E45:E46)</f>
        <v>-4062670</v>
      </c>
      <c r="G12" s="597">
        <f>SUM('[12]Division 002'!F45:F46)</f>
        <v>-447509.79000000004</v>
      </c>
      <c r="H12" s="597">
        <f>SUM('[12]Division 002'!G45:G46)</f>
        <v>5945.6299999999756</v>
      </c>
      <c r="I12" s="1160">
        <f>SUM('[12]Division 002'!H45:H46)</f>
        <v>1958359</v>
      </c>
      <c r="J12" s="597"/>
      <c r="K12" s="597"/>
      <c r="L12" s="597"/>
      <c r="M12" s="597"/>
      <c r="N12" s="597"/>
      <c r="O12" s="597"/>
      <c r="P12" s="210">
        <f t="shared" ref="P12:P13" si="0">SUM(D12:O12)</f>
        <v>-3169088.6500000004</v>
      </c>
      <c r="Q12" s="210"/>
      <c r="R12" s="691"/>
    </row>
    <row r="13" spans="1:18">
      <c r="A13" s="195"/>
      <c r="B13" s="195"/>
      <c r="C13" s="195"/>
      <c r="D13" s="209"/>
      <c r="E13" s="209"/>
      <c r="F13" s="209"/>
      <c r="G13" s="209"/>
      <c r="H13" s="209"/>
      <c r="I13" s="1159"/>
      <c r="J13" s="209"/>
      <c r="K13" s="209"/>
      <c r="L13" s="209"/>
      <c r="M13" s="209"/>
      <c r="N13" s="209"/>
      <c r="O13" s="209"/>
      <c r="P13" s="210">
        <f t="shared" si="0"/>
        <v>0</v>
      </c>
      <c r="Q13" s="210"/>
    </row>
    <row r="14" spans="1:18">
      <c r="A14" s="461">
        <v>1</v>
      </c>
      <c r="B14" s="830">
        <v>4030</v>
      </c>
      <c r="C14" s="195" t="s">
        <v>91</v>
      </c>
      <c r="D14" s="597">
        <f>'[12]Division 002'!C$43</f>
        <v>-8.7311491370201111E-11</v>
      </c>
      <c r="E14" s="597">
        <f>'[12]Division 002'!D$43</f>
        <v>-2.9103830456733704E-11</v>
      </c>
      <c r="F14" s="597">
        <f>'[12]Division 002'!E$43</f>
        <v>1.8630430531629827E-11</v>
      </c>
      <c r="G14" s="597">
        <f>'[12]Division 002'!F$43</f>
        <v>-7.2759576141834259E-12</v>
      </c>
      <c r="H14" s="597">
        <f>'[12]Division 002'!G$43</f>
        <v>4.3655745685100555E-11</v>
      </c>
      <c r="I14" s="597">
        <f>'[12]Division 002'!H$43</f>
        <v>-1.4551915228366852E-11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0">
        <f>SUM(D14:O14)</f>
        <v>-7.595701845275471E-11</v>
      </c>
      <c r="Q14" s="671"/>
      <c r="R14" s="691"/>
    </row>
    <row r="15" spans="1:18">
      <c r="A15" s="461">
        <f>A14+1</f>
        <v>2</v>
      </c>
      <c r="B15" s="365">
        <v>4081</v>
      </c>
      <c r="C15" s="210" t="s">
        <v>862</v>
      </c>
      <c r="D15" s="597">
        <f>'[12]Division 002'!C$44</f>
        <v>9.9999997930808604E-3</v>
      </c>
      <c r="E15" s="597">
        <f>'[12]Division 002'!D$44</f>
        <v>-9.9999999270181661E-3</v>
      </c>
      <c r="F15" s="597">
        <f>'[12]Division 002'!E$44</f>
        <v>-9.9999998905957455E-3</v>
      </c>
      <c r="G15" s="597">
        <f>'[12]Division 002'!F$44</f>
        <v>-7.3349326612515142E-11</v>
      </c>
      <c r="H15" s="597">
        <f>'[12]Division 002'!G$44</f>
        <v>-1.936228954946273E-13</v>
      </c>
      <c r="I15" s="597">
        <f>'[12]Division 002'!H$44</f>
        <v>-1095600.9999999995</v>
      </c>
      <c r="J15" s="597">
        <v>0</v>
      </c>
      <c r="K15" s="597">
        <v>0</v>
      </c>
      <c r="L15" s="597">
        <v>0</v>
      </c>
      <c r="M15" s="597">
        <v>0</v>
      </c>
      <c r="N15" s="597">
        <v>0</v>
      </c>
      <c r="O15" s="597">
        <v>0</v>
      </c>
      <c r="P15" s="210">
        <f>SUM(D15:O15)</f>
        <v>-1095601.0099999995</v>
      </c>
      <c r="Q15" s="671"/>
    </row>
    <row r="16" spans="1:18">
      <c r="A16" s="461">
        <f t="shared" ref="A16:A44" si="1">A15+1</f>
        <v>3</v>
      </c>
      <c r="B16" s="365">
        <v>8210</v>
      </c>
      <c r="C16" s="103" t="s">
        <v>891</v>
      </c>
      <c r="D16" s="597">
        <f>0</f>
        <v>0</v>
      </c>
      <c r="E16" s="597">
        <f>0</f>
        <v>0</v>
      </c>
      <c r="F16" s="597">
        <f>0</f>
        <v>0</v>
      </c>
      <c r="G16" s="597">
        <f>0</f>
        <v>0</v>
      </c>
      <c r="H16" s="597">
        <f>0</f>
        <v>0</v>
      </c>
      <c r="I16" s="597">
        <f>0</f>
        <v>0</v>
      </c>
      <c r="J16" s="597">
        <f>VLOOKUP($B16, '[13]Div 2 forecast'!$D$316:$AF$392,J$53,FALSE)</f>
        <v>0</v>
      </c>
      <c r="K16" s="597">
        <f>VLOOKUP($B16, '[13]Div 2 forecast'!$D$316:$AF$392,K$53,FALSE)</f>
        <v>0</v>
      </c>
      <c r="L16" s="597">
        <f>VLOOKUP($B16, '[13]Div 2 forecast'!$D$316:$AF$392,L$53,FALSE)</f>
        <v>0</v>
      </c>
      <c r="M16" s="597">
        <f>VLOOKUP($B16, '[13]Div 2 forecast'!$D$316:$AF$392,M$53,FALSE)</f>
        <v>0</v>
      </c>
      <c r="N16" s="597">
        <f>VLOOKUP($B16, '[13]Div 2 forecast'!$D$316:$AF$392,N$53,FALSE)</f>
        <v>0</v>
      </c>
      <c r="O16" s="597">
        <f>VLOOKUP($B16, '[13]Div 2 forecast'!$D$316:$AF$392,O$53,FALSE)</f>
        <v>0</v>
      </c>
      <c r="P16" s="210">
        <f>SUM(D16:O16)</f>
        <v>0</v>
      </c>
      <c r="Q16" s="671"/>
    </row>
    <row r="17" spans="1:17">
      <c r="A17" s="461">
        <f t="shared" si="1"/>
        <v>4</v>
      </c>
      <c r="B17" s="365">
        <v>8700</v>
      </c>
      <c r="C17" s="210" t="s">
        <v>913</v>
      </c>
      <c r="D17" s="597">
        <f>'[12]Division 002'!C$58</f>
        <v>105093.06</v>
      </c>
      <c r="E17" s="597">
        <f>'[12]Division 002'!D$58</f>
        <v>437.56999999999994</v>
      </c>
      <c r="F17" s="597">
        <f>'[12]Division 002'!E$58</f>
        <v>61169.62</v>
      </c>
      <c r="G17" s="597">
        <f>'[12]Division 002'!F$58</f>
        <v>1554.5600000000004</v>
      </c>
      <c r="H17" s="597">
        <f>'[12]Division 002'!G$58</f>
        <v>605.97</v>
      </c>
      <c r="I17" s="597">
        <f>'[12]Division 002'!H$58</f>
        <v>425.95000000000005</v>
      </c>
      <c r="J17" s="597">
        <f>VLOOKUP($B17, '[13]Div 2 forecast'!$D$316:$AF$392,J$53,FALSE)</f>
        <v>38642.594294187787</v>
      </c>
      <c r="K17" s="597">
        <f>VLOOKUP($B17, '[13]Div 2 forecast'!$D$316:$AF$392,K$53,FALSE)</f>
        <v>37284.435460113811</v>
      </c>
      <c r="L17" s="597">
        <f>VLOOKUP($B17, '[13]Div 2 forecast'!$D$316:$AF$392,L$53,FALSE)</f>
        <v>41646.382363016877</v>
      </c>
      <c r="M17" s="597">
        <f>VLOOKUP($B17, '[13]Div 2 forecast'!$D$316:$AF$392,M$53,FALSE)</f>
        <v>43123.109068778911</v>
      </c>
      <c r="N17" s="597">
        <f>VLOOKUP($B17, '[13]Div 2 forecast'!$D$316:$AF$392,N$53,FALSE)</f>
        <v>41579.684456368952</v>
      </c>
      <c r="O17" s="597">
        <f>VLOOKUP($B17, '[13]Div 2 forecast'!$D$316:$AF$392,O$53,FALSE)</f>
        <v>40013.009654285685</v>
      </c>
      <c r="P17" s="210">
        <f t="shared" ref="P17:P39" si="2">SUM(D17:O17)</f>
        <v>411575.94529675203</v>
      </c>
      <c r="Q17" s="210"/>
    </row>
    <row r="18" spans="1:17">
      <c r="A18" s="461">
        <f t="shared" si="1"/>
        <v>5</v>
      </c>
      <c r="B18" s="365">
        <v>8560</v>
      </c>
      <c r="C18" s="103" t="s">
        <v>1675</v>
      </c>
      <c r="D18" s="597">
        <f>'[12]Division 002'!C57</f>
        <v>0</v>
      </c>
      <c r="E18" s="597">
        <f>'[12]Division 002'!D57</f>
        <v>0</v>
      </c>
      <c r="F18" s="597">
        <f>'[12]Division 002'!E57</f>
        <v>11697.349999999999</v>
      </c>
      <c r="G18" s="597">
        <f>'[12]Division 002'!F57</f>
        <v>-5627.96</v>
      </c>
      <c r="H18" s="597">
        <f>'[12]Division 002'!G57</f>
        <v>913.13</v>
      </c>
      <c r="I18" s="597">
        <f>'[12]Division 002'!H57</f>
        <v>0</v>
      </c>
      <c r="J18" s="597">
        <f>VLOOKUP($B18, '[13]Div 2 forecast'!$D$316:$AF$392,J$53,FALSE)</f>
        <v>1251.1502839575282</v>
      </c>
      <c r="K18" s="597">
        <f>VLOOKUP($B18, '[13]Div 2 forecast'!$D$316:$AF$392,K$53,FALSE)</f>
        <v>1307.9262575422924</v>
      </c>
      <c r="L18" s="597">
        <f>VLOOKUP($B18, '[13]Div 2 forecast'!$D$316:$AF$392,L$53,FALSE)</f>
        <v>1137.3703620299625</v>
      </c>
      <c r="M18" s="597">
        <f>VLOOKUP($B18, '[13]Div 2 forecast'!$D$316:$AF$392,M$53,FALSE)</f>
        <v>1355.403785149804</v>
      </c>
      <c r="N18" s="597">
        <f>VLOOKUP($B18, '[13]Div 2 forecast'!$D$316:$AF$392,N$53,FALSE)</f>
        <v>1296.5753999793653</v>
      </c>
      <c r="O18" s="597">
        <f>VLOOKUP($B18, '[13]Div 2 forecast'!$D$316:$AF$392,O$53,FALSE)</f>
        <v>1237.7470150847839</v>
      </c>
      <c r="P18" s="210">
        <f t="shared" si="2"/>
        <v>14568.693103743733</v>
      </c>
      <c r="Q18" s="210"/>
    </row>
    <row r="19" spans="1:17">
      <c r="A19" s="461">
        <f t="shared" si="1"/>
        <v>6</v>
      </c>
      <c r="B19" s="365">
        <v>8740</v>
      </c>
      <c r="C19" s="210" t="s">
        <v>915</v>
      </c>
      <c r="D19" s="597">
        <f>'[12]Division 002'!C$59</f>
        <v>6615.1800000000012</v>
      </c>
      <c r="E19" s="597">
        <f>'[12]Division 002'!D$59</f>
        <v>3692.97</v>
      </c>
      <c r="F19" s="597">
        <f>'[12]Division 002'!E$59</f>
        <v>4171.82</v>
      </c>
      <c r="G19" s="597">
        <f>'[12]Division 002'!F$59</f>
        <v>-6957.86</v>
      </c>
      <c r="H19" s="597">
        <f>'[12]Division 002'!G$59</f>
        <v>5773.13</v>
      </c>
      <c r="I19" s="597">
        <f>'[12]Division 002'!H$59</f>
        <v>3329.45</v>
      </c>
      <c r="J19" s="597">
        <f>VLOOKUP($B19, '[13]Div 2 forecast'!$D$316:$AF$392,J$53,FALSE)</f>
        <v>6080.2000638087602</v>
      </c>
      <c r="K19" s="597">
        <f>VLOOKUP($B19, '[13]Div 2 forecast'!$D$316:$AF$392,K$53,FALSE)</f>
        <v>6080.2000638087602</v>
      </c>
      <c r="L19" s="597">
        <f>VLOOKUP($B19, '[13]Div 2 forecast'!$D$316:$AF$392,L$53,FALSE)</f>
        <v>6084.1805548488965</v>
      </c>
      <c r="M19" s="597">
        <f>VLOOKUP($B19, '[13]Div 2 forecast'!$D$316:$AF$392,M$53,FALSE)</f>
        <v>6227.4782322938163</v>
      </c>
      <c r="N19" s="597">
        <f>VLOOKUP($B19, '[13]Div 2 forecast'!$D$316:$AF$392,N$53,FALSE)</f>
        <v>6227.4782322938163</v>
      </c>
      <c r="O19" s="597">
        <f>VLOOKUP($B19, '[13]Div 2 forecast'!$D$316:$AF$392,O$53,FALSE)</f>
        <v>6227.4782322938163</v>
      </c>
      <c r="P19" s="210">
        <f t="shared" si="2"/>
        <v>53551.705379347877</v>
      </c>
      <c r="Q19" s="210"/>
    </row>
    <row r="20" spans="1:17">
      <c r="A20" s="461">
        <f t="shared" si="1"/>
        <v>7</v>
      </c>
      <c r="B20" s="365">
        <v>8780</v>
      </c>
      <c r="C20" s="210" t="s">
        <v>919</v>
      </c>
      <c r="D20" s="597">
        <f>0</f>
        <v>0</v>
      </c>
      <c r="E20" s="597">
        <f>0</f>
        <v>0</v>
      </c>
      <c r="F20" s="597">
        <f>0</f>
        <v>0</v>
      </c>
      <c r="G20" s="597">
        <f>0</f>
        <v>0</v>
      </c>
      <c r="H20" s="597">
        <f>0</f>
        <v>0</v>
      </c>
      <c r="I20" s="597">
        <f>0</f>
        <v>0</v>
      </c>
      <c r="J20" s="597">
        <f>VLOOKUP($B20, '[13]Div 2 forecast'!$D$316:$AF$392,J$53,FALSE)</f>
        <v>0</v>
      </c>
      <c r="K20" s="597">
        <f>VLOOKUP($B20, '[13]Div 2 forecast'!$D$316:$AF$392,K$53,FALSE)</f>
        <v>0</v>
      </c>
      <c r="L20" s="597">
        <f>VLOOKUP($B20, '[13]Div 2 forecast'!$D$316:$AF$392,L$53,FALSE)</f>
        <v>0</v>
      </c>
      <c r="M20" s="597">
        <f>VLOOKUP($B20, '[13]Div 2 forecast'!$D$316:$AF$392,M$53,FALSE)</f>
        <v>0</v>
      </c>
      <c r="N20" s="597">
        <f>VLOOKUP($B20, '[13]Div 2 forecast'!$D$316:$AF$392,N$53,FALSE)</f>
        <v>0</v>
      </c>
      <c r="O20" s="597">
        <f>VLOOKUP($B20, '[13]Div 2 forecast'!$D$316:$AF$392,O$53,FALSE)</f>
        <v>0</v>
      </c>
      <c r="P20" s="210">
        <f t="shared" si="2"/>
        <v>0</v>
      </c>
      <c r="Q20" s="210"/>
    </row>
    <row r="21" spans="1:17">
      <c r="A21" s="461">
        <f t="shared" si="1"/>
        <v>8</v>
      </c>
      <c r="B21" s="365">
        <v>8800</v>
      </c>
      <c r="C21" s="210" t="s">
        <v>921</v>
      </c>
      <c r="D21" s="597">
        <f>0</f>
        <v>0</v>
      </c>
      <c r="E21" s="597">
        <f>0</f>
        <v>0</v>
      </c>
      <c r="F21" s="597">
        <f>0</f>
        <v>0</v>
      </c>
      <c r="G21" s="597">
        <f>0</f>
        <v>0</v>
      </c>
      <c r="H21" s="597">
        <f>0</f>
        <v>0</v>
      </c>
      <c r="I21" s="597">
        <f>0</f>
        <v>0</v>
      </c>
      <c r="J21" s="597">
        <f>VLOOKUP($B21, '[13]Div 2 forecast'!$D$316:$AF$392,J$53,FALSE)</f>
        <v>0</v>
      </c>
      <c r="K21" s="597">
        <f>VLOOKUP($B21, '[13]Div 2 forecast'!$D$316:$AF$392,K$53,FALSE)</f>
        <v>0</v>
      </c>
      <c r="L21" s="597">
        <f>VLOOKUP($B21, '[13]Div 2 forecast'!$D$316:$AF$392,L$53,FALSE)</f>
        <v>0</v>
      </c>
      <c r="M21" s="597">
        <f>VLOOKUP($B21, '[13]Div 2 forecast'!$D$316:$AF$392,M$53,FALSE)</f>
        <v>0</v>
      </c>
      <c r="N21" s="597">
        <f>VLOOKUP($B21, '[13]Div 2 forecast'!$D$316:$AF$392,N$53,FALSE)</f>
        <v>0</v>
      </c>
      <c r="O21" s="597">
        <f>VLOOKUP($B21, '[13]Div 2 forecast'!$D$316:$AF$392,O$53,FALSE)</f>
        <v>0</v>
      </c>
      <c r="P21" s="210">
        <f t="shared" si="2"/>
        <v>0</v>
      </c>
      <c r="Q21" s="210"/>
    </row>
    <row r="22" spans="1:17">
      <c r="A22" s="461">
        <f t="shared" si="1"/>
        <v>9</v>
      </c>
      <c r="B22" s="365">
        <v>8850</v>
      </c>
      <c r="C22" s="210" t="s">
        <v>923</v>
      </c>
      <c r="D22" s="597">
        <f>'[12]Division 002'!C$60</f>
        <v>0</v>
      </c>
      <c r="E22" s="597">
        <f>'[12]Division 002'!D$60</f>
        <v>0</v>
      </c>
      <c r="F22" s="597">
        <f>'[12]Division 002'!E$60</f>
        <v>22774820.939999998</v>
      </c>
      <c r="G22" s="597">
        <f>'[12]Division 002'!F$60</f>
        <v>2090628.03</v>
      </c>
      <c r="H22" s="597">
        <f>'[12]Division 002'!G$60</f>
        <v>51305.329999999994</v>
      </c>
      <c r="I22" s="597">
        <f>'[12]Division 002'!H$60</f>
        <v>-237350.62</v>
      </c>
      <c r="J22" s="597">
        <f>VLOOKUP($B22, '[13]Div 2 forecast'!$D$316:$AF$392,J$53,FALSE)</f>
        <v>17861545.543989062</v>
      </c>
      <c r="K22" s="597">
        <f>VLOOKUP($B22, '[13]Div 2 forecast'!$D$316:$AF$392,K$53,FALSE)</f>
        <v>16440371.644552551</v>
      </c>
      <c r="L22" s="597">
        <f>VLOOKUP($B22, '[13]Div 2 forecast'!$D$316:$AF$392,L$53,FALSE)</f>
        <v>16012005.44674883</v>
      </c>
      <c r="M22" s="597">
        <f>VLOOKUP($B22, '[13]Div 2 forecast'!$D$316:$AF$392,M$53,FALSE)</f>
        <v>16712709.838847796</v>
      </c>
      <c r="N22" s="597">
        <f>VLOOKUP($B22, '[13]Div 2 forecast'!$D$316:$AF$392,N$53,FALSE)</f>
        <v>16588628.948105497</v>
      </c>
      <c r="O22" s="597">
        <f>VLOOKUP($B22, '[13]Div 2 forecast'!$D$316:$AF$392,O$53,FALSE)</f>
        <v>16696240.615405273</v>
      </c>
      <c r="P22" s="210">
        <f t="shared" si="2"/>
        <v>124990905.71764901</v>
      </c>
      <c r="Q22" s="210"/>
    </row>
    <row r="23" spans="1:17">
      <c r="A23" s="461">
        <f t="shared" si="1"/>
        <v>10</v>
      </c>
      <c r="B23" s="365">
        <v>8900</v>
      </c>
      <c r="C23" s="80" t="s">
        <v>927</v>
      </c>
      <c r="D23" s="597">
        <f>0</f>
        <v>0</v>
      </c>
      <c r="E23" s="597">
        <f>0</f>
        <v>0</v>
      </c>
      <c r="F23" s="597">
        <f>0</f>
        <v>0</v>
      </c>
      <c r="G23" s="597">
        <f>0</f>
        <v>0</v>
      </c>
      <c r="H23" s="597">
        <f>0</f>
        <v>0</v>
      </c>
      <c r="I23" s="597">
        <f>0</f>
        <v>0</v>
      </c>
      <c r="J23" s="597">
        <f>VLOOKUP($B23, '[13]Div 2 forecast'!$D$316:$AF$392,J$53,FALSE)</f>
        <v>0</v>
      </c>
      <c r="K23" s="597">
        <f>VLOOKUP($B23, '[13]Div 2 forecast'!$D$316:$AF$392,K$53,FALSE)</f>
        <v>0</v>
      </c>
      <c r="L23" s="597">
        <f>VLOOKUP($B23, '[13]Div 2 forecast'!$D$316:$AF$392,L$53,FALSE)</f>
        <v>0</v>
      </c>
      <c r="M23" s="597">
        <f>VLOOKUP($B23, '[13]Div 2 forecast'!$D$316:$AF$392,M$53,FALSE)</f>
        <v>0</v>
      </c>
      <c r="N23" s="597">
        <f>VLOOKUP($B23, '[13]Div 2 forecast'!$D$316:$AF$392,N$53,FALSE)</f>
        <v>0</v>
      </c>
      <c r="O23" s="597">
        <f>VLOOKUP($B23, '[13]Div 2 forecast'!$D$316:$AF$392,O$53,FALSE)</f>
        <v>0</v>
      </c>
      <c r="P23" s="210">
        <f t="shared" si="2"/>
        <v>0</v>
      </c>
      <c r="Q23" s="210"/>
    </row>
    <row r="24" spans="1:17">
      <c r="A24" s="461">
        <f t="shared" si="1"/>
        <v>11</v>
      </c>
      <c r="B24" s="365">
        <v>9010</v>
      </c>
      <c r="C24" s="210" t="s">
        <v>181</v>
      </c>
      <c r="D24" s="597">
        <f>0</f>
        <v>0</v>
      </c>
      <c r="E24" s="597">
        <f>0</f>
        <v>0</v>
      </c>
      <c r="F24" s="597">
        <f>0</f>
        <v>0</v>
      </c>
      <c r="G24" s="597">
        <f>0</f>
        <v>0</v>
      </c>
      <c r="H24" s="597">
        <f>0</f>
        <v>0</v>
      </c>
      <c r="I24" s="597">
        <f>0</f>
        <v>0</v>
      </c>
      <c r="J24" s="597">
        <f>VLOOKUP($B24, '[13]Div 2 forecast'!$D$316:$AF$392,J$53,FALSE)</f>
        <v>0</v>
      </c>
      <c r="K24" s="597">
        <f>VLOOKUP($B24, '[13]Div 2 forecast'!$D$316:$AF$392,K$53,FALSE)</f>
        <v>0</v>
      </c>
      <c r="L24" s="597">
        <f>VLOOKUP($B24, '[13]Div 2 forecast'!$D$316:$AF$392,L$53,FALSE)</f>
        <v>0</v>
      </c>
      <c r="M24" s="597">
        <f>VLOOKUP($B24, '[13]Div 2 forecast'!$D$316:$AF$392,M$53,FALSE)</f>
        <v>0</v>
      </c>
      <c r="N24" s="597">
        <f>VLOOKUP($B24, '[13]Div 2 forecast'!$D$316:$AF$392,N$53,FALSE)</f>
        <v>0</v>
      </c>
      <c r="O24" s="597">
        <f>VLOOKUP($B24, '[13]Div 2 forecast'!$D$316:$AF$392,O$53,FALSE)</f>
        <v>0</v>
      </c>
      <c r="P24" s="210">
        <f t="shared" si="2"/>
        <v>0</v>
      </c>
      <c r="Q24" s="210"/>
    </row>
    <row r="25" spans="1:17">
      <c r="A25" s="461">
        <f t="shared" si="1"/>
        <v>12</v>
      </c>
      <c r="B25" s="365">
        <v>9030</v>
      </c>
      <c r="C25" s="210" t="s">
        <v>937</v>
      </c>
      <c r="D25" s="597">
        <f>'[12]Division 002'!C$61</f>
        <v>5314.14</v>
      </c>
      <c r="E25" s="597">
        <f>'[12]Division 002'!D$61</f>
        <v>4451.7900000000009</v>
      </c>
      <c r="F25" s="597">
        <f>'[12]Division 002'!E$61</f>
        <v>11757.28</v>
      </c>
      <c r="G25" s="597">
        <f>'[12]Division 002'!F$61</f>
        <v>9548.5999999999985</v>
      </c>
      <c r="H25" s="597">
        <f>'[12]Division 002'!G$61</f>
        <v>10028.459999999999</v>
      </c>
      <c r="I25" s="597">
        <f>'[12]Division 002'!H$61</f>
        <v>9467.9599999999991</v>
      </c>
      <c r="J25" s="597">
        <f>VLOOKUP($B25, '[13]Div 2 forecast'!$D$316:$AF$392,J$53,FALSE)</f>
        <v>9034.4977460613172</v>
      </c>
      <c r="K25" s="597">
        <f>VLOOKUP($B25, '[13]Div 2 forecast'!$D$316:$AF$392,K$53,FALSE)</f>
        <v>9443.8705384486675</v>
      </c>
      <c r="L25" s="597">
        <f>VLOOKUP($B25, '[13]Div 2 forecast'!$D$316:$AF$392,L$53,FALSE)</f>
        <v>8222.4023610399545</v>
      </c>
      <c r="M25" s="597">
        <f>VLOOKUP($B25, '[13]Div 2 forecast'!$D$316:$AF$392,M$53,FALSE)</f>
        <v>9785.5032919504702</v>
      </c>
      <c r="N25" s="597">
        <f>VLOOKUP($B25, '[13]Div 2 forecast'!$D$316:$AF$392,N$53,FALSE)</f>
        <v>9360.6198530089114</v>
      </c>
      <c r="O25" s="597">
        <f>VLOOKUP($B25, '[13]Div 2 forecast'!$D$316:$AF$392,O$53,FALSE)</f>
        <v>8948.3590208724509</v>
      </c>
      <c r="P25" s="210">
        <f t="shared" si="2"/>
        <v>105363.48281138178</v>
      </c>
      <c r="Q25" s="210"/>
    </row>
    <row r="26" spans="1:17">
      <c r="A26" s="461">
        <f t="shared" si="1"/>
        <v>13</v>
      </c>
      <c r="B26" s="365">
        <v>9100</v>
      </c>
      <c r="C26" s="210" t="s">
        <v>940</v>
      </c>
      <c r="D26" s="597">
        <f>0</f>
        <v>0</v>
      </c>
      <c r="E26" s="597">
        <f>0</f>
        <v>0</v>
      </c>
      <c r="F26" s="597">
        <f>0</f>
        <v>0</v>
      </c>
      <c r="G26" s="597">
        <f>0</f>
        <v>0</v>
      </c>
      <c r="H26" s="597">
        <f>0</f>
        <v>0</v>
      </c>
      <c r="I26" s="597">
        <f>0</f>
        <v>0</v>
      </c>
      <c r="J26" s="597">
        <f>VLOOKUP($B26, '[13]Div 2 forecast'!$D$316:$AF$392,J$53,FALSE)</f>
        <v>0</v>
      </c>
      <c r="K26" s="597">
        <f>VLOOKUP($B26, '[13]Div 2 forecast'!$D$316:$AF$392,K$53,FALSE)</f>
        <v>0</v>
      </c>
      <c r="L26" s="597">
        <f>VLOOKUP($B26, '[13]Div 2 forecast'!$D$316:$AF$392,L$53,FALSE)</f>
        <v>0</v>
      </c>
      <c r="M26" s="597">
        <f>VLOOKUP($B26, '[13]Div 2 forecast'!$D$316:$AF$392,M$53,FALSE)</f>
        <v>0</v>
      </c>
      <c r="N26" s="597">
        <f>VLOOKUP($B26, '[13]Div 2 forecast'!$D$316:$AF$392,N$53,FALSE)</f>
        <v>0</v>
      </c>
      <c r="O26" s="597">
        <f>VLOOKUP($B26, '[13]Div 2 forecast'!$D$316:$AF$392,O$53,FALSE)</f>
        <v>0</v>
      </c>
      <c r="P26" s="210">
        <f t="shared" si="2"/>
        <v>0</v>
      </c>
      <c r="Q26" s="210"/>
    </row>
    <row r="27" spans="1:17">
      <c r="A27" s="461">
        <f>A26+1</f>
        <v>14</v>
      </c>
      <c r="B27" s="365">
        <v>9120</v>
      </c>
      <c r="C27" s="103" t="s">
        <v>942</v>
      </c>
      <c r="D27" s="597">
        <f>'[12]Division 002'!C$62</f>
        <v>8288.11</v>
      </c>
      <c r="E27" s="597">
        <f>'[12]Division 002'!D$62</f>
        <v>0</v>
      </c>
      <c r="F27" s="597">
        <f>'[12]Division 002'!E$62</f>
        <v>346.65999999999997</v>
      </c>
      <c r="G27" s="597">
        <f>'[12]Division 002'!F$62</f>
        <v>0</v>
      </c>
      <c r="H27" s="597">
        <f>'[12]Division 002'!G$62</f>
        <v>0</v>
      </c>
      <c r="I27" s="597">
        <f>'[12]Division 002'!H$62</f>
        <v>19.329999999999998</v>
      </c>
      <c r="J27" s="597">
        <f>VLOOKUP($B27, '[13]Div 2 forecast'!$D$316:$AF$392,J$53,FALSE)</f>
        <v>1658.6494379315238</v>
      </c>
      <c r="K27" s="597">
        <f>VLOOKUP($B27, '[13]Div 2 forecast'!$D$316:$AF$392,K$53,FALSE)</f>
        <v>1658.6494379315238</v>
      </c>
      <c r="L27" s="597">
        <f>VLOOKUP($B27, '[13]Div 2 forecast'!$D$316:$AF$392,L$53,FALSE)</f>
        <v>1962.3632121776618</v>
      </c>
      <c r="M27" s="597">
        <f>VLOOKUP($B27, '[13]Div 2 forecast'!$D$316:$AF$392,M$53,FALSE)</f>
        <v>2004.527380402722</v>
      </c>
      <c r="N27" s="597">
        <f>VLOOKUP($B27, '[13]Div 2 forecast'!$D$316:$AF$392,N$53,FALSE)</f>
        <v>1757.4717072090091</v>
      </c>
      <c r="O27" s="597">
        <f>VLOOKUP($B27, '[13]Div 2 forecast'!$D$316:$AF$392,O$53,FALSE)</f>
        <v>2642.7545361531475</v>
      </c>
      <c r="P27" s="210">
        <f t="shared" si="2"/>
        <v>20338.51571180559</v>
      </c>
      <c r="Q27" s="210"/>
    </row>
    <row r="28" spans="1:17">
      <c r="A28" s="461">
        <f t="shared" si="1"/>
        <v>15</v>
      </c>
      <c r="B28" s="365">
        <v>9160</v>
      </c>
      <c r="C28" s="80" t="s">
        <v>1625</v>
      </c>
      <c r="D28" s="597">
        <f>'[12]Division 002'!C$63</f>
        <v>0</v>
      </c>
      <c r="E28" s="597">
        <f>'[12]Division 002'!D$63</f>
        <v>0</v>
      </c>
      <c r="F28" s="597">
        <f>'[12]Division 002'!E$63</f>
        <v>0</v>
      </c>
      <c r="G28" s="597">
        <f>'[12]Division 002'!F$63</f>
        <v>0</v>
      </c>
      <c r="H28" s="597">
        <f>'[12]Division 002'!G$63</f>
        <v>1009.4100000000001</v>
      </c>
      <c r="I28" s="597">
        <f>'[12]Division 002'!H$63</f>
        <v>590.86</v>
      </c>
      <c r="J28" s="597">
        <f>VLOOKUP($B28, '[13]Div 2 forecast'!$D$316:$AF$392,J$53,FALSE)</f>
        <v>414.41647504638718</v>
      </c>
      <c r="K28" s="597">
        <f>VLOOKUP($B28, '[13]Div 2 forecast'!$D$316:$AF$392,K$53,FALSE)</f>
        <v>384.72042385077884</v>
      </c>
      <c r="L28" s="597">
        <f>VLOOKUP($B28, '[13]Div 2 forecast'!$D$316:$AF$392,L$53,FALSE)</f>
        <v>478.55780548637415</v>
      </c>
      <c r="M28" s="597">
        <f>VLOOKUP($B28, '[13]Div 2 forecast'!$D$316:$AF$392,M$53,FALSE)</f>
        <v>470.03580058955606</v>
      </c>
      <c r="N28" s="597">
        <f>VLOOKUP($B28, '[13]Div 2 forecast'!$D$316:$AF$392,N$53,FALSE)</f>
        <v>454.48042641391157</v>
      </c>
      <c r="O28" s="597">
        <f>VLOOKUP($B28, '[13]Div 2 forecast'!$D$316:$AF$392,O$53,FALSE)</f>
        <v>438.68271256977442</v>
      </c>
      <c r="P28" s="210">
        <f t="shared" si="2"/>
        <v>4241.1636439567819</v>
      </c>
      <c r="Q28" s="210"/>
    </row>
    <row r="29" spans="1:17">
      <c r="A29" s="461">
        <f t="shared" si="1"/>
        <v>16</v>
      </c>
      <c r="B29" s="365">
        <v>9200</v>
      </c>
      <c r="C29" s="210" t="s">
        <v>182</v>
      </c>
      <c r="D29" s="597">
        <f>'[12]Division 002'!C64</f>
        <v>205452.03000000044</v>
      </c>
      <c r="E29" s="597">
        <f>'[12]Division 002'!D64</f>
        <v>-627908.35999999952</v>
      </c>
      <c r="F29" s="597">
        <f>'[12]Division 002'!E64</f>
        <v>-2192440.3900000015</v>
      </c>
      <c r="G29" s="597">
        <f>'[12]Division 002'!F64</f>
        <v>-401667.04</v>
      </c>
      <c r="H29" s="597">
        <f>'[12]Division 002'!G64</f>
        <v>-899220.40000000037</v>
      </c>
      <c r="I29" s="597">
        <f>'[12]Division 002'!H64</f>
        <v>-5306855.2700000005</v>
      </c>
      <c r="J29" s="597">
        <f>VLOOKUP($B29, '[13]Div 2 forecast'!$D$316:$AF$392,J$53,FALSE)</f>
        <v>-19561056.065618351</v>
      </c>
      <c r="K29" s="597">
        <f>VLOOKUP($B29, '[13]Div 2 forecast'!$D$316:$AF$392,K$53,FALSE)</f>
        <v>-17493190.580157496</v>
      </c>
      <c r="L29" s="597">
        <f>VLOOKUP($B29, '[13]Div 2 forecast'!$D$316:$AF$392,L$53,FALSE)</f>
        <v>-17457760.963170577</v>
      </c>
      <c r="M29" s="597">
        <f>VLOOKUP($B29, '[13]Div 2 forecast'!$D$316:$AF$392,M$53,FALSE)</f>
        <v>-17685819.005585607</v>
      </c>
      <c r="N29" s="597">
        <f>VLOOKUP($B29, '[13]Div 2 forecast'!$D$316:$AF$392,N$53,FALSE)</f>
        <v>-17715212.440171465</v>
      </c>
      <c r="O29" s="597">
        <f>VLOOKUP($B29, '[13]Div 2 forecast'!$D$316:$AF$392,O$53,FALSE)</f>
        <v>-18042504.776857302</v>
      </c>
      <c r="P29" s="210">
        <f t="shared" si="2"/>
        <v>-117178183.2615608</v>
      </c>
      <c r="Q29" s="210"/>
    </row>
    <row r="30" spans="1:17">
      <c r="A30" s="461">
        <f t="shared" si="1"/>
        <v>17</v>
      </c>
      <c r="B30" s="365">
        <v>9210</v>
      </c>
      <c r="C30" s="210" t="s">
        <v>944</v>
      </c>
      <c r="D30" s="597">
        <f>'[12]Division 002'!C65</f>
        <v>2142789.89</v>
      </c>
      <c r="E30" s="597">
        <f>'[12]Division 002'!D65</f>
        <v>1771426.0000000002</v>
      </c>
      <c r="F30" s="597">
        <f>'[12]Division 002'!E65</f>
        <v>1682549.0900000017</v>
      </c>
      <c r="G30" s="597">
        <f>'[12]Division 002'!F65</f>
        <v>2041980.0199999998</v>
      </c>
      <c r="H30" s="597">
        <f>'[12]Division 002'!G65</f>
        <v>1933264.6700000002</v>
      </c>
      <c r="I30" s="597">
        <f>'[12]Division 002'!H65</f>
        <v>2210856.0799999987</v>
      </c>
      <c r="J30" s="597">
        <f>VLOOKUP($B30, '[13]Div 2 forecast'!$D$316:$AF$392,J$53,FALSE)</f>
        <v>2521098.9709735257</v>
      </c>
      <c r="K30" s="597">
        <f>VLOOKUP($B30, '[13]Div 2 forecast'!$D$316:$AF$392,K$53,FALSE)</f>
        <v>2498874.7890390232</v>
      </c>
      <c r="L30" s="597">
        <f>VLOOKUP($B30, '[13]Div 2 forecast'!$D$316:$AF$392,L$53,FALSE)</f>
        <v>2668458.4234368834</v>
      </c>
      <c r="M30" s="597">
        <f>VLOOKUP($B30, '[13]Div 2 forecast'!$D$316:$AF$392,M$53,FALSE)</f>
        <v>2925306.7005633302</v>
      </c>
      <c r="N30" s="597">
        <f>VLOOKUP($B30, '[13]Div 2 forecast'!$D$316:$AF$392,N$53,FALSE)</f>
        <v>2709077.1102262349</v>
      </c>
      <c r="O30" s="597">
        <f>VLOOKUP($B30, '[13]Div 2 forecast'!$D$316:$AF$392,O$53,FALSE)</f>
        <v>2859362.9128975086</v>
      </c>
      <c r="P30" s="210">
        <f t="shared" si="2"/>
        <v>27965044.657136507</v>
      </c>
      <c r="Q30" s="210"/>
    </row>
    <row r="31" spans="1:17">
      <c r="A31" s="461">
        <f t="shared" si="1"/>
        <v>18</v>
      </c>
      <c r="B31" s="365">
        <v>9220</v>
      </c>
      <c r="C31" s="210" t="s">
        <v>945</v>
      </c>
      <c r="D31" s="597">
        <f>'[12]Division 002'!C66</f>
        <v>-8771029.8199999966</v>
      </c>
      <c r="E31" s="597">
        <f>'[12]Division 002'!D66</f>
        <v>-7951782.2399999928</v>
      </c>
      <c r="F31" s="597">
        <f>'[12]Division 002'!E66</f>
        <v>-10587389.510000018</v>
      </c>
      <c r="G31" s="597">
        <f>'[12]Division 002'!F66</f>
        <v>-8252355.5500000073</v>
      </c>
      <c r="H31" s="597">
        <f>'[12]Division 002'!G66</f>
        <v>-13352610.350000011</v>
      </c>
      <c r="I31" s="597">
        <f>'[12]Division 002'!H66</f>
        <v>-5009611.8700000076</v>
      </c>
      <c r="J31" s="1170">
        <f t="shared" ref="J31:O31" si="3">-(SUM(J14:J30,J32:J39))</f>
        <v>-9656779.6599999983</v>
      </c>
      <c r="K31" s="1170">
        <f t="shared" si="3"/>
        <v>-8022888.9000000004</v>
      </c>
      <c r="L31" s="1170">
        <f t="shared" si="3"/>
        <v>-7941749.2699999996</v>
      </c>
      <c r="M31" s="1170">
        <f t="shared" si="3"/>
        <v>-8813418.5976000018</v>
      </c>
      <c r="N31" s="1170">
        <f t="shared" si="3"/>
        <v>-8811470.5757999998</v>
      </c>
      <c r="O31" s="1170">
        <f t="shared" si="3"/>
        <v>-8957491.9595000036</v>
      </c>
      <c r="P31" s="210">
        <f t="shared" si="2"/>
        <v>-106128578.30290002</v>
      </c>
      <c r="Q31" s="671"/>
    </row>
    <row r="32" spans="1:17">
      <c r="A32" s="461">
        <f t="shared" si="1"/>
        <v>19</v>
      </c>
      <c r="B32" s="365">
        <v>9230</v>
      </c>
      <c r="C32" s="210" t="s">
        <v>946</v>
      </c>
      <c r="D32" s="597">
        <f>'[12]Division 002'!C67</f>
        <v>689944.08</v>
      </c>
      <c r="E32" s="597">
        <f>'[12]Division 002'!D67</f>
        <v>802488.29</v>
      </c>
      <c r="F32" s="597">
        <f>'[12]Division 002'!E67</f>
        <v>1004663.3899999999</v>
      </c>
      <c r="G32" s="597">
        <f>'[12]Division 002'!F67</f>
        <v>1133846.07</v>
      </c>
      <c r="H32" s="597">
        <f>'[12]Division 002'!G67</f>
        <v>1038731.66</v>
      </c>
      <c r="I32" s="597">
        <f>'[12]Division 002'!H67</f>
        <v>1348513.2000000002</v>
      </c>
      <c r="J32" s="597">
        <f>VLOOKUP($B32, '[13]Div 2 forecast'!$D$316:$AF$392,J$53,FALSE)</f>
        <v>843364.55307996424</v>
      </c>
      <c r="K32" s="597">
        <f>VLOOKUP($B32, '[13]Div 2 forecast'!$D$316:$AF$392,K$53,FALSE)</f>
        <v>804370.74365660711</v>
      </c>
      <c r="L32" s="597">
        <f>VLOOKUP($B32, '[13]Div 2 forecast'!$D$316:$AF$392,L$53,FALSE)</f>
        <v>921592.14476675098</v>
      </c>
      <c r="M32" s="597">
        <f>VLOOKUP($B32, '[13]Div 2 forecast'!$D$316:$AF$392,M$53,FALSE)</f>
        <v>903706.85312850692</v>
      </c>
      <c r="N32" s="597">
        <f>VLOOKUP($B32, '[13]Div 2 forecast'!$D$316:$AF$392,N$53,FALSE)</f>
        <v>881820.04260078259</v>
      </c>
      <c r="O32" s="597">
        <f>VLOOKUP($B32, '[13]Div 2 forecast'!$D$316:$AF$392,O$53,FALSE)</f>
        <v>924837.86126786133</v>
      </c>
      <c r="P32" s="210">
        <f t="shared" si="2"/>
        <v>11297878.888500474</v>
      </c>
      <c r="Q32" s="210"/>
    </row>
    <row r="33" spans="1:18">
      <c r="A33" s="461">
        <f t="shared" si="1"/>
        <v>20</v>
      </c>
      <c r="B33" s="365">
        <v>9240</v>
      </c>
      <c r="C33" s="210" t="s">
        <v>947</v>
      </c>
      <c r="D33" s="597">
        <f>'[12]Division 002'!C68</f>
        <v>11426.37</v>
      </c>
      <c r="E33" s="597">
        <f>'[12]Division 002'!D68</f>
        <v>11426.37</v>
      </c>
      <c r="F33" s="597">
        <f>'[12]Division 002'!E68</f>
        <v>10818.54</v>
      </c>
      <c r="G33" s="597">
        <f>'[12]Division 002'!F68</f>
        <v>10818.54</v>
      </c>
      <c r="H33" s="597">
        <f>'[12]Division 002'!G68</f>
        <v>10818.54</v>
      </c>
      <c r="I33" s="597">
        <f>'[12]Division 002'!H68</f>
        <v>10818.54</v>
      </c>
      <c r="J33" s="597">
        <f>VLOOKUP($B33, '[13]Div 2 forecast'!$D$316:$AF$392,J$53,FALSE)</f>
        <v>12394.447543773815</v>
      </c>
      <c r="K33" s="597">
        <f>VLOOKUP($B33, '[13]Div 2 forecast'!$D$316:$AF$392,K$53,FALSE)</f>
        <v>12394.447543773815</v>
      </c>
      <c r="L33" s="597">
        <f>VLOOKUP($B33, '[13]Div 2 forecast'!$D$316:$AF$392,L$53,FALSE)</f>
        <v>12394.447543773815</v>
      </c>
      <c r="M33" s="597">
        <f>VLOOKUP($B33, '[13]Div 2 forecast'!$D$316:$AF$392,M$53,FALSE)</f>
        <v>11862.783070920941</v>
      </c>
      <c r="N33" s="597">
        <f>VLOOKUP($B33, '[13]Div 2 forecast'!$D$316:$AF$392,N$53,FALSE)</f>
        <v>11969.080473871165</v>
      </c>
      <c r="O33" s="597">
        <f>VLOOKUP($B33, '[13]Div 2 forecast'!$D$316:$AF$392,O$53,FALSE)</f>
        <v>11969.080473871165</v>
      </c>
      <c r="P33" s="210">
        <f t="shared" si="2"/>
        <v>139111.18664998471</v>
      </c>
      <c r="Q33" s="210"/>
    </row>
    <row r="34" spans="1:18">
      <c r="A34" s="461">
        <f t="shared" si="1"/>
        <v>21</v>
      </c>
      <c r="B34" s="365">
        <v>9250</v>
      </c>
      <c r="C34" s="210" t="s">
        <v>948</v>
      </c>
      <c r="D34" s="597">
        <f>'[12]Division 002'!C69</f>
        <v>1587462.79</v>
      </c>
      <c r="E34" s="597">
        <f>'[12]Division 002'!D69</f>
        <v>1587212.5</v>
      </c>
      <c r="F34" s="597">
        <f>'[12]Division 002'!E69</f>
        <v>1877081.03</v>
      </c>
      <c r="G34" s="597">
        <f>'[12]Division 002'!F69</f>
        <v>1587312.98</v>
      </c>
      <c r="H34" s="597">
        <f>'[12]Division 002'!G69</f>
        <v>1587108.86</v>
      </c>
      <c r="I34" s="597">
        <f>'[12]Division 002'!H69</f>
        <v>1084488.76</v>
      </c>
      <c r="J34" s="597">
        <f>VLOOKUP($B34, '[13]Div 2 forecast'!$D$316:$AF$392,J$53,FALSE)</f>
        <v>1745129.4516917898</v>
      </c>
      <c r="K34" s="597">
        <f>VLOOKUP($B34, '[13]Div 2 forecast'!$D$316:$AF$392,K$53,FALSE)</f>
        <v>1745642.7077378915</v>
      </c>
      <c r="L34" s="597">
        <f>VLOOKUP($B34, '[13]Div 2 forecast'!$D$316:$AF$392,L$53,FALSE)</f>
        <v>1744100.8520364882</v>
      </c>
      <c r="M34" s="597">
        <f>VLOOKUP($B34, '[13]Div 2 forecast'!$D$316:$AF$392,M$53,FALSE)</f>
        <v>1671403.0849176818</v>
      </c>
      <c r="N34" s="597">
        <f>VLOOKUP($B34, '[13]Div 2 forecast'!$D$316:$AF$392,N$53,FALSE)</f>
        <v>1685752.7062109997</v>
      </c>
      <c r="O34" s="597">
        <f>VLOOKUP($B34, '[13]Div 2 forecast'!$D$316:$AF$392,O$53,FALSE)</f>
        <v>1685233.7418968389</v>
      </c>
      <c r="P34" s="210">
        <f t="shared" si="2"/>
        <v>19587929.464491688</v>
      </c>
      <c r="Q34" s="210"/>
    </row>
    <row r="35" spans="1:18">
      <c r="A35" s="461">
        <f t="shared" si="1"/>
        <v>22</v>
      </c>
      <c r="B35" s="365">
        <v>9260</v>
      </c>
      <c r="C35" s="210" t="s">
        <v>949</v>
      </c>
      <c r="D35" s="597">
        <f>'[12]Division 002'!C70</f>
        <v>2898621.8099999959</v>
      </c>
      <c r="E35" s="597">
        <f>'[12]Division 002'!D70</f>
        <v>3461897.68</v>
      </c>
      <c r="F35" s="597">
        <f>'[12]Division 002'!E70</f>
        <v>5497584.4900000039</v>
      </c>
      <c r="G35" s="597">
        <f>'[12]Division 002'!F70</f>
        <v>3538375.3599999989</v>
      </c>
      <c r="H35" s="597">
        <f>'[12]Division 002'!G70</f>
        <v>9024586.9699999951</v>
      </c>
      <c r="I35" s="597">
        <f>'[12]Division 002'!H70</f>
        <v>4392184.0100000063</v>
      </c>
      <c r="J35" s="597">
        <f>VLOOKUP($B35, '[13]Div 2 forecast'!$D$316:$AF$392,J$53,FALSE)</f>
        <v>5377761.3954458954</v>
      </c>
      <c r="K35" s="597">
        <f>VLOOKUP($B35, '[13]Div 2 forecast'!$D$316:$AF$392,K$53,FALSE)</f>
        <v>3157123.1841811757</v>
      </c>
      <c r="L35" s="597">
        <f>VLOOKUP($B35, '[13]Div 2 forecast'!$D$316:$AF$392,L$53,FALSE)</f>
        <v>2979917.7938350714</v>
      </c>
      <c r="M35" s="597">
        <f>VLOOKUP($B35, '[13]Div 2 forecast'!$D$316:$AF$392,M$53,FALSE)</f>
        <v>3372566.911502487</v>
      </c>
      <c r="N35" s="597">
        <f>VLOOKUP($B35, '[13]Div 2 forecast'!$D$316:$AF$392,N$53,FALSE)</f>
        <v>3772917.2047713022</v>
      </c>
      <c r="O35" s="597">
        <f>VLOOKUP($B35, '[13]Div 2 forecast'!$D$316:$AF$392,O$53,FALSE)</f>
        <v>3709118.7164591928</v>
      </c>
      <c r="P35" s="210">
        <f t="shared" si="2"/>
        <v>51182655.526195131</v>
      </c>
      <c r="Q35" s="210"/>
    </row>
    <row r="36" spans="1:18">
      <c r="A36" s="461">
        <f t="shared" si="1"/>
        <v>23</v>
      </c>
      <c r="B36" s="365">
        <v>9301</v>
      </c>
      <c r="C36" s="210" t="s">
        <v>183</v>
      </c>
      <c r="D36" s="597">
        <f>0</f>
        <v>0</v>
      </c>
      <c r="E36" s="597">
        <f>0</f>
        <v>0</v>
      </c>
      <c r="F36" s="597">
        <f>0</f>
        <v>0</v>
      </c>
      <c r="G36" s="597">
        <f>0</f>
        <v>0</v>
      </c>
      <c r="H36" s="597">
        <f>0</f>
        <v>0</v>
      </c>
      <c r="I36" s="597">
        <f>0</f>
        <v>0</v>
      </c>
      <c r="J36" s="597">
        <f>VLOOKUP($B36, '[13]Div 2 forecast'!$D$316:$AF$392,J$53,FALSE)</f>
        <v>0</v>
      </c>
      <c r="K36" s="597">
        <f>VLOOKUP($B36, '[13]Div 2 forecast'!$D$316:$AF$392,K$53,FALSE)</f>
        <v>0</v>
      </c>
      <c r="L36" s="597">
        <f>VLOOKUP($B36, '[13]Div 2 forecast'!$D$316:$AF$392,L$53,FALSE)</f>
        <v>0</v>
      </c>
      <c r="M36" s="597">
        <f>VLOOKUP($B36, '[13]Div 2 forecast'!$D$316:$AF$392,M$53,FALSE)</f>
        <v>0</v>
      </c>
      <c r="N36" s="597">
        <f>VLOOKUP($B36, '[13]Div 2 forecast'!$D$316:$AF$392,N$53,FALSE)</f>
        <v>0</v>
      </c>
      <c r="O36" s="597">
        <f>VLOOKUP($B36, '[13]Div 2 forecast'!$D$316:$AF$392,O$53,FALSE)</f>
        <v>0</v>
      </c>
      <c r="P36" s="210">
        <f t="shared" si="2"/>
        <v>0</v>
      </c>
      <c r="Q36" s="210"/>
    </row>
    <row r="37" spans="1:18">
      <c r="A37" s="461">
        <f t="shared" si="1"/>
        <v>24</v>
      </c>
      <c r="B37" s="365">
        <v>9302</v>
      </c>
      <c r="C37" s="210" t="s">
        <v>857</v>
      </c>
      <c r="D37" s="597">
        <f>'[12]Division 002'!C$71</f>
        <v>579195.31999999995</v>
      </c>
      <c r="E37" s="597">
        <f>'[12]Division 002'!D$71</f>
        <v>377496.01000000007</v>
      </c>
      <c r="F37" s="597">
        <f>'[12]Division 002'!E$71</f>
        <v>2956335.5599999996</v>
      </c>
      <c r="G37" s="597">
        <f>'[12]Division 002'!F$71</f>
        <v>386905.63</v>
      </c>
      <c r="H37" s="597">
        <f>'[12]Division 002'!G$71</f>
        <v>186525.19</v>
      </c>
      <c r="I37" s="597">
        <f>'[12]Division 002'!H$71</f>
        <v>263397.25999999995</v>
      </c>
      <c r="J37" s="597">
        <f>VLOOKUP($B37, '[13]Div 2 forecast'!$D$316:$AF$392,J$53,FALSE)</f>
        <v>271775.12158514454</v>
      </c>
      <c r="K37" s="597">
        <f>VLOOKUP($B37, '[13]Div 2 forecast'!$D$316:$AF$392,K$53,FALSE)</f>
        <v>276564.64916083479</v>
      </c>
      <c r="L37" s="597">
        <f>VLOOKUP($B37, '[13]Div 2 forecast'!$D$316:$AF$392,L$53,FALSE)</f>
        <v>463356.04425063042</v>
      </c>
      <c r="M37" s="597">
        <f>VLOOKUP($B37, '[13]Div 2 forecast'!$D$316:$AF$392,M$53,FALSE)</f>
        <v>261298.79200083192</v>
      </c>
      <c r="N37" s="597">
        <f>VLOOKUP($B37, '[13]Div 2 forecast'!$D$316:$AF$392,N$53,FALSE)</f>
        <v>243627.54279626772</v>
      </c>
      <c r="O37" s="597">
        <f>VLOOKUP($B37, '[13]Div 2 forecast'!$D$316:$AF$392,O$53,FALSE)</f>
        <v>509151.37894264434</v>
      </c>
      <c r="P37" s="210">
        <f t="shared" si="2"/>
        <v>6775628.4987363545</v>
      </c>
      <c r="Q37" s="210"/>
    </row>
    <row r="38" spans="1:18">
      <c r="A38" s="461">
        <f t="shared" si="1"/>
        <v>25</v>
      </c>
      <c r="B38" s="365">
        <v>9310</v>
      </c>
      <c r="C38" s="210" t="s">
        <v>184</v>
      </c>
      <c r="D38" s="597">
        <f>'[12]Division 002'!C$72</f>
        <v>506336.29999999993</v>
      </c>
      <c r="E38" s="597">
        <f>'[12]Division 002'!D$72</f>
        <v>515892.06000000011</v>
      </c>
      <c r="F38" s="597">
        <f>'[12]Division 002'!E$72</f>
        <v>421345.29999999987</v>
      </c>
      <c r="G38" s="597">
        <f>'[12]Division 002'!F$72</f>
        <v>109296.61</v>
      </c>
      <c r="H38" s="597">
        <f>'[12]Division 002'!G$72</f>
        <v>405037.73</v>
      </c>
      <c r="I38" s="597">
        <f>'[12]Division 002'!H$72</f>
        <v>456119.71999999986</v>
      </c>
      <c r="J38" s="597">
        <f>VLOOKUP($B38, '[13]Div 2 forecast'!$D$316:$AF$392,J$53,FALSE)</f>
        <v>491302.80259861227</v>
      </c>
      <c r="K38" s="597">
        <f>VLOOKUP($B38, '[13]Div 2 forecast'!$D$316:$AF$392,K$53,FALSE)</f>
        <v>488913.27692903561</v>
      </c>
      <c r="L38" s="597">
        <f>VLOOKUP($B38, '[13]Div 2 forecast'!$D$316:$AF$392,L$53,FALSE)</f>
        <v>501304.87205635774</v>
      </c>
      <c r="M38" s="597">
        <f>VLOOKUP($B38, '[13]Div 2 forecast'!$D$316:$AF$392,M$53,FALSE)</f>
        <v>534952.50604392355</v>
      </c>
      <c r="N38" s="597">
        <f>VLOOKUP($B38, '[13]Div 2 forecast'!$D$316:$AF$392,N$53,FALSE)</f>
        <v>532113.20683688927</v>
      </c>
      <c r="O38" s="597">
        <f>VLOOKUP($B38, '[13]Div 2 forecast'!$D$316:$AF$392,O$53,FALSE)</f>
        <v>502560.56753564719</v>
      </c>
      <c r="P38" s="210">
        <f t="shared" si="2"/>
        <v>5465174.9520004652</v>
      </c>
      <c r="Q38" s="210"/>
    </row>
    <row r="39" spans="1:18">
      <c r="A39" s="461">
        <f t="shared" si="1"/>
        <v>26</v>
      </c>
      <c r="B39" s="365">
        <v>9320</v>
      </c>
      <c r="C39" s="210" t="s">
        <v>185</v>
      </c>
      <c r="D39" s="597">
        <f>'[12]Division 002'!C$73</f>
        <v>24040.230000000003</v>
      </c>
      <c r="E39" s="597">
        <f>'[12]Division 002'!D$73</f>
        <v>45827.970000000008</v>
      </c>
      <c r="F39" s="597">
        <f>'[12]Division 002'!E$73</f>
        <v>4366.8500000000004</v>
      </c>
      <c r="G39" s="597">
        <f>'[12]Division 002'!F$73</f>
        <v>30115.31</v>
      </c>
      <c r="H39" s="597">
        <f>'[12]Division 002'!G$73</f>
        <v>47042.729999999996</v>
      </c>
      <c r="I39" s="597">
        <f>'[12]Division 002'!H$73</f>
        <v>34153.919999999998</v>
      </c>
      <c r="J39" s="597">
        <f>VLOOKUP($B39, '[13]Div 2 forecast'!$D$316:$AF$392,J$53,FALSE)</f>
        <v>36381.930409589862</v>
      </c>
      <c r="K39" s="597">
        <f>VLOOKUP($B39, '[13]Div 2 forecast'!$D$316:$AF$392,K$53,FALSE)</f>
        <v>35664.235174906345</v>
      </c>
      <c r="L39" s="597">
        <f>VLOOKUP($B39, '[13]Div 2 forecast'!$D$316:$AF$392,L$53,FALSE)</f>
        <v>36848.95183719066</v>
      </c>
      <c r="M39" s="597">
        <f>VLOOKUP($B39, '[13]Div 2 forecast'!$D$316:$AF$392,M$53,FALSE)</f>
        <v>42464.075550967755</v>
      </c>
      <c r="N39" s="597">
        <f>VLOOKUP($B39, '[13]Div 2 forecast'!$D$316:$AF$392,N$53,FALSE)</f>
        <v>40100.863874347968</v>
      </c>
      <c r="O39" s="597">
        <f>VLOOKUP($B39, '[13]Div 2 forecast'!$D$316:$AF$392,O$53,FALSE)</f>
        <v>42013.830307207092</v>
      </c>
      <c r="P39" s="210">
        <f t="shared" si="2"/>
        <v>419020.89715420967</v>
      </c>
      <c r="Q39" s="210"/>
    </row>
    <row r="40" spans="1:18" ht="15.75" thickBot="1">
      <c r="A40" s="461">
        <f t="shared" si="1"/>
        <v>27</v>
      </c>
      <c r="B40" s="216" t="s">
        <v>734</v>
      </c>
      <c r="C40" s="875"/>
      <c r="D40" s="651">
        <f>SUM(D14:D39)</f>
        <v>-450.50000000067666</v>
      </c>
      <c r="E40" s="651">
        <f t="shared" ref="E40:P40" si="4">SUM(E14:E39)</f>
        <v>2558.6000000085696</v>
      </c>
      <c r="F40" s="651">
        <f t="shared" si="4"/>
        <v>23538878.009999983</v>
      </c>
      <c r="G40" s="651">
        <f t="shared" si="4"/>
        <v>2273773.2999999914</v>
      </c>
      <c r="H40" s="651">
        <f t="shared" si="4"/>
        <v>50921.029999982173</v>
      </c>
      <c r="I40" s="651">
        <f t="shared" si="4"/>
        <v>-1835053.7200000044</v>
      </c>
      <c r="J40" s="651">
        <f t="shared" si="4"/>
        <v>1.7098500393331051E-9</v>
      </c>
      <c r="K40" s="651">
        <f t="shared" si="4"/>
        <v>-5.0204107537865639E-10</v>
      </c>
      <c r="L40" s="651">
        <f t="shared" si="4"/>
        <v>-4.0745362639427185E-10</v>
      </c>
      <c r="M40" s="651">
        <f t="shared" si="4"/>
        <v>2.7648638933897018E-10</v>
      </c>
      <c r="N40" s="651">
        <f t="shared" si="4"/>
        <v>-1.076841726899147E-9</v>
      </c>
      <c r="O40" s="651">
        <f t="shared" si="4"/>
        <v>-1.2587406672537327E-9</v>
      </c>
      <c r="P40" s="651">
        <f t="shared" si="4"/>
        <v>24030626.71999998</v>
      </c>
      <c r="Q40" s="216"/>
    </row>
    <row r="41" spans="1:18" ht="15.75" thickTop="1">
      <c r="A41" s="461">
        <f t="shared" si="1"/>
        <v>28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8">
      <c r="A42" s="461">
        <f t="shared" si="1"/>
        <v>29</v>
      </c>
      <c r="B42" s="365">
        <f>B31</f>
        <v>9220</v>
      </c>
      <c r="C42" s="365" t="str">
        <f>C31</f>
        <v>A&amp;G-Administrative expense transferred-Credit</v>
      </c>
      <c r="D42" s="366">
        <f>D31</f>
        <v>-8771029.8199999966</v>
      </c>
      <c r="E42" s="366">
        <f t="shared" ref="E42:I42" si="5">E31</f>
        <v>-7951782.2399999928</v>
      </c>
      <c r="F42" s="366">
        <f t="shared" si="5"/>
        <v>-10587389.510000018</v>
      </c>
      <c r="G42" s="366">
        <f t="shared" si="5"/>
        <v>-8252355.5500000073</v>
      </c>
      <c r="H42" s="366">
        <f t="shared" si="5"/>
        <v>-13352610.350000011</v>
      </c>
      <c r="I42" s="366">
        <f t="shared" si="5"/>
        <v>-5009611.8700000076</v>
      </c>
      <c r="J42" s="366">
        <f t="shared" ref="J42:K42" si="6">-(J40-J31)</f>
        <v>-9656779.6600000001</v>
      </c>
      <c r="K42" s="366">
        <f t="shared" si="6"/>
        <v>-8022888.8999999994</v>
      </c>
      <c r="L42" s="366">
        <f>L31</f>
        <v>-7941749.2699999996</v>
      </c>
      <c r="M42" s="366">
        <f>M31</f>
        <v>-8813418.5976000018</v>
      </c>
      <c r="N42" s="366">
        <f>N31</f>
        <v>-8811470.5757999998</v>
      </c>
      <c r="O42" s="366">
        <f>O31</f>
        <v>-8957491.9595000036</v>
      </c>
      <c r="P42" s="210">
        <f t="shared" ref="P42" si="7">SUM(D42:O42)</f>
        <v>-106128578.30290003</v>
      </c>
      <c r="Q42" s="216"/>
    </row>
    <row r="43" spans="1:18">
      <c r="A43" s="461">
        <f t="shared" si="1"/>
        <v>30</v>
      </c>
      <c r="B43" s="216"/>
      <c r="C43" s="367" t="s">
        <v>195</v>
      </c>
      <c r="D43" s="386">
        <f>D44/D42</f>
        <v>5.8598595666386664E-2</v>
      </c>
      <c r="E43" s="386">
        <f t="shared" ref="E43:I43" si="8">E44/E42</f>
        <v>5.8022162337282565E-2</v>
      </c>
      <c r="F43" s="386">
        <f t="shared" si="8"/>
        <v>5.697553485023326E-2</v>
      </c>
      <c r="G43" s="386">
        <f t="shared" si="8"/>
        <v>5.9478907207288177E-2</v>
      </c>
      <c r="H43" s="386">
        <f t="shared" si="8"/>
        <v>5.6001290414349536E-2</v>
      </c>
      <c r="I43" s="386">
        <f t="shared" si="8"/>
        <v>6.2800763445172755E-2</v>
      </c>
      <c r="J43" s="386">
        <f>Allocation!$I$14</f>
        <v>5.1771199999999996E-2</v>
      </c>
      <c r="K43" s="386">
        <f>Allocation!$I$14</f>
        <v>5.1771199999999996E-2</v>
      </c>
      <c r="L43" s="386">
        <f>Allocation!$I$14</f>
        <v>5.1771199999999996E-2</v>
      </c>
      <c r="M43" s="386">
        <f>Allocation!$I$14</f>
        <v>5.1771199999999996E-2</v>
      </c>
      <c r="N43" s="386">
        <f>Allocation!$I$14</f>
        <v>5.1771199999999996E-2</v>
      </c>
      <c r="O43" s="386">
        <f>Allocation!$I$14</f>
        <v>5.1771199999999996E-2</v>
      </c>
      <c r="P43" s="386">
        <f t="shared" ref="P43" si="9">P44/P42</f>
        <v>5.4975174172371431E-2</v>
      </c>
      <c r="Q43" s="216"/>
      <c r="R43" s="691"/>
    </row>
    <row r="44" spans="1:18">
      <c r="A44" s="461">
        <f t="shared" si="1"/>
        <v>31</v>
      </c>
      <c r="B44" s="216"/>
      <c r="C44" s="216" t="s">
        <v>210</v>
      </c>
      <c r="D44" s="216">
        <f>-'[15]div 9 monthly 9220'!C12</f>
        <v>-513970.03</v>
      </c>
      <c r="E44" s="216">
        <f>-'[15]div 9 monthly 9220'!D12</f>
        <v>-461379.6</v>
      </c>
      <c r="F44" s="216">
        <f>-'[15]div 9 monthly 9220'!E12</f>
        <v>-603222.18000000005</v>
      </c>
      <c r="G44" s="216">
        <f>-'[15]div 9 monthly 9220'!F12</f>
        <v>-490841.09</v>
      </c>
      <c r="H44" s="216">
        <f>-'[15]div 9 monthly 9220'!G12</f>
        <v>-747763.41</v>
      </c>
      <c r="I44" s="216">
        <f>-'[15]div 9 monthly 9220'!H12</f>
        <v>-314607.45</v>
      </c>
      <c r="J44" s="216">
        <f t="shared" ref="J44:O44" si="10">J42*J43</f>
        <v>-499943.07113379199</v>
      </c>
      <c r="K44" s="216">
        <f t="shared" si="10"/>
        <v>-415354.58581967995</v>
      </c>
      <c r="L44" s="216">
        <f t="shared" si="10"/>
        <v>-411153.88980702392</v>
      </c>
      <c r="M44" s="216">
        <f t="shared" si="10"/>
        <v>-456281.25690006919</v>
      </c>
      <c r="N44" s="216">
        <f t="shared" si="10"/>
        <v>-456180.4054738569</v>
      </c>
      <c r="O44" s="216">
        <f t="shared" si="10"/>
        <v>-463740.10773366655</v>
      </c>
      <c r="P44" s="210">
        <f>SUM(D44:O44)</f>
        <v>-5834437.0768680889</v>
      </c>
      <c r="Q44" s="216"/>
      <c r="R44" s="691"/>
    </row>
    <row r="45" spans="1:18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9"/>
      <c r="P45" s="219"/>
      <c r="Q45" s="216"/>
    </row>
    <row r="46" spans="1:18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9"/>
      <c r="P46" s="219"/>
      <c r="Q46" s="216"/>
    </row>
    <row r="47" spans="1:18">
      <c r="A47" s="216"/>
      <c r="B47" s="216" t="s">
        <v>562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9"/>
      <c r="P47" s="219"/>
      <c r="Q47" s="216"/>
    </row>
    <row r="48" spans="1:18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671"/>
      <c r="Q48" s="216"/>
    </row>
    <row r="49" spans="1:17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9"/>
      <c r="Q49" s="216"/>
    </row>
    <row r="50" spans="1:17">
      <c r="A50" s="216"/>
      <c r="B50" s="216" t="s">
        <v>953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9"/>
      <c r="Q50" s="216"/>
    </row>
    <row r="51" spans="1:17">
      <c r="A51" s="216"/>
      <c r="B51" s="212" t="s">
        <v>1679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9"/>
      <c r="Q51" s="761"/>
    </row>
    <row r="52" spans="1:17">
      <c r="A52" s="216"/>
      <c r="B52" s="1" t="s">
        <v>1624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631"/>
      <c r="P52" s="219"/>
      <c r="Q52" s="876"/>
    </row>
    <row r="53" spans="1:17">
      <c r="A53" s="216"/>
      <c r="B53" s="216"/>
      <c r="C53" s="387" t="s">
        <v>1341</v>
      </c>
      <c r="D53" s="877">
        <v>3</v>
      </c>
      <c r="E53" s="765">
        <v>4</v>
      </c>
      <c r="F53" s="765">
        <v>5</v>
      </c>
      <c r="G53" s="877">
        <v>6</v>
      </c>
      <c r="H53" s="877">
        <v>7</v>
      </c>
      <c r="I53" s="877">
        <v>8</v>
      </c>
      <c r="J53" s="765">
        <v>9</v>
      </c>
      <c r="K53" s="765">
        <v>10</v>
      </c>
      <c r="L53" s="877">
        <v>11</v>
      </c>
      <c r="M53" s="877">
        <v>12</v>
      </c>
      <c r="N53" s="877">
        <v>13</v>
      </c>
      <c r="O53" s="877">
        <v>14</v>
      </c>
      <c r="P53" s="219"/>
      <c r="Q53" s="876"/>
    </row>
    <row r="54" spans="1:17">
      <c r="A54" s="216"/>
      <c r="B54" s="216"/>
      <c r="C54" s="216"/>
      <c r="D54" s="878"/>
      <c r="E54" s="878"/>
      <c r="F54" s="878"/>
      <c r="G54" s="878"/>
      <c r="H54" s="878"/>
      <c r="I54" s="878"/>
      <c r="J54" s="878"/>
      <c r="K54" s="879"/>
      <c r="L54" s="879"/>
      <c r="M54" s="879"/>
      <c r="N54" s="879"/>
      <c r="O54" s="170"/>
      <c r="P54" s="219"/>
      <c r="Q54" s="876"/>
    </row>
    <row r="55" spans="1:17">
      <c r="A55" s="216"/>
      <c r="B55" s="671"/>
      <c r="C55" s="671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9"/>
      <c r="P55" s="219"/>
      <c r="Q55" s="876"/>
    </row>
    <row r="56" spans="1:17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876"/>
    </row>
    <row r="57" spans="1:17">
      <c r="A57" s="216"/>
      <c r="B57" s="216"/>
      <c r="C57" s="216"/>
      <c r="D57" s="216">
        <f>'[13]Div 2 forecast'!F305</f>
        <v>8770578.3100000042</v>
      </c>
      <c r="E57" s="216">
        <f>'[13]Div 2 forecast'!G305</f>
        <v>7954340.8500000015</v>
      </c>
      <c r="F57" s="216">
        <f>'[13]Div 2 forecast'!H305</f>
        <v>34126267.530000001</v>
      </c>
      <c r="G57" s="216">
        <f>'[13]Div 2 forecast'!I305</f>
        <v>10526128.850000001</v>
      </c>
      <c r="H57" s="216">
        <f>'[13]Div 2 forecast'!J305</f>
        <v>13403531.380000001</v>
      </c>
      <c r="I57" s="216">
        <f>'[13]Div 2 forecast'!K305</f>
        <v>4270159.1500000004</v>
      </c>
      <c r="J57" s="216">
        <f>'[13]Div 2 forecast'!L305</f>
        <v>9656779.6600000001</v>
      </c>
      <c r="K57" s="216">
        <f>'[13]Div 2 forecast'!M305</f>
        <v>8022888.8999999994</v>
      </c>
      <c r="L57" s="216">
        <f>'[13]Div 2 forecast'!N305</f>
        <v>7941749.2700000005</v>
      </c>
      <c r="M57" s="216">
        <f>'[13]Div 2 forecast'!O305</f>
        <v>8813418.5976</v>
      </c>
      <c r="N57" s="216">
        <f>'[13]Div 2 forecast'!P305</f>
        <v>8811470.5757999998</v>
      </c>
      <c r="O57" s="216">
        <f>'[13]Div 2 forecast'!Q305</f>
        <v>8957491.959499998</v>
      </c>
      <c r="P57" s="216"/>
      <c r="Q57" s="216"/>
    </row>
    <row r="58" spans="1:17">
      <c r="A58" s="216"/>
      <c r="B58" s="216"/>
      <c r="C58" s="216"/>
      <c r="D58" s="216">
        <f>-D42</f>
        <v>8771029.8199999966</v>
      </c>
      <c r="E58" s="216">
        <f t="shared" ref="E58:O58" si="11">-E42</f>
        <v>7951782.2399999928</v>
      </c>
      <c r="F58" s="216">
        <f t="shared" si="11"/>
        <v>10587389.510000018</v>
      </c>
      <c r="G58" s="216">
        <f t="shared" si="11"/>
        <v>8252355.5500000073</v>
      </c>
      <c r="H58" s="216">
        <f t="shared" si="11"/>
        <v>13352610.350000011</v>
      </c>
      <c r="I58" s="216">
        <f t="shared" si="11"/>
        <v>5009611.8700000076</v>
      </c>
      <c r="J58" s="216">
        <f t="shared" si="11"/>
        <v>9656779.6600000001</v>
      </c>
      <c r="K58" s="216">
        <f t="shared" si="11"/>
        <v>8022888.8999999994</v>
      </c>
      <c r="L58" s="216">
        <f t="shared" si="11"/>
        <v>7941749.2699999996</v>
      </c>
      <c r="M58" s="216">
        <f t="shared" si="11"/>
        <v>8813418.5976000018</v>
      </c>
      <c r="N58" s="216">
        <f t="shared" si="11"/>
        <v>8811470.5757999998</v>
      </c>
      <c r="O58" s="216">
        <f t="shared" si="11"/>
        <v>8957491.9595000036</v>
      </c>
      <c r="P58" s="216"/>
      <c r="Q58" s="216"/>
    </row>
    <row r="59" spans="1:17">
      <c r="A59" s="216"/>
      <c r="B59" s="216"/>
      <c r="C59" s="671"/>
      <c r="D59" s="216">
        <f>D57-D58</f>
        <v>-451.5099999923259</v>
      </c>
      <c r="E59" s="216">
        <f t="shared" ref="E59:O59" si="12">E57-E58</f>
        <v>2558.6100000087172</v>
      </c>
      <c r="F59" s="216">
        <f t="shared" si="12"/>
        <v>23538878.019999981</v>
      </c>
      <c r="G59" s="216">
        <f t="shared" si="12"/>
        <v>2273773.2999999942</v>
      </c>
      <c r="H59" s="216">
        <f t="shared" si="12"/>
        <v>50921.029999990016</v>
      </c>
      <c r="I59" s="216">
        <f t="shared" si="12"/>
        <v>-739452.72000000719</v>
      </c>
      <c r="J59" s="216">
        <f t="shared" si="12"/>
        <v>0</v>
      </c>
      <c r="K59" s="216">
        <f t="shared" si="12"/>
        <v>0</v>
      </c>
      <c r="L59" s="216">
        <f t="shared" si="12"/>
        <v>0</v>
      </c>
      <c r="M59" s="216">
        <f t="shared" si="12"/>
        <v>0</v>
      </c>
      <c r="N59" s="216">
        <f t="shared" si="12"/>
        <v>0</v>
      </c>
      <c r="O59" s="216">
        <f t="shared" si="12"/>
        <v>0</v>
      </c>
      <c r="P59" s="216"/>
      <c r="Q59" s="216"/>
    </row>
    <row r="60" spans="1:17">
      <c r="A60" s="216"/>
      <c r="B60" s="216"/>
      <c r="C60" s="671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>
      <c r="O61" s="387"/>
    </row>
    <row r="62" spans="1:17">
      <c r="O62" s="170" t="s">
        <v>1672</v>
      </c>
      <c r="P62" s="80">
        <f>SUM(P17:P39)-P31+SUM('C.2.2 B 12'!P14:P28)-'C.2.2 B 12'!P22</f>
        <v>177832480.34420002</v>
      </c>
    </row>
    <row r="63" spans="1:17">
      <c r="O63" s="170" t="s">
        <v>1673</v>
      </c>
    </row>
    <row r="65" spans="3:3">
      <c r="C65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zoomScale="70" zoomScaleNormal="70" zoomScaleSheetLayoutView="70" workbookViewId="0">
      <selection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54.21875" style="80" customWidth="1"/>
    <col min="4" max="4" width="13.109375" style="80" bestFit="1" customWidth="1"/>
    <col min="5" max="6" width="11.109375" style="80" customWidth="1"/>
    <col min="7" max="8" width="13.109375" style="80" bestFit="1" customWidth="1"/>
    <col min="9" max="9" width="11.109375" style="80" customWidth="1"/>
    <col min="10" max="10" width="10.88671875" style="80" customWidth="1"/>
    <col min="11" max="14" width="13.10937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81"/>
    </row>
    <row r="2" spans="1:17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81"/>
    </row>
    <row r="3" spans="1:17" ht="15.75">
      <c r="A3" s="1210" t="s">
        <v>187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81"/>
    </row>
    <row r="4" spans="1:17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95"/>
    </row>
    <row r="5" spans="1:17">
      <c r="A5" s="81"/>
      <c r="B5" s="150"/>
      <c r="C5" s="150"/>
      <c r="D5" s="150"/>
      <c r="E5" s="150"/>
      <c r="F5" s="150"/>
      <c r="G5" s="870"/>
      <c r="H5" s="201"/>
      <c r="I5" s="201"/>
      <c r="J5" s="201"/>
      <c r="K5" s="201"/>
      <c r="L5" s="201"/>
      <c r="M5" s="201"/>
      <c r="N5" s="201"/>
      <c r="O5" s="201"/>
      <c r="P5" s="195"/>
      <c r="Q5" s="195"/>
    </row>
    <row r="6" spans="1:17" ht="15.75">
      <c r="A6" s="233" t="str">
        <f>'C.2.2 B 09'!A6</f>
        <v>Data:___X____Base Period________Forecasted Period</v>
      </c>
      <c r="B6" s="195"/>
      <c r="C6" s="233"/>
      <c r="D6" s="871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506" t="s">
        <v>1430</v>
      </c>
      <c r="Q6" s="195"/>
    </row>
    <row r="7" spans="1:17">
      <c r="A7" s="233" t="str">
        <f>'C.2.2 B 09'!A7</f>
        <v>Type of Filing:___X____Original________Updated ________Revised</v>
      </c>
      <c r="B7" s="195"/>
      <c r="C7" s="233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507" t="s">
        <v>37</v>
      </c>
      <c r="Q7" s="195"/>
    </row>
    <row r="8" spans="1:17">
      <c r="A8" s="313" t="str">
        <f>'C.2.2 B 09'!A8</f>
        <v>Workpaper Reference No(s).____________________</v>
      </c>
      <c r="B8" s="237"/>
      <c r="C8" s="873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237"/>
      <c r="O8" s="237"/>
      <c r="P8" s="508" t="str">
        <f>'C.1'!J9</f>
        <v>Witness: Waller, Densman</v>
      </c>
      <c r="Q8" s="195"/>
    </row>
    <row r="9" spans="1:17">
      <c r="A9" s="861" t="s">
        <v>93</v>
      </c>
      <c r="B9" s="862" t="s">
        <v>100</v>
      </c>
      <c r="C9" s="863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295" t="str">
        <f>'C.2.2 B 09'!I9</f>
        <v>actual</v>
      </c>
      <c r="J9" s="295" t="str">
        <f>'C.2.2 B 09'!J9</f>
        <v>Forecasted</v>
      </c>
      <c r="K9" s="295" t="str">
        <f>'C.2.2 B 09'!K9</f>
        <v>Forecasted</v>
      </c>
      <c r="L9" s="295" t="str">
        <f>'C.2.2 B 09'!L9</f>
        <v>Forecasted</v>
      </c>
      <c r="M9" s="295" t="str">
        <f>'C.2.2 B 09'!M9</f>
        <v>Budgeted</v>
      </c>
      <c r="N9" s="295" t="str">
        <f>'C.2.2 B 09'!N9</f>
        <v>Budgeted</v>
      </c>
      <c r="O9" s="295" t="str">
        <f>'C.2.2 B 09'!O9</f>
        <v>Budgeted</v>
      </c>
      <c r="P9" s="874"/>
      <c r="Q9" s="461"/>
    </row>
    <row r="10" spans="1:17">
      <c r="A10" s="864" t="s">
        <v>99</v>
      </c>
      <c r="B10" s="865" t="s">
        <v>99</v>
      </c>
      <c r="C10" s="866" t="s">
        <v>952</v>
      </c>
      <c r="D10" s="207">
        <f>'C.2.2 B 09'!D10</f>
        <v>43101</v>
      </c>
      <c r="E10" s="207">
        <f>'C.2.2 B 09'!F10</f>
        <v>43160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207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880"/>
    </row>
    <row r="11" spans="1:17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09"/>
    </row>
    <row r="12" spans="1:17">
      <c r="A12" s="461">
        <v>1</v>
      </c>
      <c r="B12" s="830">
        <v>4030</v>
      </c>
      <c r="C12" s="195" t="s">
        <v>91</v>
      </c>
      <c r="D12" s="597">
        <f>'[12]Division 012'!C$31</f>
        <v>5.7639226724859327E-11</v>
      </c>
      <c r="E12" s="597">
        <f>'[12]Division 012'!D$31</f>
        <v>0</v>
      </c>
      <c r="F12" s="597">
        <f>'[12]Division 012'!E$31</f>
        <v>0</v>
      </c>
      <c r="G12" s="597">
        <f>'[12]Division 012'!F$31</f>
        <v>-1.1641532182693481E-10</v>
      </c>
      <c r="H12" s="597">
        <f>'[12]Division 012'!G$31</f>
        <v>9.7315933089703321E-11</v>
      </c>
      <c r="I12" s="597">
        <f>'[12]Division 012'!H$31</f>
        <v>-8.7311491370201111E-11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210">
        <f t="shared" ref="P12:P25" si="0">SUM(D12:O12)</f>
        <v>-4.8771653382573277E-11</v>
      </c>
      <c r="Q12" s="671"/>
    </row>
    <row r="13" spans="1:17">
      <c r="A13" s="868">
        <f>A12+1</f>
        <v>2</v>
      </c>
      <c r="B13" s="365">
        <v>4081</v>
      </c>
      <c r="C13" s="210" t="s">
        <v>862</v>
      </c>
      <c r="D13" s="597">
        <f>'[12]Division 012'!C$32</f>
        <v>1.3926637620897964E-11</v>
      </c>
      <c r="E13" s="597">
        <f>'[12]Division 012'!D$32</f>
        <v>-1.6143530956469476E-11</v>
      </c>
      <c r="F13" s="597">
        <f>'[12]Division 012'!E$32</f>
        <v>-6.986056177993305E-11</v>
      </c>
      <c r="G13" s="597">
        <f>'[12]Division 012'!F$32</f>
        <v>1.0000000021543443E-2</v>
      </c>
      <c r="H13" s="597">
        <f>'[12]Division 012'!G$32</f>
        <v>2.1827872842550278E-11</v>
      </c>
      <c r="I13" s="597">
        <f>'[12]Division 012'!H$32</f>
        <v>-2.9103830456733704E-11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210">
        <f t="shared" si="0"/>
        <v>9.9999999421900299E-3</v>
      </c>
      <c r="Q13" s="210"/>
    </row>
    <row r="14" spans="1:17">
      <c r="A14" s="868">
        <f t="shared" ref="A14:A35" si="1">A13+1</f>
        <v>3</v>
      </c>
      <c r="B14" s="365">
        <v>8700</v>
      </c>
      <c r="C14" s="210" t="s">
        <v>913</v>
      </c>
      <c r="D14" s="597">
        <f>'[12]Division 012'!C37</f>
        <v>0</v>
      </c>
      <c r="E14" s="597">
        <f>'[12]Division 012'!D37</f>
        <v>395</v>
      </c>
      <c r="F14" s="597">
        <f>'[12]Division 012'!E37</f>
        <v>0</v>
      </c>
      <c r="G14" s="597">
        <f>'[12]Division 012'!F37</f>
        <v>0</v>
      </c>
      <c r="H14" s="597">
        <f>'[12]Division 012'!G37</f>
        <v>1136.92</v>
      </c>
      <c r="I14" s="597">
        <f>'[12]Division 012'!H37</f>
        <v>3315.76</v>
      </c>
      <c r="J14" s="96">
        <f>VLOOKUP($B14,'[13]Div 12 forecast'!$D$176:$AF$252,9,FALSE)</f>
        <v>1030.5779431271044</v>
      </c>
      <c r="K14" s="96">
        <f>VLOOKUP($B14,'[13]Div 12 forecast'!$D$176:$AF$252,10,FALSE)</f>
        <v>1092.1255720496281</v>
      </c>
      <c r="L14" s="96">
        <f>VLOOKUP($B14,'[13]Div 12 forecast'!$D$176:$AF$252,11,FALSE)</f>
        <v>1088.5112857554543</v>
      </c>
      <c r="M14" s="96">
        <f>VLOOKUP($B14,'[13]Div 12 forecast'!$D$176:$AF$252,12,FALSE)</f>
        <v>851.17315243804569</v>
      </c>
      <c r="N14" s="96">
        <f>VLOOKUP($B14,'[13]Div 12 forecast'!$D$176:$AF$252,13,FALSE)</f>
        <v>851.17315243804569</v>
      </c>
      <c r="O14" s="96">
        <f>VLOOKUP($B14,'[13]Div 12 forecast'!$D$176:$AF$252,14,FALSE)</f>
        <v>985.18111044666125</v>
      </c>
      <c r="P14" s="210">
        <f t="shared" si="0"/>
        <v>10746.422216254938</v>
      </c>
      <c r="Q14" s="210"/>
    </row>
    <row r="15" spans="1:17">
      <c r="A15" s="868">
        <f t="shared" si="1"/>
        <v>4</v>
      </c>
      <c r="B15" s="365">
        <v>8740</v>
      </c>
      <c r="C15" s="210" t="s">
        <v>915</v>
      </c>
      <c r="D15" s="597">
        <f>'[12]Division 012'!C38</f>
        <v>1599.32</v>
      </c>
      <c r="E15" s="597">
        <f>'[12]Division 012'!D38</f>
        <v>1400.53</v>
      </c>
      <c r="F15" s="597">
        <f>'[12]Division 012'!E38</f>
        <v>1614.3</v>
      </c>
      <c r="G15" s="597">
        <f>'[12]Division 012'!F38</f>
        <v>1672.3899999999999</v>
      </c>
      <c r="H15" s="597">
        <f>'[12]Division 012'!G38</f>
        <v>1408.5</v>
      </c>
      <c r="I15" s="597">
        <f>'[12]Division 012'!H38</f>
        <v>1470.71</v>
      </c>
      <c r="J15" s="96">
        <f>VLOOKUP($B15,'[13]Div 12 forecast'!$D$176:$AF$252,9,FALSE)</f>
        <v>1687.1943024105185</v>
      </c>
      <c r="K15" s="96">
        <f>VLOOKUP($B15,'[13]Div 12 forecast'!$D$176:$AF$252,10,FALSE)</f>
        <v>1687.1943024105185</v>
      </c>
      <c r="L15" s="96">
        <f>VLOOKUP($B15,'[13]Div 12 forecast'!$D$176:$AF$252,11,FALSE)</f>
        <v>1687.1943024105185</v>
      </c>
      <c r="M15" s="96">
        <f>VLOOKUP($B15,'[13]Div 12 forecast'!$D$176:$AF$252,12,FALSE)</f>
        <v>1723.8940021102183</v>
      </c>
      <c r="N15" s="96">
        <f>VLOOKUP($B15,'[13]Div 12 forecast'!$D$176:$AF$252,13,FALSE)</f>
        <v>1723.8940021102183</v>
      </c>
      <c r="O15" s="96">
        <f>VLOOKUP($B15,'[13]Div 12 forecast'!$D$176:$AF$252,14,FALSE)</f>
        <v>1723.8940021102183</v>
      </c>
      <c r="P15" s="210">
        <f t="shared" si="0"/>
        <v>19399.014913562209</v>
      </c>
      <c r="Q15" s="210"/>
    </row>
    <row r="16" spans="1:17">
      <c r="A16" s="868">
        <f t="shared" si="1"/>
        <v>5</v>
      </c>
      <c r="B16" s="365">
        <v>8800</v>
      </c>
      <c r="C16" s="210" t="s">
        <v>921</v>
      </c>
      <c r="D16" s="597">
        <f>0</f>
        <v>0</v>
      </c>
      <c r="E16" s="597">
        <f>0</f>
        <v>0</v>
      </c>
      <c r="F16" s="597">
        <f>0</f>
        <v>0</v>
      </c>
      <c r="G16" s="597">
        <f>0</f>
        <v>0</v>
      </c>
      <c r="H16" s="597">
        <f>0</f>
        <v>0</v>
      </c>
      <c r="I16" s="597">
        <f>0</f>
        <v>0</v>
      </c>
      <c r="J16" s="96">
        <f>VLOOKUP($B16,'[13]Div 12 forecast'!$D$176:$AF$252,9,FALSE)</f>
        <v>0</v>
      </c>
      <c r="K16" s="96">
        <f>VLOOKUP($B16,'[13]Div 12 forecast'!$D$176:$AF$252,10,FALSE)</f>
        <v>0</v>
      </c>
      <c r="L16" s="96">
        <f>VLOOKUP($B16,'[13]Div 12 forecast'!$D$176:$AF$252,11,FALSE)</f>
        <v>0</v>
      </c>
      <c r="M16" s="96">
        <f>VLOOKUP($B16,'[13]Div 12 forecast'!$D$176:$AF$252,12,FALSE)</f>
        <v>0</v>
      </c>
      <c r="N16" s="96">
        <f>VLOOKUP($B16,'[13]Div 12 forecast'!$D$176:$AF$252,13,FALSE)</f>
        <v>0</v>
      </c>
      <c r="O16" s="96">
        <f>VLOOKUP($B16,'[13]Div 12 forecast'!$D$176:$AF$252,14,FALSE)</f>
        <v>0</v>
      </c>
      <c r="P16" s="210">
        <f t="shared" si="0"/>
        <v>0</v>
      </c>
      <c r="Q16" s="210"/>
    </row>
    <row r="17" spans="1:17">
      <c r="A17" s="868">
        <f>A16+1</f>
        <v>6</v>
      </c>
      <c r="B17" s="365">
        <v>9010</v>
      </c>
      <c r="C17" s="210" t="s">
        <v>181</v>
      </c>
      <c r="D17" s="597">
        <f>'[12]Division 012'!C40</f>
        <v>352196.32999999996</v>
      </c>
      <c r="E17" s="597">
        <f>'[12]Division 012'!D40</f>
        <v>307312.05</v>
      </c>
      <c r="F17" s="597">
        <f>'[12]Division 012'!E40</f>
        <v>349670.04999999993</v>
      </c>
      <c r="G17" s="597">
        <f>'[12]Division 012'!F40</f>
        <v>327959.96000000002</v>
      </c>
      <c r="H17" s="597">
        <f>'[12]Division 012'!G40</f>
        <v>361871.54000000004</v>
      </c>
      <c r="I17" s="597">
        <f>'[12]Division 012'!H40</f>
        <v>319906.17</v>
      </c>
      <c r="J17" s="96">
        <f>VLOOKUP($B17,'[13]Div 12 forecast'!$D$176:$AF$252,9,FALSE)</f>
        <v>428394.14571558073</v>
      </c>
      <c r="K17" s="96">
        <f>VLOOKUP($B17,'[13]Div 12 forecast'!$D$176:$AF$252,10,FALSE)</f>
        <v>444161.29946831573</v>
      </c>
      <c r="L17" s="96">
        <f>VLOOKUP($B17,'[13]Div 12 forecast'!$D$176:$AF$252,11,FALSE)</f>
        <v>408993.01514091447</v>
      </c>
      <c r="M17" s="96">
        <f>VLOOKUP($B17,'[13]Div 12 forecast'!$D$176:$AF$252,12,FALSE)</f>
        <v>434598.29878748546</v>
      </c>
      <c r="N17" s="96">
        <f>VLOOKUP($B17,'[13]Div 12 forecast'!$D$176:$AF$252,13,FALSE)</f>
        <v>432744.33587342472</v>
      </c>
      <c r="O17" s="96">
        <f>VLOOKUP($B17,'[13]Div 12 forecast'!$D$176:$AF$252,14,FALSE)</f>
        <v>412755.17005839758</v>
      </c>
      <c r="P17" s="210">
        <f t="shared" si="0"/>
        <v>4580562.3650441179</v>
      </c>
      <c r="Q17" s="210"/>
    </row>
    <row r="18" spans="1:17">
      <c r="A18" s="868">
        <f t="shared" si="1"/>
        <v>7</v>
      </c>
      <c r="B18" s="365">
        <v>9020</v>
      </c>
      <c r="C18" s="210" t="s">
        <v>932</v>
      </c>
      <c r="D18" s="597">
        <f>0</f>
        <v>0</v>
      </c>
      <c r="E18" s="597">
        <f>0</f>
        <v>0</v>
      </c>
      <c r="F18" s="597">
        <f>0</f>
        <v>0</v>
      </c>
      <c r="G18" s="597">
        <f>0</f>
        <v>0</v>
      </c>
      <c r="H18" s="597">
        <f>0</f>
        <v>0</v>
      </c>
      <c r="I18" s="597">
        <f>0</f>
        <v>0</v>
      </c>
      <c r="J18" s="96">
        <f>VLOOKUP($B18,'[13]Div 12 forecast'!$D$176:$AF$252,9,FALSE)</f>
        <v>0</v>
      </c>
      <c r="K18" s="96">
        <f>VLOOKUP($B18,'[13]Div 12 forecast'!$D$176:$AF$252,10,FALSE)</f>
        <v>0</v>
      </c>
      <c r="L18" s="96">
        <f>VLOOKUP($B18,'[13]Div 12 forecast'!$D$176:$AF$252,11,FALSE)</f>
        <v>0</v>
      </c>
      <c r="M18" s="96">
        <f>VLOOKUP($B18,'[13]Div 12 forecast'!$D$176:$AF$252,12,FALSE)</f>
        <v>0</v>
      </c>
      <c r="N18" s="96">
        <f>VLOOKUP($B18,'[13]Div 12 forecast'!$D$176:$AF$252,13,FALSE)</f>
        <v>0</v>
      </c>
      <c r="O18" s="96">
        <f>VLOOKUP($B18,'[13]Div 12 forecast'!$D$176:$AF$252,14,FALSE)</f>
        <v>0</v>
      </c>
      <c r="P18" s="210">
        <f t="shared" si="0"/>
        <v>0</v>
      </c>
      <c r="Q18" s="210"/>
    </row>
    <row r="19" spans="1:17">
      <c r="A19" s="868">
        <f t="shared" si="1"/>
        <v>8</v>
      </c>
      <c r="B19" s="365">
        <v>9030</v>
      </c>
      <c r="C19" s="210" t="s">
        <v>937</v>
      </c>
      <c r="D19" s="597">
        <f>'[12]Division 012'!C41</f>
        <v>1741679.5099999995</v>
      </c>
      <c r="E19" s="597">
        <f>'[12]Division 012'!D41</f>
        <v>1492515.87</v>
      </c>
      <c r="F19" s="597">
        <f>'[12]Division 012'!E41</f>
        <v>1708357.45</v>
      </c>
      <c r="G19" s="597">
        <f>'[12]Division 012'!F41</f>
        <v>1522186.24</v>
      </c>
      <c r="H19" s="597">
        <f>'[12]Division 012'!G41</f>
        <v>1617145.7900000003</v>
      </c>
      <c r="I19" s="597">
        <f>'[12]Division 012'!H41</f>
        <v>1504396.51</v>
      </c>
      <c r="J19" s="96">
        <f>VLOOKUP($B19,'[13]Div 12 forecast'!$D$176:$AF$252,9,FALSE)</f>
        <v>1914208.3014894365</v>
      </c>
      <c r="K19" s="96">
        <f>VLOOKUP($B19,'[13]Div 12 forecast'!$D$176:$AF$252,10,FALSE)</f>
        <v>1944277.1127340696</v>
      </c>
      <c r="L19" s="96">
        <f>VLOOKUP($B19,'[13]Div 12 forecast'!$D$176:$AF$252,11,FALSE)</f>
        <v>1703896.4118278087</v>
      </c>
      <c r="M19" s="96">
        <f>VLOOKUP($B19,'[13]Div 12 forecast'!$D$176:$AF$252,12,FALSE)</f>
        <v>1986287.098250078</v>
      </c>
      <c r="N19" s="96">
        <f>VLOOKUP($B19,'[13]Div 12 forecast'!$D$176:$AF$252,13,FALSE)</f>
        <v>1880332.0047753695</v>
      </c>
      <c r="O19" s="96">
        <f>VLOOKUP($B19,'[13]Div 12 forecast'!$D$176:$AF$252,14,FALSE)</f>
        <v>1794672.0841757173</v>
      </c>
      <c r="P19" s="210">
        <f t="shared" si="0"/>
        <v>20809954.383252483</v>
      </c>
      <c r="Q19" s="210"/>
    </row>
    <row r="20" spans="1:17">
      <c r="A20" s="868">
        <f t="shared" si="1"/>
        <v>9</v>
      </c>
      <c r="B20" s="365">
        <v>9200</v>
      </c>
      <c r="C20" s="210" t="s">
        <v>182</v>
      </c>
      <c r="D20" s="597">
        <f>'[12]Division 012'!C42</f>
        <v>372337.49999999988</v>
      </c>
      <c r="E20" s="597">
        <f>'[12]Division 012'!D42</f>
        <v>306657.81</v>
      </c>
      <c r="F20" s="597">
        <f>'[12]Division 012'!E42</f>
        <v>349705.97000000003</v>
      </c>
      <c r="G20" s="597">
        <f>'[12]Division 012'!F42</f>
        <v>390956.49000000005</v>
      </c>
      <c r="H20" s="597">
        <f>'[12]Division 012'!G42</f>
        <v>367637.88000000006</v>
      </c>
      <c r="I20" s="597">
        <f>'[12]Division 012'!H42</f>
        <v>344048.59999999992</v>
      </c>
      <c r="J20" s="96">
        <f>VLOOKUP($B20,'[13]Div 12 forecast'!$D$176:$AF$252,9,FALSE)</f>
        <v>413870.56484457385</v>
      </c>
      <c r="K20" s="96">
        <f>VLOOKUP($B20,'[13]Div 12 forecast'!$D$176:$AF$252,10,FALSE)</f>
        <v>432534.08410683239</v>
      </c>
      <c r="L20" s="96">
        <f>VLOOKUP($B20,'[13]Div 12 forecast'!$D$176:$AF$252,11,FALSE)</f>
        <v>377113.85549855884</v>
      </c>
      <c r="M20" s="96">
        <f>VLOOKUP($B20,'[13]Div 12 forecast'!$D$176:$AF$252,12,FALSE)</f>
        <v>436138.12074621447</v>
      </c>
      <c r="N20" s="96">
        <f>VLOOKUP($B20,'[13]Div 12 forecast'!$D$176:$AF$252,13,FALSE)</f>
        <v>417906.00648276997</v>
      </c>
      <c r="O20" s="96">
        <f>VLOOKUP($B20,'[13]Div 12 forecast'!$D$176:$AF$252,14,FALSE)</f>
        <v>398790.66969390755</v>
      </c>
      <c r="P20" s="210">
        <f t="shared" si="0"/>
        <v>4607697.5513728568</v>
      </c>
      <c r="Q20" s="210"/>
    </row>
    <row r="21" spans="1:17">
      <c r="A21" s="868">
        <f t="shared" si="1"/>
        <v>10</v>
      </c>
      <c r="B21" s="365">
        <v>9210</v>
      </c>
      <c r="C21" s="210" t="s">
        <v>944</v>
      </c>
      <c r="D21" s="597">
        <f>'[12]Division 012'!C43</f>
        <v>589411.78000000014</v>
      </c>
      <c r="E21" s="597">
        <f>'[12]Division 012'!D43</f>
        <v>605657.49</v>
      </c>
      <c r="F21" s="597">
        <f>'[12]Division 012'!E43</f>
        <v>714835.34000000008</v>
      </c>
      <c r="G21" s="597">
        <f>'[12]Division 012'!F43</f>
        <v>706341.24000000022</v>
      </c>
      <c r="H21" s="597">
        <f>'[12]Division 012'!G43</f>
        <v>644057.04999999993</v>
      </c>
      <c r="I21" s="597">
        <f>'[12]Division 012'!H43</f>
        <v>628961.27</v>
      </c>
      <c r="J21" s="96">
        <f>VLOOKUP($B21,'[13]Div 12 forecast'!$D$176:$AF$252,9,FALSE)</f>
        <v>191855.05396996925</v>
      </c>
      <c r="K21" s="96">
        <f>VLOOKUP($B21,'[13]Div 12 forecast'!$D$176:$AF$252,10,FALSE)</f>
        <v>180789.54480166081</v>
      </c>
      <c r="L21" s="96">
        <f>VLOOKUP($B21,'[13]Div 12 forecast'!$D$176:$AF$252,11,FALSE)</f>
        <v>179691.6683881772</v>
      </c>
      <c r="M21" s="96">
        <f>VLOOKUP($B21,'[13]Div 12 forecast'!$D$176:$AF$252,12,FALSE)</f>
        <v>153089.65398182583</v>
      </c>
      <c r="N21" s="96">
        <f>VLOOKUP($B21,'[13]Div 12 forecast'!$D$176:$AF$252,13,FALSE)</f>
        <v>150561.90957695534</v>
      </c>
      <c r="O21" s="96">
        <f>VLOOKUP($B21,'[13]Div 12 forecast'!$D$176:$AF$252,14,FALSE)</f>
        <v>151915.91380028042</v>
      </c>
      <c r="P21" s="210">
        <f t="shared" si="0"/>
        <v>4897167.9145188695</v>
      </c>
      <c r="Q21" s="210"/>
    </row>
    <row r="22" spans="1:17">
      <c r="A22" s="868">
        <f t="shared" si="1"/>
        <v>11</v>
      </c>
      <c r="B22" s="365">
        <v>9220</v>
      </c>
      <c r="C22" s="210" t="s">
        <v>945</v>
      </c>
      <c r="D22" s="597">
        <f>'[12]Division 012'!C44</f>
        <v>-4107535.8400000003</v>
      </c>
      <c r="E22" s="597">
        <f>'[12]Division 012'!D44</f>
        <v>-3616023.3699999996</v>
      </c>
      <c r="F22" s="597">
        <f>'[12]Division 012'!E44</f>
        <v>-3896278.8499999996</v>
      </c>
      <c r="G22" s="597">
        <f>'[12]Division 012'!F44</f>
        <v>-3884435.4500000007</v>
      </c>
      <c r="H22" s="597">
        <f>'[12]Division 012'!G44</f>
        <v>-4070220.4099999997</v>
      </c>
      <c r="I22" s="597">
        <f>'[12]Division 012'!H44</f>
        <v>-3717146.5799999996</v>
      </c>
      <c r="J22" s="96">
        <f t="shared" ref="J22:O22" si="2">-(SUM(J12:J21)+SUM(J23:J28))</f>
        <v>-3977652.7899999991</v>
      </c>
      <c r="K22" s="96">
        <f t="shared" si="2"/>
        <v>-4067299.7699999996</v>
      </c>
      <c r="L22" s="96">
        <f t="shared" si="2"/>
        <v>-3611820.83</v>
      </c>
      <c r="M22" s="96">
        <f t="shared" si="2"/>
        <v>-4044130.3232999993</v>
      </c>
      <c r="N22" s="96">
        <f t="shared" si="2"/>
        <v>-3873414.9432999995</v>
      </c>
      <c r="O22" s="96">
        <f t="shared" si="2"/>
        <v>-3711715.1247</v>
      </c>
      <c r="P22" s="210">
        <f t="shared" si="0"/>
        <v>-46577674.281299993</v>
      </c>
      <c r="Q22" s="671"/>
    </row>
    <row r="23" spans="1:17">
      <c r="A23" s="868">
        <f t="shared" si="1"/>
        <v>12</v>
      </c>
      <c r="B23" s="365">
        <v>9230</v>
      </c>
      <c r="C23" s="210" t="s">
        <v>946</v>
      </c>
      <c r="D23" s="597">
        <f>'[12]Division 012'!C45</f>
        <v>85331.510000000009</v>
      </c>
      <c r="E23" s="597">
        <f>'[12]Division 012'!D45</f>
        <v>57129.81</v>
      </c>
      <c r="F23" s="597">
        <f>'[12]Division 012'!E45</f>
        <v>52402.36</v>
      </c>
      <c r="G23" s="597">
        <f>'[12]Division 012'!F45</f>
        <v>61633.69</v>
      </c>
      <c r="H23" s="597">
        <f>'[12]Division 012'!G45</f>
        <v>103506.25</v>
      </c>
      <c r="I23" s="597">
        <f>'[12]Division 012'!H45</f>
        <v>59967.729999999996</v>
      </c>
      <c r="J23" s="96">
        <f>VLOOKUP($B23,'[13]Div 12 forecast'!$D$176:$AF$252,9,FALSE)</f>
        <v>50422.130817872698</v>
      </c>
      <c r="K23" s="96">
        <f>VLOOKUP($B23,'[13]Div 12 forecast'!$D$176:$AF$252,10,FALSE)</f>
        <v>48471.991926228009</v>
      </c>
      <c r="L23" s="96">
        <f>VLOOKUP($B23,'[13]Div 12 forecast'!$D$176:$AF$252,11,FALSE)</f>
        <v>46024.928754045708</v>
      </c>
      <c r="M23" s="96">
        <f>VLOOKUP($B23,'[13]Div 12 forecast'!$D$176:$AF$252,12,FALSE)</f>
        <v>32385.512891150029</v>
      </c>
      <c r="N23" s="96">
        <f>VLOOKUP($B23,'[13]Div 12 forecast'!$D$176:$AF$252,13,FALSE)</f>
        <v>34085.951459102653</v>
      </c>
      <c r="O23" s="96">
        <f>VLOOKUP($B23,'[13]Div 12 forecast'!$D$176:$AF$252,14,FALSE)</f>
        <v>30999.572912707095</v>
      </c>
      <c r="P23" s="210">
        <f t="shared" si="0"/>
        <v>662361.43876110623</v>
      </c>
      <c r="Q23" s="210"/>
    </row>
    <row r="24" spans="1:17">
      <c r="A24" s="868">
        <f t="shared" si="1"/>
        <v>13</v>
      </c>
      <c r="B24" s="365">
        <v>9240</v>
      </c>
      <c r="C24" s="210" t="s">
        <v>947</v>
      </c>
      <c r="D24" s="597">
        <f>'[12]Division 012'!C46</f>
        <v>8105.89</v>
      </c>
      <c r="E24" s="597">
        <f>'[12]Division 012'!D46</f>
        <v>8105.89</v>
      </c>
      <c r="F24" s="597">
        <f>'[12]Division 012'!E46</f>
        <v>7660.39</v>
      </c>
      <c r="G24" s="597">
        <f>'[12]Division 012'!F46</f>
        <v>7660.39</v>
      </c>
      <c r="H24" s="597">
        <f>'[12]Division 012'!G46</f>
        <v>7660.39</v>
      </c>
      <c r="I24" s="597">
        <f>'[12]Division 012'!H46</f>
        <v>7660.39</v>
      </c>
      <c r="J24" s="96">
        <f>VLOOKUP($B24,'[13]Div 12 forecast'!$D$176:$AF$252,9,FALSE)</f>
        <v>0</v>
      </c>
      <c r="K24" s="96">
        <f>VLOOKUP($B24,'[13]Div 12 forecast'!$D$176:$AF$252,10,FALSE)</f>
        <v>0</v>
      </c>
      <c r="L24" s="96">
        <f>VLOOKUP($B24,'[13]Div 12 forecast'!$D$176:$AF$252,11,FALSE)</f>
        <v>0</v>
      </c>
      <c r="M24" s="96">
        <f>VLOOKUP($B24,'[13]Div 12 forecast'!$D$176:$AF$252,12,FALSE)</f>
        <v>0</v>
      </c>
      <c r="N24" s="96">
        <f>VLOOKUP($B24,'[13]Div 12 forecast'!$D$176:$AF$252,13,FALSE)</f>
        <v>0</v>
      </c>
      <c r="O24" s="96">
        <f>VLOOKUP($B24,'[13]Div 12 forecast'!$D$176:$AF$252,14,FALSE)</f>
        <v>0</v>
      </c>
      <c r="P24" s="210">
        <f t="shared" si="0"/>
        <v>46853.340000000004</v>
      </c>
      <c r="Q24" s="210"/>
    </row>
    <row r="25" spans="1:17">
      <c r="A25" s="868">
        <f t="shared" si="1"/>
        <v>14</v>
      </c>
      <c r="B25" s="365">
        <v>9250</v>
      </c>
      <c r="C25" s="80" t="s">
        <v>948</v>
      </c>
      <c r="D25" s="597">
        <f>'[12]Division 012'!C47</f>
        <v>17.28</v>
      </c>
      <c r="E25" s="597">
        <f>'[12]Division 012'!D47</f>
        <v>17.28</v>
      </c>
      <c r="F25" s="597">
        <f>'[12]Division 012'!E47</f>
        <v>17.28</v>
      </c>
      <c r="G25" s="597">
        <f>'[12]Division 012'!F47</f>
        <v>0</v>
      </c>
      <c r="H25" s="597">
        <f>'[12]Division 012'!G47</f>
        <v>0</v>
      </c>
      <c r="I25" s="597">
        <f>'[12]Division 012'!H47</f>
        <v>0</v>
      </c>
      <c r="J25" s="96">
        <f>VLOOKUP($B25,'[13]Div 12 forecast'!$D$176:$AF$252,9,FALSE)</f>
        <v>0</v>
      </c>
      <c r="K25" s="96">
        <f>VLOOKUP($B25,'[13]Div 12 forecast'!$D$176:$AF$252,10,FALSE)</f>
        <v>0</v>
      </c>
      <c r="L25" s="96">
        <f>VLOOKUP($B25,'[13]Div 12 forecast'!$D$176:$AF$252,11,FALSE)</f>
        <v>0</v>
      </c>
      <c r="M25" s="96">
        <f>VLOOKUP($B25,'[13]Div 12 forecast'!$D$176:$AF$252,12,FALSE)</f>
        <v>0</v>
      </c>
      <c r="N25" s="96">
        <f>VLOOKUP($B25,'[13]Div 12 forecast'!$D$176:$AF$252,13,FALSE)</f>
        <v>0</v>
      </c>
      <c r="O25" s="96">
        <f>VLOOKUP($B25,'[13]Div 12 forecast'!$D$176:$AF$252,14,FALSE)</f>
        <v>0</v>
      </c>
      <c r="P25" s="210">
        <f t="shared" si="0"/>
        <v>51.84</v>
      </c>
      <c r="Q25" s="210"/>
    </row>
    <row r="26" spans="1:17">
      <c r="A26" s="868">
        <f t="shared" si="1"/>
        <v>15</v>
      </c>
      <c r="B26" s="365">
        <v>9260</v>
      </c>
      <c r="C26" s="210" t="s">
        <v>949</v>
      </c>
      <c r="D26" s="597">
        <f>'[12]Division 012'!C48</f>
        <v>823774.28000000014</v>
      </c>
      <c r="E26" s="597">
        <f>'[12]Division 012'!D48</f>
        <v>704864.38000000012</v>
      </c>
      <c r="F26" s="597">
        <f>'[12]Division 012'!E48</f>
        <v>579503.47000000009</v>
      </c>
      <c r="G26" s="597">
        <f>'[12]Division 012'!F48</f>
        <v>731729.77999999991</v>
      </c>
      <c r="H26" s="597">
        <f>'[12]Division 012'!G48</f>
        <v>834566.24999999965</v>
      </c>
      <c r="I26" s="597">
        <f>'[12]Division 012'!H48</f>
        <v>715361.59</v>
      </c>
      <c r="J26" s="96">
        <f>VLOOKUP($B26,'[13]Div 12 forecast'!$D$176:$AF$252,9,FALSE)</f>
        <v>839343.06625238399</v>
      </c>
      <c r="K26" s="96">
        <f>VLOOKUP($B26,'[13]Div 12 forecast'!$D$176:$AF$252,10,FALSE)</f>
        <v>877906.09625238425</v>
      </c>
      <c r="L26" s="96">
        <f>VLOOKUP($B26,'[13]Div 12 forecast'!$D$176:$AF$252,11,FALSE)</f>
        <v>756941.22059230646</v>
      </c>
      <c r="M26" s="96">
        <f>VLOOKUP($B26,'[13]Div 12 forecast'!$D$176:$AF$252,12,FALSE)</f>
        <v>867377.20759058255</v>
      </c>
      <c r="N26" s="96">
        <f>VLOOKUP($B26,'[13]Div 12 forecast'!$D$176:$AF$252,13,FALSE)</f>
        <v>823530.30407971423</v>
      </c>
      <c r="O26" s="96">
        <f>VLOOKUP($B26,'[13]Div 12 forecast'!$D$176:$AF$252,14,FALSE)</f>
        <v>787853.33520255669</v>
      </c>
      <c r="P26" s="210">
        <f>SUM(D26:O26)</f>
        <v>9342750.979969928</v>
      </c>
      <c r="Q26" s="210"/>
    </row>
    <row r="27" spans="1:17">
      <c r="A27" s="868">
        <f t="shared" si="1"/>
        <v>16</v>
      </c>
      <c r="B27" s="365">
        <v>9310</v>
      </c>
      <c r="C27" s="210" t="s">
        <v>184</v>
      </c>
      <c r="D27" s="597">
        <f>'[12]Division 012'!C49</f>
        <v>131073.48000000001</v>
      </c>
      <c r="E27" s="597">
        <f>'[12]Division 012'!D49</f>
        <v>131911.15</v>
      </c>
      <c r="F27" s="597">
        <f>'[12]Division 012'!E49</f>
        <v>131577.41</v>
      </c>
      <c r="G27" s="597">
        <f>'[12]Division 012'!F49</f>
        <v>134295.28</v>
      </c>
      <c r="H27" s="597">
        <f>'[12]Division 012'!G49</f>
        <v>131229.85999999999</v>
      </c>
      <c r="I27" s="597">
        <f>'[12]Division 012'!H49</f>
        <v>131089.63999999998</v>
      </c>
      <c r="J27" s="96">
        <f>VLOOKUP($B27,'[13]Div 12 forecast'!$D$176:$AF$252,9,FALSE)</f>
        <v>136839.07250001791</v>
      </c>
      <c r="K27" s="96">
        <f>VLOOKUP($B27,'[13]Div 12 forecast'!$D$176:$AF$252,10,FALSE)</f>
        <v>136377.63867142188</v>
      </c>
      <c r="L27" s="96">
        <f>VLOOKUP($B27,'[13]Div 12 forecast'!$D$176:$AF$252,11,FALSE)</f>
        <v>136377.63867142188</v>
      </c>
      <c r="M27" s="96">
        <f>VLOOKUP($B27,'[13]Div 12 forecast'!$D$176:$AF$252,12,FALSE)</f>
        <v>131675.40025483278</v>
      </c>
      <c r="N27" s="96">
        <f>VLOOKUP($B27,'[13]Div 12 forecast'!$D$176:$AF$252,13,FALSE)</f>
        <v>131675.40025483278</v>
      </c>
      <c r="O27" s="96">
        <f>VLOOKUP($B27,'[13]Div 12 forecast'!$D$176:$AF$252,14,FALSE)</f>
        <v>132010.25789532339</v>
      </c>
      <c r="P27" s="210">
        <f>SUM(D27:O27)</f>
        <v>1596132.2282478509</v>
      </c>
      <c r="Q27" s="210"/>
    </row>
    <row r="28" spans="1:17">
      <c r="A28" s="868">
        <f t="shared" si="1"/>
        <v>17</v>
      </c>
      <c r="B28" s="365">
        <v>9320</v>
      </c>
      <c r="C28" s="210" t="s">
        <v>185</v>
      </c>
      <c r="D28" s="597">
        <f>'[12]Division 012'!C50</f>
        <v>2008.94</v>
      </c>
      <c r="E28" s="597">
        <f>'[12]Division 012'!D50</f>
        <v>56.08</v>
      </c>
      <c r="F28" s="597">
        <f>'[12]Division 012'!E50</f>
        <v>934.84</v>
      </c>
      <c r="G28" s="597">
        <f>'[12]Division 012'!F50</f>
        <v>0</v>
      </c>
      <c r="H28" s="597">
        <f>'[12]Division 012'!G50</f>
        <v>0</v>
      </c>
      <c r="I28" s="597">
        <f>'[12]Division 012'!H50</f>
        <v>968.25</v>
      </c>
      <c r="J28" s="96">
        <f>VLOOKUP($B28,'[13]Div 12 forecast'!$D$176:$AF$252,9,FALSE)</f>
        <v>2.6821646268993282</v>
      </c>
      <c r="K28" s="96">
        <f>VLOOKUP($B28,'[13]Div 12 forecast'!$D$176:$AF$252,10,FALSE)</f>
        <v>2.6821646268993282</v>
      </c>
      <c r="L28" s="96">
        <f>VLOOKUP($B28,'[13]Div 12 forecast'!$D$176:$AF$252,11,FALSE)</f>
        <v>6.3855386006329189</v>
      </c>
      <c r="M28" s="96">
        <f>VLOOKUP($B28,'[13]Div 12 forecast'!$D$176:$AF$252,12,FALSE)</f>
        <v>3.9636432819734515</v>
      </c>
      <c r="N28" s="96">
        <f>VLOOKUP($B28,'[13]Div 12 forecast'!$D$176:$AF$252,13,FALSE)</f>
        <v>3.9636432819734515</v>
      </c>
      <c r="O28" s="96">
        <f>VLOOKUP($B28,'[13]Div 12 forecast'!$D$176:$AF$252,14,FALSE)</f>
        <v>9.0458485527945491</v>
      </c>
      <c r="P28" s="210">
        <f>SUM(D28:O28)</f>
        <v>3996.8330029711738</v>
      </c>
      <c r="Q28" s="210"/>
    </row>
    <row r="29" spans="1:17">
      <c r="A29" s="868">
        <f t="shared" si="1"/>
        <v>18</v>
      </c>
      <c r="B29" s="210"/>
      <c r="C29" s="875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16"/>
      <c r="Q29" s="216"/>
    </row>
    <row r="30" spans="1:17" ht="15.75" thickBot="1">
      <c r="A30" s="868">
        <f t="shared" si="1"/>
        <v>19</v>
      </c>
      <c r="B30" s="216" t="s">
        <v>734</v>
      </c>
      <c r="C30" s="875"/>
      <c r="D30" s="651">
        <f>SUM(D12:D28)</f>
        <v>-2.0000000166419341E-2</v>
      </c>
      <c r="E30" s="651">
        <f t="shared" ref="E30:P30" si="3">SUM(E12:E29)</f>
        <v>-2.9999999433059088E-2</v>
      </c>
      <c r="F30" s="651">
        <f t="shared" si="3"/>
        <v>1.0000000827744771E-2</v>
      </c>
      <c r="G30" s="651">
        <f t="shared" si="3"/>
        <v>1.999999929103069E-2</v>
      </c>
      <c r="H30" s="651">
        <f t="shared" si="3"/>
        <v>2.0000000135041773E-2</v>
      </c>
      <c r="I30" s="651">
        <f t="shared" si="3"/>
        <v>4.0000000357395038E-2</v>
      </c>
      <c r="J30" s="651">
        <f t="shared" si="3"/>
        <v>9.2120977512877289E-11</v>
      </c>
      <c r="K30" s="651">
        <f t="shared" si="3"/>
        <v>2.085362993398121E-10</v>
      </c>
      <c r="L30" s="651">
        <f t="shared" si="3"/>
        <v>-1.3061995929319892E-10</v>
      </c>
      <c r="M30" s="651">
        <f t="shared" si="3"/>
        <v>2.237690033268791E-10</v>
      </c>
      <c r="N30" s="651">
        <f t="shared" si="3"/>
        <v>-1.2547696215392534E-10</v>
      </c>
      <c r="O30" s="651">
        <f t="shared" si="3"/>
        <v>-9.9763752814396867E-11</v>
      </c>
      <c r="P30" s="651">
        <f t="shared" si="3"/>
        <v>4.0000007874823496E-2</v>
      </c>
      <c r="Q30" s="652"/>
    </row>
    <row r="31" spans="1:17" ht="15.75" thickTop="1">
      <c r="A31" s="868">
        <f t="shared" si="1"/>
        <v>20</v>
      </c>
      <c r="B31" s="216"/>
      <c r="C31" s="875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7">
      <c r="A32" s="868">
        <f t="shared" si="1"/>
        <v>21</v>
      </c>
      <c r="B32" s="365">
        <f>B22</f>
        <v>9220</v>
      </c>
      <c r="C32" s="368" t="str">
        <f>C22</f>
        <v>A&amp;G-Administrative expense transferred-Credit</v>
      </c>
      <c r="D32" s="366">
        <f>D22</f>
        <v>-4107535.8400000003</v>
      </c>
      <c r="E32" s="366">
        <f t="shared" ref="E32:I32" si="4">E22</f>
        <v>-3616023.3699999996</v>
      </c>
      <c r="F32" s="366">
        <f t="shared" si="4"/>
        <v>-3896278.8499999996</v>
      </c>
      <c r="G32" s="366">
        <f t="shared" si="4"/>
        <v>-3884435.4500000007</v>
      </c>
      <c r="H32" s="366">
        <f t="shared" si="4"/>
        <v>-4070220.4099999997</v>
      </c>
      <c r="I32" s="366">
        <f t="shared" si="4"/>
        <v>-3717146.5799999996</v>
      </c>
      <c r="J32" s="366">
        <f t="shared" ref="J32:K32" si="5">-(J30-J22)</f>
        <v>-3977652.7899999991</v>
      </c>
      <c r="K32" s="366">
        <f t="shared" si="5"/>
        <v>-4067299.7699999996</v>
      </c>
      <c r="L32" s="369">
        <f>L22</f>
        <v>-3611820.83</v>
      </c>
      <c r="M32" s="369">
        <f>M22</f>
        <v>-4044130.3232999993</v>
      </c>
      <c r="N32" s="369">
        <f>N22</f>
        <v>-3873414.9432999995</v>
      </c>
      <c r="O32" s="369">
        <f>O22</f>
        <v>-3711715.1247</v>
      </c>
      <c r="P32" s="210">
        <f t="shared" ref="P32" si="6">SUM(D32:O32)</f>
        <v>-46577674.281299993</v>
      </c>
      <c r="Q32" s="216"/>
    </row>
    <row r="33" spans="1:17">
      <c r="A33" s="868">
        <f t="shared" si="1"/>
        <v>22</v>
      </c>
      <c r="B33" s="216"/>
      <c r="C33" s="367" t="s">
        <v>195</v>
      </c>
      <c r="D33" s="386">
        <f>D34/D32</f>
        <v>4.5425395484802386E-2</v>
      </c>
      <c r="E33" s="386">
        <f t="shared" ref="E33:I33" si="7">E34/E32</f>
        <v>4.5008688646832502E-2</v>
      </c>
      <c r="F33" s="386">
        <f t="shared" si="7"/>
        <v>4.5234786006140199E-2</v>
      </c>
      <c r="G33" s="386">
        <f t="shared" si="7"/>
        <v>4.4863950564553716E-2</v>
      </c>
      <c r="H33" s="386">
        <f t="shared" si="7"/>
        <v>4.5404575522729494E-2</v>
      </c>
      <c r="I33" s="386">
        <f t="shared" si="7"/>
        <v>4.3839586761735945E-2</v>
      </c>
      <c r="J33" s="386">
        <f>Allocation!$I$15</f>
        <v>5.6412179785543033E-2</v>
      </c>
      <c r="K33" s="386">
        <f>Allocation!$I$15</f>
        <v>5.6412179785543033E-2</v>
      </c>
      <c r="L33" s="386">
        <f>Allocation!$I$15</f>
        <v>5.6412179785543033E-2</v>
      </c>
      <c r="M33" s="386">
        <f>Allocation!$I$15</f>
        <v>5.6412179785543033E-2</v>
      </c>
      <c r="N33" s="386">
        <f>Allocation!$I$15</f>
        <v>5.6412179785543033E-2</v>
      </c>
      <c r="O33" s="386">
        <f>Allocation!$I$15</f>
        <v>5.6412179785543033E-2</v>
      </c>
      <c r="P33" s="386">
        <f t="shared" ref="P33" si="8">P34/P32</f>
        <v>5.0694632795586225E-2</v>
      </c>
      <c r="Q33" s="216"/>
    </row>
    <row r="34" spans="1:17">
      <c r="A34" s="868">
        <f t="shared" si="1"/>
        <v>23</v>
      </c>
      <c r="B34" s="216"/>
      <c r="C34" s="216" t="s">
        <v>210</v>
      </c>
      <c r="D34" s="216">
        <f>-'[15]div 9 monthly 9220'!C13</f>
        <v>-186586.44</v>
      </c>
      <c r="E34" s="216">
        <f>-'[15]div 9 monthly 9220'!D13</f>
        <v>-162752.47</v>
      </c>
      <c r="F34" s="216">
        <f>-'[15]div 9 monthly 9220'!E13</f>
        <v>-176247.34</v>
      </c>
      <c r="G34" s="216">
        <f>-'[15]div 9 monthly 9220'!F13</f>
        <v>-174271.12</v>
      </c>
      <c r="H34" s="216">
        <f>-'[15]div 9 monthly 9220'!G13</f>
        <v>-184806.63</v>
      </c>
      <c r="I34" s="216">
        <f>-'[15]div 9 monthly 9220'!H13</f>
        <v>-162958.17000000001</v>
      </c>
      <c r="J34" s="216">
        <f t="shared" ref="J34:O34" si="9">J32*J33</f>
        <v>-224388.06431394679</v>
      </c>
      <c r="K34" s="216">
        <f t="shared" si="9"/>
        <v>-229445.2458669378</v>
      </c>
      <c r="L34" s="216">
        <f t="shared" si="9"/>
        <v>-203750.68601512926</v>
      </c>
      <c r="M34" s="216">
        <f t="shared" si="9"/>
        <v>-228138.20687416583</v>
      </c>
      <c r="N34" s="216">
        <f t="shared" si="9"/>
        <v>-218507.78016544855</v>
      </c>
      <c r="O34" s="216">
        <f t="shared" si="9"/>
        <v>-209385.94092729568</v>
      </c>
      <c r="P34" s="210">
        <f>SUM(D34:O34)</f>
        <v>-2361238.0941629237</v>
      </c>
      <c r="Q34" s="216"/>
    </row>
    <row r="35" spans="1:17">
      <c r="A35" s="868">
        <f t="shared" si="1"/>
        <v>24</v>
      </c>
      <c r="B35" s="216"/>
      <c r="C35" s="875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9"/>
      <c r="P35" s="881"/>
      <c r="Q35" s="216"/>
    </row>
    <row r="36" spans="1:17">
      <c r="A36" s="216"/>
      <c r="B36" s="216"/>
      <c r="C36" s="875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9"/>
      <c r="P36" s="219"/>
      <c r="Q36" s="216"/>
    </row>
    <row r="37" spans="1:17">
      <c r="A37" s="216"/>
      <c r="B37" s="216" t="s">
        <v>562</v>
      </c>
      <c r="C37" s="875"/>
      <c r="D37" s="652"/>
      <c r="E37" s="652"/>
      <c r="F37" s="652"/>
      <c r="G37" s="652"/>
      <c r="H37" s="652"/>
      <c r="I37" s="652"/>
      <c r="J37" s="216"/>
      <c r="K37" s="216"/>
      <c r="L37" s="216"/>
      <c r="M37" s="216"/>
      <c r="N37" s="216"/>
      <c r="O37" s="216"/>
      <c r="P37" s="652"/>
      <c r="Q37" s="216"/>
    </row>
    <row r="38" spans="1:17">
      <c r="A38" s="216"/>
      <c r="B38" s="216"/>
      <c r="C38" s="216"/>
      <c r="D38" s="219"/>
      <c r="E38" s="219"/>
      <c r="F38" s="219"/>
      <c r="G38" s="219"/>
      <c r="H38" s="219"/>
      <c r="I38" s="219"/>
      <c r="J38" s="216"/>
      <c r="K38" s="219"/>
      <c r="L38" s="219"/>
      <c r="M38" s="219"/>
      <c r="N38" s="219"/>
      <c r="O38" s="219"/>
      <c r="P38" s="219"/>
      <c r="Q38" s="219"/>
    </row>
    <row r="39" spans="1:17">
      <c r="A39" s="216"/>
      <c r="B39" s="216"/>
      <c r="C39" s="216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671"/>
      <c r="Q39" s="219"/>
    </row>
    <row r="40" spans="1:17">
      <c r="A40" s="216"/>
      <c r="B40" s="216" t="s">
        <v>953</v>
      </c>
      <c r="C40" s="216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17">
      <c r="A41" s="216"/>
      <c r="B41" s="216" t="s">
        <v>1596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761"/>
      <c r="Q41" s="216"/>
    </row>
    <row r="42" spans="1:17">
      <c r="A42" s="216"/>
      <c r="B42" s="81" t="s">
        <v>1624</v>
      </c>
      <c r="C42" s="216"/>
      <c r="D42" s="761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9"/>
      <c r="P43" s="219"/>
      <c r="Q43" s="216"/>
    </row>
    <row r="44" spans="1:17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9"/>
      <c r="P44" s="219"/>
      <c r="Q44" s="216"/>
    </row>
    <row r="45" spans="1:17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9"/>
      <c r="P45" s="219"/>
      <c r="Q45" s="216"/>
    </row>
    <row r="46" spans="1:17">
      <c r="A46" s="216"/>
      <c r="B46" s="216"/>
      <c r="C46" s="671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1:17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>
      <c r="A50" s="216"/>
    </row>
    <row r="52" spans="1:17">
      <c r="C52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5"/>
  <sheetViews>
    <sheetView view="pageBreakPreview" zoomScale="80" zoomScaleNormal="70" zoomScaleSheetLayoutView="8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J56" sqref="J56"/>
    </sheetView>
  </sheetViews>
  <sheetFormatPr defaultColWidth="7.109375" defaultRowHeight="15"/>
  <cols>
    <col min="1" max="1" width="6.2187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2.44140625" style="80" customWidth="1"/>
    <col min="15" max="15" width="10.5546875" style="80" bestFit="1" customWidth="1"/>
    <col min="16" max="16" width="12.44140625" style="80" customWidth="1"/>
    <col min="17" max="17" width="12.5546875" style="80" customWidth="1"/>
    <col min="18" max="16384" width="7.109375" style="80"/>
  </cols>
  <sheetData>
    <row r="1" spans="1:18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81"/>
      <c r="R1" s="81"/>
    </row>
    <row r="2" spans="1:18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81"/>
      <c r="R2" s="81"/>
    </row>
    <row r="3" spans="1:18" ht="15.75">
      <c r="A3" s="1210" t="s">
        <v>190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81"/>
      <c r="R3" s="81"/>
    </row>
    <row r="4" spans="1:18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95"/>
      <c r="R4" s="195"/>
    </row>
    <row r="5" spans="1:18">
      <c r="A5" s="81"/>
      <c r="B5" s="150"/>
      <c r="C5" s="150"/>
      <c r="D5" s="150"/>
      <c r="E5" s="150"/>
      <c r="F5" s="150"/>
      <c r="G5" s="870"/>
      <c r="H5" s="201"/>
      <c r="I5" s="201"/>
      <c r="J5" s="201"/>
      <c r="K5" s="201"/>
      <c r="L5" s="201"/>
      <c r="M5" s="201"/>
      <c r="N5" s="201"/>
      <c r="O5" s="201"/>
      <c r="P5" s="195"/>
      <c r="Q5" s="195"/>
      <c r="R5" s="195"/>
    </row>
    <row r="6" spans="1:18" ht="15.75">
      <c r="A6" s="233" t="str">
        <f>'C.2.2 B 09'!A6</f>
        <v>Data:___X____Base Period________Forecasted Period</v>
      </c>
      <c r="B6" s="195"/>
      <c r="C6" s="233"/>
      <c r="D6" s="195"/>
      <c r="E6" s="195"/>
      <c r="F6" s="871"/>
      <c r="G6" s="195"/>
      <c r="H6" s="195"/>
      <c r="I6" s="195"/>
      <c r="J6" s="195"/>
      <c r="K6" s="195"/>
      <c r="L6" s="195"/>
      <c r="M6" s="195"/>
      <c r="N6" s="195"/>
      <c r="O6" s="195"/>
      <c r="P6" s="506" t="s">
        <v>1430</v>
      </c>
      <c r="Q6" s="195"/>
      <c r="R6" s="195"/>
    </row>
    <row r="7" spans="1:18">
      <c r="A7" s="233" t="str">
        <f>'C.2.2 B 09'!A7</f>
        <v>Type of Filing:___X____Original________Updated ________Revised</v>
      </c>
      <c r="B7" s="195"/>
      <c r="C7" s="233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507" t="s">
        <v>37</v>
      </c>
      <c r="Q7" s="195"/>
      <c r="R7" s="195"/>
    </row>
    <row r="8" spans="1:18">
      <c r="A8" s="313" t="str">
        <f>'C.2.2 B 09'!A8</f>
        <v>Workpaper Reference No(s).____________________</v>
      </c>
      <c r="B8" s="237"/>
      <c r="C8" s="873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237"/>
      <c r="O8" s="237"/>
      <c r="P8" s="508" t="str">
        <f>'C.1'!J9</f>
        <v>Witness: Waller, Densman</v>
      </c>
      <c r="Q8" s="195"/>
      <c r="R8" s="195"/>
    </row>
    <row r="9" spans="1:18">
      <c r="A9" s="861" t="s">
        <v>93</v>
      </c>
      <c r="B9" s="862" t="s">
        <v>100</v>
      </c>
      <c r="C9" s="863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295" t="str">
        <f>'C.2.2 B 09'!I9</f>
        <v>actual</v>
      </c>
      <c r="J9" s="295" t="str">
        <f>'C.2.2 B 09'!J9</f>
        <v>Forecasted</v>
      </c>
      <c r="K9" s="295" t="str">
        <f>'C.2.2 B 09'!K9</f>
        <v>Forecasted</v>
      </c>
      <c r="L9" s="295" t="str">
        <f>'C.2.2 B 09'!L9</f>
        <v>Forecasted</v>
      </c>
      <c r="M9" s="295" t="str">
        <f>'C.2.2 B 09'!M9</f>
        <v>Budgeted</v>
      </c>
      <c r="N9" s="295" t="str">
        <f>'C.2.2 B 09'!N9</f>
        <v>Budgeted</v>
      </c>
      <c r="O9" s="295" t="str">
        <f>'C.2.2 B 09'!O9</f>
        <v>Budgeted</v>
      </c>
      <c r="P9" s="874"/>
      <c r="Q9" s="461"/>
      <c r="R9" s="461"/>
    </row>
    <row r="10" spans="1:18">
      <c r="A10" s="864" t="s">
        <v>99</v>
      </c>
      <c r="B10" s="865" t="s">
        <v>99</v>
      </c>
      <c r="C10" s="866" t="s">
        <v>952</v>
      </c>
      <c r="D10" s="207">
        <f>'C.2.2 B 09'!D10</f>
        <v>43101</v>
      </c>
      <c r="E10" s="207">
        <f>'C.2.2 B 09'!E10</f>
        <v>43132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207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880"/>
      <c r="R10" s="461"/>
    </row>
    <row r="11" spans="1:18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09"/>
      <c r="R11" s="195"/>
    </row>
    <row r="12" spans="1:18">
      <c r="A12" s="195"/>
      <c r="B12" s="830" t="s">
        <v>733</v>
      </c>
      <c r="C12" s="103" t="s">
        <v>724</v>
      </c>
      <c r="D12" s="597">
        <f>SUM('[12]Division 091'!C$52:C$53)</f>
        <v>3834544.8</v>
      </c>
      <c r="E12" s="597">
        <f>SUM('[12]Division 091'!D$52:D$53)</f>
        <v>3389683.01</v>
      </c>
      <c r="F12" s="597">
        <f>SUM('[12]Division 091'!E$52:E$53)</f>
        <v>-10554542</v>
      </c>
      <c r="G12" s="597">
        <f>SUM('[12]Division 091'!F$52:F$53)</f>
        <v>1775436.38</v>
      </c>
      <c r="H12" s="597">
        <f>SUM('[12]Division 091'!G$52:G$53)</f>
        <v>196481.18</v>
      </c>
      <c r="I12" s="597">
        <f>SUM('[12]Division 091'!H$52:H$53)</f>
        <v>-1971503</v>
      </c>
      <c r="J12" s="597"/>
      <c r="K12" s="96"/>
      <c r="L12" s="96"/>
      <c r="M12" s="96"/>
      <c r="N12" s="96"/>
      <c r="O12" s="96"/>
      <c r="P12" s="210">
        <f t="shared" ref="P12:P15" si="0">SUM(D12:O12)</f>
        <v>-3329899.6300000008</v>
      </c>
      <c r="Q12" s="209"/>
      <c r="R12" s="195"/>
    </row>
    <row r="13" spans="1:18">
      <c r="A13" s="195"/>
      <c r="B13" s="195"/>
      <c r="C13" s="195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>
        <f t="shared" si="0"/>
        <v>0</v>
      </c>
      <c r="Q13" s="209"/>
      <c r="R13" s="195"/>
    </row>
    <row r="14" spans="1:18">
      <c r="A14" s="461">
        <v>1</v>
      </c>
      <c r="B14" s="830">
        <v>4030</v>
      </c>
      <c r="C14" s="195" t="s">
        <v>91</v>
      </c>
      <c r="D14" s="597">
        <f>'[12]Division 091'!C$48</f>
        <v>-4.2632564145606011E-13</v>
      </c>
      <c r="E14" s="597">
        <f>'[12]Division 091'!D$48</f>
        <v>-2.9842794901924208E-13</v>
      </c>
      <c r="F14" s="597">
        <f>'[12]Division 091'!E$48</f>
        <v>-1.2789769243681803E-13</v>
      </c>
      <c r="G14" s="597">
        <f>'[12]Division 091'!F$48</f>
        <v>-2.8421709430404007E-13</v>
      </c>
      <c r="H14" s="597">
        <f>'[12]Division 091'!G$48</f>
        <v>-2.5579538487363607E-13</v>
      </c>
      <c r="I14" s="597">
        <f>'[12]Division 091'!H$48</f>
        <v>1.0000000000118803E-2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0">
        <f t="shared" si="0"/>
        <v>9.999999998726139E-3</v>
      </c>
      <c r="Q14" s="671"/>
      <c r="R14" s="210"/>
    </row>
    <row r="15" spans="1:18">
      <c r="A15" s="461">
        <f>A14+1</f>
        <v>2</v>
      </c>
      <c r="B15" s="830" t="s">
        <v>1390</v>
      </c>
      <c r="C15" s="195" t="s">
        <v>861</v>
      </c>
      <c r="D15" s="597">
        <f>'[12]Division 091'!C$49</f>
        <v>0</v>
      </c>
      <c r="E15" s="597">
        <f>'[12]Division 091'!D$49</f>
        <v>0</v>
      </c>
      <c r="F15" s="597">
        <f>'[12]Division 091'!E$49</f>
        <v>0</v>
      </c>
      <c r="G15" s="597">
        <f>'[12]Division 091'!F$49</f>
        <v>0</v>
      </c>
      <c r="H15" s="597">
        <f>'[12]Division 091'!G$49</f>
        <v>0</v>
      </c>
      <c r="I15" s="597">
        <f>'[12]Division 091'!H$49</f>
        <v>0</v>
      </c>
      <c r="J15" s="96"/>
      <c r="K15" s="96"/>
      <c r="L15" s="96"/>
      <c r="M15" s="96"/>
      <c r="N15" s="96"/>
      <c r="O15" s="96"/>
      <c r="P15" s="210">
        <f t="shared" si="0"/>
        <v>0</v>
      </c>
      <c r="Q15" s="671"/>
      <c r="R15" s="210"/>
    </row>
    <row r="16" spans="1:18">
      <c r="A16" s="461">
        <f t="shared" ref="A16:A57" si="1">A15+1</f>
        <v>3</v>
      </c>
      <c r="B16" s="365">
        <v>4081</v>
      </c>
      <c r="C16" s="195" t="s">
        <v>862</v>
      </c>
      <c r="D16" s="597">
        <f>'[12]Division 091'!C$51</f>
        <v>1.0000000009313226E-2</v>
      </c>
      <c r="E16" s="597">
        <f>'[12]Division 091'!D$51</f>
        <v>-6.1186167243931777E-11</v>
      </c>
      <c r="F16" s="597">
        <f>'[12]Division 091'!E$51</f>
        <v>-9.9999999931128514E-3</v>
      </c>
      <c r="G16" s="597">
        <f>'[12]Division 091'!F$51</f>
        <v>8.8817841970012523E-13</v>
      </c>
      <c r="H16" s="597">
        <f>'[12]Division 091'!G$51</f>
        <v>1.9999999981905603E-2</v>
      </c>
      <c r="I16" s="597">
        <f>'[12]Division 091'!H$51</f>
        <v>113942.48999999989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0">
        <f t="shared" ref="P16:P51" si="2">SUM(D16:O16)</f>
        <v>113942.50999999982</v>
      </c>
      <c r="Q16" s="210"/>
      <c r="R16" s="210"/>
    </row>
    <row r="17" spans="1:18">
      <c r="A17" s="461">
        <f t="shared" si="1"/>
        <v>4</v>
      </c>
      <c r="B17" s="365">
        <v>8170</v>
      </c>
      <c r="C17" s="195" t="s">
        <v>887</v>
      </c>
      <c r="D17" s="597">
        <f>'[12]Division 091'!C58</f>
        <v>47.02</v>
      </c>
      <c r="E17" s="597">
        <f>'[12]Division 091'!D58</f>
        <v>48.37</v>
      </c>
      <c r="F17" s="597">
        <f>'[12]Division 091'!E58</f>
        <v>44.57</v>
      </c>
      <c r="G17" s="597">
        <f>'[12]Division 091'!F58</f>
        <v>43.43</v>
      </c>
      <c r="H17" s="597">
        <f>'[12]Division 091'!G58</f>
        <v>39.32</v>
      </c>
      <c r="I17" s="597">
        <f>'[12]Division 091'!H58</f>
        <v>41.59</v>
      </c>
      <c r="J17" s="96">
        <f>VLOOKUP($B17,'[13]Div 91 forecast'!$D$309:$AF$388,9,FALSE)</f>
        <v>45.126239180274631</v>
      </c>
      <c r="K17" s="96">
        <f>VLOOKUP($B17,'[13]Div 91 forecast'!$D$309:$AF$388,10,FALSE)</f>
        <v>43.061326878343436</v>
      </c>
      <c r="L17" s="96">
        <f>VLOOKUP($B17,'[13]Div 91 forecast'!$D$309:$AF$388,11,FALSE)</f>
        <v>43.741977081124567</v>
      </c>
      <c r="M17" s="96">
        <f>VLOOKUP($B17,'[13]Div 91 forecast'!$D$309:$AF$388,12,FALSE)</f>
        <v>40.358965159995584</v>
      </c>
      <c r="N17" s="96">
        <f>VLOOKUP($B17,'[13]Div 91 forecast'!$D$309:$AF$388,13,FALSE)</f>
        <v>40.202989655695617</v>
      </c>
      <c r="O17" s="96">
        <f>VLOOKUP($B17,'[13]Div 91 forecast'!$D$309:$AF$388,14,FALSE)</f>
        <v>40.754726350190971</v>
      </c>
      <c r="P17" s="210">
        <f t="shared" si="2"/>
        <v>517.54622430562483</v>
      </c>
      <c r="Q17" s="210"/>
      <c r="R17" s="210"/>
    </row>
    <row r="18" spans="1:18">
      <c r="A18" s="461">
        <f t="shared" si="1"/>
        <v>5</v>
      </c>
      <c r="B18" s="365">
        <v>8180</v>
      </c>
      <c r="C18" s="195" t="s">
        <v>888</v>
      </c>
      <c r="D18" s="597">
        <f>'[12]Division 091'!C59</f>
        <v>48.879999999999995</v>
      </c>
      <c r="E18" s="597">
        <f>'[12]Division 091'!D59</f>
        <v>50.289999999999964</v>
      </c>
      <c r="F18" s="597">
        <f>'[12]Division 091'!E59</f>
        <v>46.340000000000032</v>
      </c>
      <c r="G18" s="597">
        <f>'[12]Division 091'!F59</f>
        <v>45.160000000000025</v>
      </c>
      <c r="H18" s="597">
        <f>'[12]Division 091'!G59</f>
        <v>40.880000000000024</v>
      </c>
      <c r="I18" s="597">
        <f>'[12]Division 091'!H59</f>
        <v>36.180000000000035</v>
      </c>
      <c r="J18" s="96">
        <f>VLOOKUP($B18,'[13]Div 91 forecast'!$D$309:$AF$388,9,FALSE)</f>
        <v>45.711872931271046</v>
      </c>
      <c r="K18" s="96">
        <f>VLOOKUP($B18,'[13]Div 91 forecast'!$D$309:$AF$388,10,FALSE)</f>
        <v>43.620162864695089</v>
      </c>
      <c r="L18" s="96">
        <f>VLOOKUP($B18,'[13]Div 91 forecast'!$D$309:$AF$388,11,FALSE)</f>
        <v>44.309646325877793</v>
      </c>
      <c r="M18" s="96">
        <f>VLOOKUP($B18,'[13]Div 91 forecast'!$D$309:$AF$388,12,FALSE)</f>
        <v>40.882730769147315</v>
      </c>
      <c r="N18" s="96">
        <f>VLOOKUP($B18,'[13]Div 91 forecast'!$D$309:$AF$388,13,FALSE)</f>
        <v>40.724731065150962</v>
      </c>
      <c r="O18" s="96">
        <f>VLOOKUP($B18,'[13]Div 91 forecast'!$D$309:$AF$388,14,FALSE)</f>
        <v>41.283628020191628</v>
      </c>
      <c r="P18" s="210">
        <f t="shared" si="2"/>
        <v>524.26277197633385</v>
      </c>
      <c r="Q18" s="210"/>
      <c r="R18" s="210"/>
    </row>
    <row r="19" spans="1:18">
      <c r="A19" s="461">
        <f t="shared" si="1"/>
        <v>6</v>
      </c>
      <c r="B19" s="365">
        <v>8190</v>
      </c>
      <c r="C19" s="195" t="s">
        <v>889</v>
      </c>
      <c r="D19" s="597">
        <f>'[12]Division 091'!C60</f>
        <v>383.55</v>
      </c>
      <c r="E19" s="597">
        <f>'[12]Division 091'!D60</f>
        <v>10.26</v>
      </c>
      <c r="F19" s="597">
        <f>'[12]Division 091'!E60</f>
        <v>502</v>
      </c>
      <c r="G19" s="597">
        <f>'[12]Division 091'!F60</f>
        <v>70.14</v>
      </c>
      <c r="H19" s="597">
        <f>'[12]Division 091'!G60</f>
        <v>9.85</v>
      </c>
      <c r="I19" s="597">
        <f>'[12]Division 091'!H60</f>
        <v>599.29</v>
      </c>
      <c r="J19" s="96">
        <f>VLOOKUP($B19,'[13]Div 91 forecast'!$D$309:$AF$388,9,FALSE)</f>
        <v>268.92882357343456</v>
      </c>
      <c r="K19" s="96">
        <f>VLOOKUP($B19,'[13]Div 91 forecast'!$D$309:$AF$388,10,FALSE)</f>
        <v>256.62302441471792</v>
      </c>
      <c r="L19" s="96">
        <f>VLOOKUP($B19,'[13]Div 91 forecast'!$D$309:$AF$388,11,FALSE)</f>
        <v>260.6793442327222</v>
      </c>
      <c r="M19" s="96">
        <f>VLOOKUP($B19,'[13]Div 91 forecast'!$D$309:$AF$388,12,FALSE)</f>
        <v>240.51835956813255</v>
      </c>
      <c r="N19" s="96">
        <f>VLOOKUP($B19,'[13]Div 91 forecast'!$D$309:$AF$388,13,FALSE)</f>
        <v>239.58882700260912</v>
      </c>
      <c r="O19" s="96">
        <f>VLOOKUP($B19,'[13]Div 91 forecast'!$D$309:$AF$388,14,FALSE)</f>
        <v>242.87688962134803</v>
      </c>
      <c r="P19" s="210">
        <f t="shared" si="2"/>
        <v>3084.3052684129634</v>
      </c>
      <c r="Q19" s="210"/>
      <c r="R19" s="210"/>
    </row>
    <row r="20" spans="1:18">
      <c r="A20" s="461">
        <f t="shared" si="1"/>
        <v>7</v>
      </c>
      <c r="B20" s="365">
        <v>8210</v>
      </c>
      <c r="C20" s="195" t="s">
        <v>891</v>
      </c>
      <c r="D20" s="597">
        <f>'[12]Division 091'!C61</f>
        <v>519.27</v>
      </c>
      <c r="E20" s="597">
        <f>'[12]Division 091'!D61</f>
        <v>411.45000000000005</v>
      </c>
      <c r="F20" s="597">
        <f>'[12]Division 091'!E61</f>
        <v>374.24</v>
      </c>
      <c r="G20" s="597">
        <f>'[12]Division 091'!F61</f>
        <v>192.34</v>
      </c>
      <c r="H20" s="597">
        <f>'[12]Division 091'!G61</f>
        <v>111.9</v>
      </c>
      <c r="I20" s="597">
        <f>'[12]Division 091'!H61</f>
        <v>107.28</v>
      </c>
      <c r="J20" s="96">
        <f>VLOOKUP($B20,'[13]Div 91 forecast'!$D$309:$AF$388,9,FALSE)</f>
        <v>293.06956877850087</v>
      </c>
      <c r="K20" s="96">
        <f>VLOOKUP($B20,'[13]Div 91 forecast'!$D$309:$AF$388,10,FALSE)</f>
        <v>279.65912357222447</v>
      </c>
      <c r="L20" s="96">
        <f>VLOOKUP($B20,'[13]Div 91 forecast'!$D$309:$AF$388,11,FALSE)</f>
        <v>284.07956420812974</v>
      </c>
      <c r="M20" s="96">
        <f>VLOOKUP($B20,'[13]Div 91 forecast'!$D$309:$AF$388,12,FALSE)</f>
        <v>262.10880256462053</v>
      </c>
      <c r="N20" s="96">
        <f>VLOOKUP($B20,'[13]Div 91 forecast'!$D$309:$AF$388,13,FALSE)</f>
        <v>261.09582930082632</v>
      </c>
      <c r="O20" s="96">
        <f>VLOOKUP($B20,'[13]Div 91 forecast'!$D$309:$AF$388,14,FALSE)</f>
        <v>264.67904913195531</v>
      </c>
      <c r="P20" s="210">
        <f t="shared" si="2"/>
        <v>3361.171937556257</v>
      </c>
      <c r="Q20" s="210"/>
      <c r="R20" s="210"/>
    </row>
    <row r="21" spans="1:18">
      <c r="A21" s="461">
        <f t="shared" si="1"/>
        <v>8</v>
      </c>
      <c r="B21" s="365">
        <v>8240</v>
      </c>
      <c r="C21" s="195" t="s">
        <v>892</v>
      </c>
      <c r="D21" s="597">
        <f>0</f>
        <v>0</v>
      </c>
      <c r="E21" s="597">
        <f>0</f>
        <v>0</v>
      </c>
      <c r="F21" s="597">
        <f>0</f>
        <v>0</v>
      </c>
      <c r="G21" s="597">
        <f>0</f>
        <v>0</v>
      </c>
      <c r="H21" s="597">
        <f>0</f>
        <v>0</v>
      </c>
      <c r="I21" s="597">
        <f>0</f>
        <v>0</v>
      </c>
      <c r="J21" s="96">
        <f>VLOOKUP($B21,'[13]Div 91 forecast'!$D$309:$AF$388,9,FALSE)</f>
        <v>0</v>
      </c>
      <c r="K21" s="96">
        <f>VLOOKUP($B21,'[13]Div 91 forecast'!$D$309:$AF$388,10,FALSE)</f>
        <v>0</v>
      </c>
      <c r="L21" s="96">
        <f>VLOOKUP($B21,'[13]Div 91 forecast'!$D$309:$AF$388,11,FALSE)</f>
        <v>0</v>
      </c>
      <c r="M21" s="96">
        <f>VLOOKUP($B21,'[13]Div 91 forecast'!$D$309:$AF$388,12,FALSE)</f>
        <v>0</v>
      </c>
      <c r="N21" s="96">
        <f>VLOOKUP($B21,'[13]Div 91 forecast'!$D$309:$AF$388,13,FALSE)</f>
        <v>0</v>
      </c>
      <c r="O21" s="96">
        <f>VLOOKUP($B21,'[13]Div 91 forecast'!$D$309:$AF$388,14,FALSE)</f>
        <v>0</v>
      </c>
      <c r="P21" s="210">
        <f t="shared" si="2"/>
        <v>0</v>
      </c>
      <c r="Q21" s="210"/>
      <c r="R21" s="210"/>
    </row>
    <row r="22" spans="1:18">
      <c r="A22" s="461">
        <f t="shared" si="1"/>
        <v>9</v>
      </c>
      <c r="B22" s="365">
        <v>8250</v>
      </c>
      <c r="C22" s="195" t="s">
        <v>903</v>
      </c>
      <c r="D22" s="597">
        <f>'[12]Division 091'!C62</f>
        <v>3345.0399999999995</v>
      </c>
      <c r="E22" s="597">
        <f>'[12]Division 091'!D62</f>
        <v>956.67000000000007</v>
      </c>
      <c r="F22" s="597">
        <f>'[12]Division 091'!E62</f>
        <v>2383.56</v>
      </c>
      <c r="G22" s="597">
        <f>'[12]Division 091'!F62</f>
        <v>3108.65</v>
      </c>
      <c r="H22" s="597">
        <f>'[12]Division 091'!G62</f>
        <v>841.48</v>
      </c>
      <c r="I22" s="597">
        <f>'[12]Division 091'!H62</f>
        <v>571.55999999999995</v>
      </c>
      <c r="J22" s="96">
        <f>VLOOKUP($B22,'[13]Div 91 forecast'!$D$309:$AF$388,9,FALSE)</f>
        <v>1913.4618140135094</v>
      </c>
      <c r="K22" s="96">
        <f>VLOOKUP($B22,'[13]Div 91 forecast'!$D$309:$AF$388,10,FALSE)</f>
        <v>1825.9045322456291</v>
      </c>
      <c r="L22" s="96">
        <f>VLOOKUP($B22,'[13]Div 91 forecast'!$D$309:$AF$388,11,FALSE)</f>
        <v>1854.7657490317056</v>
      </c>
      <c r="M22" s="96">
        <f>VLOOKUP($B22,'[13]Div 91 forecast'!$D$309:$AF$388,12,FALSE)</f>
        <v>1711.3178516438295</v>
      </c>
      <c r="N22" s="96">
        <f>VLOOKUP($B22,'[13]Div 91 forecast'!$D$309:$AF$388,13,FALSE)</f>
        <v>1704.7041125682729</v>
      </c>
      <c r="O22" s="96">
        <f>VLOOKUP($B22,'[13]Div 91 forecast'!$D$309:$AF$388,14,FALSE)</f>
        <v>1728.0990844401672</v>
      </c>
      <c r="P22" s="210">
        <f t="shared" si="2"/>
        <v>21945.213143943114</v>
      </c>
      <c r="Q22" s="210"/>
      <c r="R22" s="210"/>
    </row>
    <row r="23" spans="1:18">
      <c r="A23" s="461"/>
      <c r="B23" s="365">
        <v>8500</v>
      </c>
      <c r="C23" s="195" t="s">
        <v>908</v>
      </c>
      <c r="D23" s="597">
        <f>0</f>
        <v>0</v>
      </c>
      <c r="E23" s="597">
        <f>0</f>
        <v>0</v>
      </c>
      <c r="F23" s="597">
        <f>0</f>
        <v>0</v>
      </c>
      <c r="G23" s="597">
        <f>0</f>
        <v>0</v>
      </c>
      <c r="H23" s="597">
        <f>0</f>
        <v>0</v>
      </c>
      <c r="I23" s="597">
        <f>0</f>
        <v>0</v>
      </c>
      <c r="J23" s="96">
        <f>VLOOKUP($B23,'[13]Div 91 forecast'!$D$309:$AF$388,9,FALSE)</f>
        <v>0</v>
      </c>
      <c r="K23" s="96">
        <f>VLOOKUP($B23,'[13]Div 91 forecast'!$D$309:$AF$388,10,FALSE)</f>
        <v>0</v>
      </c>
      <c r="L23" s="96">
        <f>VLOOKUP($B23,'[13]Div 91 forecast'!$D$309:$AF$388,11,FALSE)</f>
        <v>0</v>
      </c>
      <c r="M23" s="96">
        <f>VLOOKUP($B23,'[13]Div 91 forecast'!$D$309:$AF$388,12,FALSE)</f>
        <v>0</v>
      </c>
      <c r="N23" s="96">
        <f>VLOOKUP($B23,'[13]Div 91 forecast'!$D$309:$AF$388,13,FALSE)</f>
        <v>0</v>
      </c>
      <c r="O23" s="96">
        <f>VLOOKUP($B23,'[13]Div 91 forecast'!$D$309:$AF$388,14,FALSE)</f>
        <v>0</v>
      </c>
      <c r="P23" s="210">
        <f t="shared" si="2"/>
        <v>0</v>
      </c>
      <c r="Q23" s="210"/>
      <c r="R23" s="210"/>
    </row>
    <row r="24" spans="1:18">
      <c r="A24" s="461">
        <f>A22+1</f>
        <v>10</v>
      </c>
      <c r="B24" s="365">
        <v>8560</v>
      </c>
      <c r="C24" s="195" t="s">
        <v>909</v>
      </c>
      <c r="D24" s="597">
        <f>'[12]Division 091'!C63</f>
        <v>62.850000000000023</v>
      </c>
      <c r="E24" s="597">
        <f>'[12]Division 091'!D63</f>
        <v>64.649999999999977</v>
      </c>
      <c r="F24" s="597">
        <f>'[12]Division 091'!E63</f>
        <v>59.569999999999993</v>
      </c>
      <c r="G24" s="597">
        <f>'[12]Division 091'!F63</f>
        <v>58.06</v>
      </c>
      <c r="H24" s="597">
        <f>'[12]Division 091'!G63</f>
        <v>52.56</v>
      </c>
      <c r="I24" s="597">
        <f>'[12]Division 091'!H63</f>
        <v>46.520000000000039</v>
      </c>
      <c r="J24" s="96">
        <f>VLOOKUP($B24,'[13]Div 91 forecast'!$D$309:$AF$388,9,FALSE)</f>
        <v>58.769968930163941</v>
      </c>
      <c r="K24" s="96">
        <f>VLOOKUP($B24,'[13]Div 91 forecast'!$D$309:$AF$388,10,FALSE)</f>
        <v>56.080739026842934</v>
      </c>
      <c r="L24" s="96">
        <f>VLOOKUP($B24,'[13]Div 91 forecast'!$D$309:$AF$388,11,FALSE)</f>
        <v>56.967180972735093</v>
      </c>
      <c r="M24" s="96">
        <f>VLOOKUP($B24,'[13]Div 91 forecast'!$D$309:$AF$388,12,FALSE)</f>
        <v>52.561329541135365</v>
      </c>
      <c r="N24" s="96">
        <f>VLOOKUP($B24,'[13]Div 91 forecast'!$D$309:$AF$388,13,FALSE)</f>
        <v>52.358195495221253</v>
      </c>
      <c r="O24" s="96">
        <f>VLOOKUP($B24,'[13]Div 91 forecast'!$D$309:$AF$388,14,FALSE)</f>
        <v>53.076747472566126</v>
      </c>
      <c r="P24" s="210">
        <f t="shared" si="2"/>
        <v>674.02416143866469</v>
      </c>
      <c r="Q24" s="210"/>
      <c r="R24" s="210"/>
    </row>
    <row r="25" spans="1:18">
      <c r="A25" s="461">
        <f t="shared" si="1"/>
        <v>11</v>
      </c>
      <c r="B25" s="365">
        <v>8570</v>
      </c>
      <c r="C25" s="195" t="s">
        <v>910</v>
      </c>
      <c r="D25" s="597">
        <f>'[12]Division 091'!C64</f>
        <v>94.04</v>
      </c>
      <c r="E25" s="597">
        <f>'[12]Division 091'!D64</f>
        <v>96.74</v>
      </c>
      <c r="F25" s="597">
        <f>'[12]Division 091'!E64</f>
        <v>89.14</v>
      </c>
      <c r="G25" s="597">
        <f>'[12]Division 091'!F64</f>
        <v>86.87</v>
      </c>
      <c r="H25" s="597">
        <f>'[12]Division 091'!G64</f>
        <v>78.63</v>
      </c>
      <c r="I25" s="597">
        <f>'[12]Division 091'!H64</f>
        <v>83.19</v>
      </c>
      <c r="J25" s="96">
        <f>VLOOKUP($B25,'[13]Div 91 forecast'!$D$309:$AF$388,9,FALSE)</f>
        <v>90.25418574757839</v>
      </c>
      <c r="K25" s="96">
        <f>VLOOKUP($B25,'[13]Div 91 forecast'!$D$309:$AF$388,10,FALSE)</f>
        <v>86.124283016122291</v>
      </c>
      <c r="L25" s="96">
        <f>VLOOKUP($B25,'[13]Div 91 forecast'!$D$309:$AF$388,11,FALSE)</f>
        <v>87.4856091746245</v>
      </c>
      <c r="M25" s="96">
        <f>VLOOKUP($B25,'[13]Div 91 forecast'!$D$309:$AF$388,12,FALSE)</f>
        <v>80.71945733342892</v>
      </c>
      <c r="N25" s="96">
        <f>VLOOKUP($B25,'[13]Div 91 forecast'!$D$309:$AF$388,13,FALSE)</f>
        <v>80.407500423372142</v>
      </c>
      <c r="O25" s="96">
        <f>VLOOKUP($B25,'[13]Div 91 forecast'!$D$309:$AF$388,14,FALSE)</f>
        <v>81.510994687758028</v>
      </c>
      <c r="P25" s="210">
        <f t="shared" si="2"/>
        <v>1035.1120303828843</v>
      </c>
      <c r="Q25" s="210"/>
      <c r="R25" s="882"/>
    </row>
    <row r="26" spans="1:18">
      <c r="A26" s="461">
        <f t="shared" si="1"/>
        <v>12</v>
      </c>
      <c r="B26" s="365">
        <v>8650</v>
      </c>
      <c r="C26" s="659" t="s">
        <v>1404</v>
      </c>
      <c r="D26" s="597">
        <f>'[12]Division 091'!C65</f>
        <v>0</v>
      </c>
      <c r="E26" s="597">
        <f>'[12]Division 091'!D65</f>
        <v>0</v>
      </c>
      <c r="F26" s="597">
        <f>'[12]Division 091'!E65</f>
        <v>0</v>
      </c>
      <c r="G26" s="597">
        <f>'[12]Division 091'!F65</f>
        <v>0</v>
      </c>
      <c r="H26" s="597">
        <f>'[12]Division 091'!G65</f>
        <v>0</v>
      </c>
      <c r="I26" s="597">
        <f>'[12]Division 091'!H65</f>
        <v>444.74</v>
      </c>
      <c r="J26" s="96">
        <f>VLOOKUP($B26,'[13]Div 91 forecast'!$D$309:$AF$388,9,FALSE)</f>
        <v>66.1802107197569</v>
      </c>
      <c r="K26" s="96">
        <f>VLOOKUP($B26,'[13]Div 91 forecast'!$D$309:$AF$388,10,FALSE)</f>
        <v>74.363810028914457</v>
      </c>
      <c r="L26" s="96">
        <f>VLOOKUP($B26,'[13]Div 91 forecast'!$D$309:$AF$388,11,FALSE)</f>
        <v>57.894614769732961</v>
      </c>
      <c r="M26" s="96">
        <f>VLOOKUP($B26,'[13]Div 91 forecast'!$D$309:$AF$388,12,FALSE)</f>
        <v>40.326994147374954</v>
      </c>
      <c r="N26" s="96">
        <f>VLOOKUP($B26,'[13]Div 91 forecast'!$D$309:$AF$388,13,FALSE)</f>
        <v>70.442018540508542</v>
      </c>
      <c r="O26" s="96">
        <f>VLOOKUP($B26,'[13]Div 91 forecast'!$D$309:$AF$388,14,FALSE)</f>
        <v>96.505257345864763</v>
      </c>
      <c r="P26" s="210">
        <f t="shared" si="2"/>
        <v>850.45290555215263</v>
      </c>
      <c r="Q26" s="210"/>
      <c r="R26" s="882"/>
    </row>
    <row r="27" spans="1:18">
      <c r="A27" s="461">
        <f t="shared" si="1"/>
        <v>13</v>
      </c>
      <c r="B27" s="365">
        <v>8700</v>
      </c>
      <c r="C27" s="195" t="s">
        <v>913</v>
      </c>
      <c r="D27" s="597">
        <f>'[12]Division 091'!C66</f>
        <v>293118.21000000002</v>
      </c>
      <c r="E27" s="597">
        <f>'[12]Division 091'!D66</f>
        <v>240515.67999999993</v>
      </c>
      <c r="F27" s="597">
        <f>'[12]Division 091'!E66</f>
        <v>223258.58999999997</v>
      </c>
      <c r="G27" s="597">
        <f>'[12]Division 091'!F66</f>
        <v>246464.21000000008</v>
      </c>
      <c r="H27" s="597">
        <f>'[12]Division 091'!G66</f>
        <v>254197.18999999994</v>
      </c>
      <c r="I27" s="597">
        <f>'[12]Division 091'!H66</f>
        <v>238115.81999999992</v>
      </c>
      <c r="J27" s="96">
        <f>VLOOKUP($B27,'[13]Div 91 forecast'!$D$309:$AF$388,9,FALSE)</f>
        <v>281149.71381776006</v>
      </c>
      <c r="K27" s="96">
        <f>VLOOKUP($B27,'[13]Div 91 forecast'!$D$309:$AF$388,10,FALSE)</f>
        <v>294870.09092174401</v>
      </c>
      <c r="L27" s="96">
        <f>VLOOKUP($B27,'[13]Div 91 forecast'!$D$309:$AF$388,11,FALSE)</f>
        <v>305142.18191878434</v>
      </c>
      <c r="M27" s="96">
        <f>VLOOKUP($B27,'[13]Div 91 forecast'!$D$309:$AF$388,12,FALSE)</f>
        <v>322467.26428149309</v>
      </c>
      <c r="N27" s="96">
        <f>VLOOKUP($B27,'[13]Div 91 forecast'!$D$309:$AF$388,13,FALSE)</f>
        <v>348949.03615560388</v>
      </c>
      <c r="O27" s="96">
        <f>VLOOKUP($B27,'[13]Div 91 forecast'!$D$309:$AF$388,14,FALSE)</f>
        <v>302321.29306661879</v>
      </c>
      <c r="P27" s="210">
        <f t="shared" si="2"/>
        <v>3350569.2801620043</v>
      </c>
      <c r="Q27" s="210"/>
      <c r="R27" s="882"/>
    </row>
    <row r="28" spans="1:18">
      <c r="A28" s="461">
        <f t="shared" si="1"/>
        <v>14</v>
      </c>
      <c r="B28" s="365">
        <v>8711</v>
      </c>
      <c r="C28" s="195" t="s">
        <v>189</v>
      </c>
      <c r="D28" s="597">
        <f>'[12]Division 091'!C67</f>
        <v>16631.21</v>
      </c>
      <c r="E28" s="597">
        <f>'[12]Division 091'!D67</f>
        <v>13456.7</v>
      </c>
      <c r="F28" s="597">
        <f>'[12]Division 091'!E67</f>
        <v>0</v>
      </c>
      <c r="G28" s="597">
        <f>'[12]Division 091'!F67</f>
        <v>2264.35</v>
      </c>
      <c r="H28" s="597">
        <f>'[12]Division 091'!G67</f>
        <v>0</v>
      </c>
      <c r="I28" s="597">
        <f>'[12]Division 091'!H67</f>
        <v>3084.98</v>
      </c>
      <c r="J28" s="96">
        <f>VLOOKUP($B28,'[13]Div 91 forecast'!$D$309:$AF$388,9,FALSE)</f>
        <v>5273.2922843157758</v>
      </c>
      <c r="K28" s="96">
        <f>VLOOKUP($B28,'[13]Div 91 forecast'!$D$309:$AF$388,10,FALSE)</f>
        <v>5925.3680426969659</v>
      </c>
      <c r="L28" s="96">
        <f>VLOOKUP($B28,'[13]Div 91 forecast'!$D$309:$AF$388,11,FALSE)</f>
        <v>4613.0893517618642</v>
      </c>
      <c r="M28" s="96">
        <f>VLOOKUP($B28,'[13]Div 91 forecast'!$D$309:$AF$388,12,FALSE)</f>
        <v>3213.2872466589952</v>
      </c>
      <c r="N28" s="96">
        <f>VLOOKUP($B28,'[13]Div 91 forecast'!$D$309:$AF$388,13,FALSE)</f>
        <v>5612.8765505788788</v>
      </c>
      <c r="O28" s="96">
        <f>VLOOKUP($B28,'[13]Div 91 forecast'!$D$309:$AF$388,14,FALSE)</f>
        <v>7689.6163282528496</v>
      </c>
      <c r="P28" s="210">
        <f t="shared" si="2"/>
        <v>67764.769804265336</v>
      </c>
      <c r="Q28" s="210"/>
      <c r="R28" s="882"/>
    </row>
    <row r="29" spans="1:18">
      <c r="A29" s="461">
        <f t="shared" si="1"/>
        <v>15</v>
      </c>
      <c r="B29" s="365">
        <v>8740</v>
      </c>
      <c r="C29" s="195" t="s">
        <v>915</v>
      </c>
      <c r="D29" s="597">
        <f>'[12]Division 091'!C68</f>
        <v>14446.550000000003</v>
      </c>
      <c r="E29" s="597">
        <f>'[12]Division 091'!D68</f>
        <v>8226.41</v>
      </c>
      <c r="F29" s="597">
        <f>'[12]Division 091'!E68</f>
        <v>6437.23</v>
      </c>
      <c r="G29" s="597">
        <f>'[12]Division 091'!F68</f>
        <v>7402.23</v>
      </c>
      <c r="H29" s="597">
        <f>'[12]Division 091'!G68</f>
        <v>10511.759999999997</v>
      </c>
      <c r="I29" s="597">
        <f>'[12]Division 091'!H68</f>
        <v>-11155.189999999999</v>
      </c>
      <c r="J29" s="96">
        <f>VLOOKUP($B29,'[13]Div 91 forecast'!$D$309:$AF$388,9,FALSE)</f>
        <v>9350.4692040977152</v>
      </c>
      <c r="K29" s="96">
        <f>VLOOKUP($B29,'[13]Div 91 forecast'!$D$309:$AF$388,10,FALSE)</f>
        <v>9782.4445751946732</v>
      </c>
      <c r="L29" s="96">
        <f>VLOOKUP($B29,'[13]Div 91 forecast'!$D$309:$AF$388,11,FALSE)</f>
        <v>10690.539691641072</v>
      </c>
      <c r="M29" s="96">
        <f>VLOOKUP($B29,'[13]Div 91 forecast'!$D$309:$AF$388,12,FALSE)</f>
        <v>9999.6985109545913</v>
      </c>
      <c r="N29" s="96">
        <f>VLOOKUP($B29,'[13]Div 91 forecast'!$D$309:$AF$388,13,FALSE)</f>
        <v>10262.22928596758</v>
      </c>
      <c r="O29" s="96">
        <f>VLOOKUP($B29,'[13]Div 91 forecast'!$D$309:$AF$388,14,FALSE)</f>
        <v>10807.773645629333</v>
      </c>
      <c r="P29" s="210">
        <f t="shared" si="2"/>
        <v>96762.144913484954</v>
      </c>
      <c r="Q29" s="210"/>
      <c r="R29" s="882"/>
    </row>
    <row r="30" spans="1:18">
      <c r="A30" s="461">
        <f t="shared" si="1"/>
        <v>16</v>
      </c>
      <c r="B30" s="365">
        <v>8750</v>
      </c>
      <c r="C30" s="195" t="s">
        <v>916</v>
      </c>
      <c r="D30" s="597">
        <f>'[12]Division 091'!C69</f>
        <v>12539.320000000002</v>
      </c>
      <c r="E30" s="597">
        <f>'[12]Division 091'!D69</f>
        <v>9849.65</v>
      </c>
      <c r="F30" s="597">
        <f>'[12]Division 091'!E69</f>
        <v>13718.970000000001</v>
      </c>
      <c r="G30" s="597">
        <f>'[12]Division 091'!F69</f>
        <v>18886.350000000002</v>
      </c>
      <c r="H30" s="597">
        <f>'[12]Division 091'!G69</f>
        <v>14789.86</v>
      </c>
      <c r="I30" s="597">
        <f>'[12]Division 091'!H69</f>
        <v>12619.23</v>
      </c>
      <c r="J30" s="96">
        <f>VLOOKUP($B30,'[13]Div 91 forecast'!$D$309:$AF$388,9,FALSE)</f>
        <v>13054.063460912779</v>
      </c>
      <c r="K30" s="96">
        <f>VLOOKUP($B30,'[13]Div 91 forecast'!$D$309:$AF$388,10,FALSE)</f>
        <v>13600.592205399724</v>
      </c>
      <c r="L30" s="96">
        <f>VLOOKUP($B30,'[13]Div 91 forecast'!$D$309:$AF$388,11,FALSE)</f>
        <v>12744.240553805761</v>
      </c>
      <c r="M30" s="96">
        <f>VLOOKUP($B30,'[13]Div 91 forecast'!$D$309:$AF$388,12,FALSE)</f>
        <v>13325.440798026568</v>
      </c>
      <c r="N30" s="96">
        <f>VLOOKUP($B30,'[13]Div 91 forecast'!$D$309:$AF$388,13,FALSE)</f>
        <v>14678.386214154609</v>
      </c>
      <c r="O30" s="96">
        <f>VLOOKUP($B30,'[13]Div 91 forecast'!$D$309:$AF$388,14,FALSE)</f>
        <v>14331.834561032712</v>
      </c>
      <c r="P30" s="210">
        <f t="shared" si="2"/>
        <v>164137.93779333215</v>
      </c>
      <c r="Q30" s="210"/>
      <c r="R30" s="882"/>
    </row>
    <row r="31" spans="1:18">
      <c r="A31" s="461">
        <f t="shared" si="1"/>
        <v>17</v>
      </c>
      <c r="B31" s="365">
        <v>8760</v>
      </c>
      <c r="C31" s="80" t="s">
        <v>917</v>
      </c>
      <c r="D31" s="597">
        <f>0</f>
        <v>0</v>
      </c>
      <c r="E31" s="597">
        <f>0</f>
        <v>0</v>
      </c>
      <c r="F31" s="597">
        <f>0</f>
        <v>0</v>
      </c>
      <c r="G31" s="597">
        <f>0</f>
        <v>0</v>
      </c>
      <c r="H31" s="597">
        <f>0</f>
        <v>0</v>
      </c>
      <c r="I31" s="597">
        <f>0</f>
        <v>0</v>
      </c>
      <c r="J31" s="96">
        <f>VLOOKUP($B31,'[13]Div 91 forecast'!$D$309:$AF$388,9,FALSE)</f>
        <v>0</v>
      </c>
      <c r="K31" s="96">
        <f>VLOOKUP($B31,'[13]Div 91 forecast'!$D$309:$AF$388,10,FALSE)</f>
        <v>0</v>
      </c>
      <c r="L31" s="96">
        <f>VLOOKUP($B31,'[13]Div 91 forecast'!$D$309:$AF$388,11,FALSE)</f>
        <v>0</v>
      </c>
      <c r="M31" s="96">
        <f>VLOOKUP($B31,'[13]Div 91 forecast'!$D$309:$AF$388,12,FALSE)</f>
        <v>0</v>
      </c>
      <c r="N31" s="96">
        <f>VLOOKUP($B31,'[13]Div 91 forecast'!$D$309:$AF$388,13,FALSE)</f>
        <v>0</v>
      </c>
      <c r="O31" s="96">
        <f>VLOOKUP($B31,'[13]Div 91 forecast'!$D$309:$AF$388,14,FALSE)</f>
        <v>0</v>
      </c>
      <c r="P31" s="210">
        <f t="shared" si="2"/>
        <v>0</v>
      </c>
      <c r="Q31" s="210"/>
      <c r="R31" s="882"/>
    </row>
    <row r="32" spans="1:18">
      <c r="A32" s="461">
        <f t="shared" si="1"/>
        <v>18</v>
      </c>
      <c r="B32" s="365">
        <v>8770</v>
      </c>
      <c r="C32" s="195" t="s">
        <v>918</v>
      </c>
      <c r="D32" s="597">
        <f>'[12]Division 091'!C70</f>
        <v>240</v>
      </c>
      <c r="E32" s="597">
        <f>'[12]Division 091'!D70</f>
        <v>3984.12</v>
      </c>
      <c r="F32" s="597">
        <f>'[12]Division 091'!E70</f>
        <v>4153.6000000000004</v>
      </c>
      <c r="G32" s="597">
        <f>'[12]Division 091'!F70</f>
        <v>0</v>
      </c>
      <c r="H32" s="597">
        <f>'[12]Division 091'!G70</f>
        <v>2043.1</v>
      </c>
      <c r="I32" s="597">
        <f>'[12]Division 091'!H70</f>
        <v>0</v>
      </c>
      <c r="J32" s="96">
        <f>VLOOKUP($B32,'[13]Div 91 forecast'!$D$309:$AF$388,9,FALSE)</f>
        <v>1550.6859366655963</v>
      </c>
      <c r="K32" s="96">
        <f>VLOOKUP($B32,'[13]Div 91 forecast'!$D$309:$AF$388,10,FALSE)</f>
        <v>1742.4380060833578</v>
      </c>
      <c r="L32" s="96">
        <f>VLOOKUP($B32,'[13]Div 91 forecast'!$D$309:$AF$388,11,FALSE)</f>
        <v>1356.543957109162</v>
      </c>
      <c r="M32" s="96">
        <f>VLOOKUP($B32,'[13]Div 91 forecast'!$D$309:$AF$388,12,FALSE)</f>
        <v>944.91241433387574</v>
      </c>
      <c r="N32" s="96">
        <f>VLOOKUP($B32,'[13]Div 91 forecast'!$D$309:$AF$388,13,FALSE)</f>
        <v>1650.5454774639165</v>
      </c>
      <c r="O32" s="96">
        <f>VLOOKUP($B32,'[13]Div 91 forecast'!$D$309:$AF$388,14,FALSE)</f>
        <v>2261.2400860164016</v>
      </c>
      <c r="P32" s="210">
        <f t="shared" si="2"/>
        <v>19927.185877672313</v>
      </c>
      <c r="Q32" s="210"/>
      <c r="R32" s="882"/>
    </row>
    <row r="33" spans="1:18">
      <c r="A33" s="461">
        <f t="shared" si="1"/>
        <v>19</v>
      </c>
      <c r="B33" s="365">
        <v>8800</v>
      </c>
      <c r="C33" s="195" t="s">
        <v>921</v>
      </c>
      <c r="D33" s="597">
        <f>0</f>
        <v>0</v>
      </c>
      <c r="E33" s="597">
        <f>0</f>
        <v>0</v>
      </c>
      <c r="F33" s="597">
        <f>0</f>
        <v>0</v>
      </c>
      <c r="G33" s="597">
        <f>0</f>
        <v>0</v>
      </c>
      <c r="H33" s="597">
        <f>0</f>
        <v>0</v>
      </c>
      <c r="I33" s="597">
        <f>0</f>
        <v>0</v>
      </c>
      <c r="J33" s="96">
        <f>VLOOKUP($B33,'[13]Div 91 forecast'!$D$309:$AF$388,9,FALSE)</f>
        <v>0</v>
      </c>
      <c r="K33" s="96">
        <f>VLOOKUP($B33,'[13]Div 91 forecast'!$D$309:$AF$388,10,FALSE)</f>
        <v>0</v>
      </c>
      <c r="L33" s="96">
        <f>VLOOKUP($B33,'[13]Div 91 forecast'!$D$309:$AF$388,11,FALSE)</f>
        <v>0</v>
      </c>
      <c r="M33" s="96">
        <f>VLOOKUP($B33,'[13]Div 91 forecast'!$D$309:$AF$388,12,FALSE)</f>
        <v>0</v>
      </c>
      <c r="N33" s="96">
        <f>VLOOKUP($B33,'[13]Div 91 forecast'!$D$309:$AF$388,13,FALSE)</f>
        <v>0</v>
      </c>
      <c r="O33" s="96">
        <f>VLOOKUP($B33,'[13]Div 91 forecast'!$D$309:$AF$388,14,FALSE)</f>
        <v>0</v>
      </c>
      <c r="P33" s="210">
        <f t="shared" si="2"/>
        <v>0</v>
      </c>
      <c r="Q33" s="210"/>
      <c r="R33" s="882"/>
    </row>
    <row r="34" spans="1:18">
      <c r="A34" s="461">
        <f t="shared" si="1"/>
        <v>20</v>
      </c>
      <c r="B34" s="365">
        <v>8810</v>
      </c>
      <c r="C34" s="195" t="s">
        <v>922</v>
      </c>
      <c r="D34" s="597">
        <f>'[12]Division 091'!C71</f>
        <v>23863.19</v>
      </c>
      <c r="E34" s="597">
        <f>'[12]Division 091'!D71</f>
        <v>23776.409999999996</v>
      </c>
      <c r="F34" s="597">
        <f>'[12]Division 091'!E71</f>
        <v>23072.840000000004</v>
      </c>
      <c r="G34" s="597">
        <f>'[12]Division 091'!F71</f>
        <v>21788.320000000007</v>
      </c>
      <c r="H34" s="597">
        <f>'[12]Division 091'!G71</f>
        <v>23331.98</v>
      </c>
      <c r="I34" s="597">
        <f>'[12]Division 091'!H71</f>
        <v>23465.510000000002</v>
      </c>
      <c r="J34" s="96">
        <f>VLOOKUP($B34,'[13]Div 91 forecast'!$D$309:$AF$388,9,FALSE)</f>
        <v>23783.602523245143</v>
      </c>
      <c r="K34" s="96">
        <f>VLOOKUP($B34,'[13]Div 91 forecast'!$D$309:$AF$388,10,FALSE)</f>
        <v>22695.298815101047</v>
      </c>
      <c r="L34" s="96">
        <f>VLOOKUP($B34,'[13]Div 91 forecast'!$D$309:$AF$388,11,FALSE)</f>
        <v>23054.032761788727</v>
      </c>
      <c r="M34" s="96">
        <f>VLOOKUP($B34,'[13]Div 91 forecast'!$D$309:$AF$388,12,FALSE)</f>
        <v>21271.029960644559</v>
      </c>
      <c r="N34" s="96">
        <f>VLOOKUP($B34,'[13]Div 91 forecast'!$D$309:$AF$388,13,FALSE)</f>
        <v>21188.823699608412</v>
      </c>
      <c r="O34" s="96">
        <f>VLOOKUP($B34,'[13]Div 91 forecast'!$D$309:$AF$388,14,FALSE)</f>
        <v>21479.614301212601</v>
      </c>
      <c r="P34" s="210">
        <f t="shared" si="2"/>
        <v>272770.65206160047</v>
      </c>
      <c r="Q34" s="210"/>
      <c r="R34" s="882"/>
    </row>
    <row r="35" spans="1:18">
      <c r="A35" s="461">
        <f t="shared" si="1"/>
        <v>21</v>
      </c>
      <c r="B35" s="365">
        <v>9010</v>
      </c>
      <c r="C35" s="80" t="s">
        <v>181</v>
      </c>
      <c r="D35" s="597">
        <f>'[12]Division 091'!C72</f>
        <v>1990.21</v>
      </c>
      <c r="E35" s="597">
        <f>'[12]Division 091'!D72</f>
        <v>2055.58</v>
      </c>
      <c r="F35" s="597">
        <f>'[12]Division 091'!E72</f>
        <v>3097.59</v>
      </c>
      <c r="G35" s="597">
        <f>'[12]Division 091'!F72</f>
        <v>2446.7799999999997</v>
      </c>
      <c r="H35" s="597">
        <f>'[12]Division 091'!G72</f>
        <v>2901.1800000000003</v>
      </c>
      <c r="I35" s="597">
        <f>'[12]Division 091'!H72</f>
        <v>2562.1</v>
      </c>
      <c r="J35" s="96">
        <f>VLOOKUP($B35,'[13]Div 91 forecast'!$D$309:$AF$388,9,FALSE)</f>
        <v>2259.7247548384976</v>
      </c>
      <c r="K35" s="96">
        <f>VLOOKUP($B35,'[13]Div 91 forecast'!$D$309:$AF$388,10,FALSE)</f>
        <v>2314.0964463713467</v>
      </c>
      <c r="L35" s="96">
        <f>VLOOKUP($B35,'[13]Div 91 forecast'!$D$309:$AF$388,11,FALSE)</f>
        <v>2210.0914163303837</v>
      </c>
      <c r="M35" s="96">
        <f>VLOOKUP($B35,'[13]Div 91 forecast'!$D$309:$AF$388,12,FALSE)</f>
        <v>2512.9203971462121</v>
      </c>
      <c r="N35" s="96">
        <f>VLOOKUP($B35,'[13]Div 91 forecast'!$D$309:$AF$388,13,FALSE)</f>
        <v>2697.2324430215049</v>
      </c>
      <c r="O35" s="96">
        <f>VLOOKUP($B35,'[13]Div 91 forecast'!$D$309:$AF$388,14,FALSE)</f>
        <v>2338.3397343132847</v>
      </c>
      <c r="P35" s="210">
        <f t="shared" si="2"/>
        <v>29385.845192021228</v>
      </c>
      <c r="Q35" s="210"/>
      <c r="R35" s="882"/>
    </row>
    <row r="36" spans="1:18">
      <c r="A36" s="461">
        <f t="shared" si="1"/>
        <v>22</v>
      </c>
      <c r="B36" s="365">
        <v>9020</v>
      </c>
      <c r="C36" s="80" t="s">
        <v>932</v>
      </c>
      <c r="D36" s="597">
        <f>0</f>
        <v>0</v>
      </c>
      <c r="E36" s="597">
        <f>0</f>
        <v>0</v>
      </c>
      <c r="F36" s="597">
        <f>0</f>
        <v>0</v>
      </c>
      <c r="G36" s="597">
        <f>0</f>
        <v>0</v>
      </c>
      <c r="H36" s="597">
        <f>0</f>
        <v>0</v>
      </c>
      <c r="I36" s="597">
        <f>0</f>
        <v>0</v>
      </c>
      <c r="J36" s="96">
        <f>VLOOKUP($B36,'[13]Div 91 forecast'!$D$309:$AF$388,9,FALSE)</f>
        <v>0</v>
      </c>
      <c r="K36" s="96">
        <f>VLOOKUP($B36,'[13]Div 91 forecast'!$D$309:$AF$388,10,FALSE)</f>
        <v>0</v>
      </c>
      <c r="L36" s="96">
        <f>VLOOKUP($B36,'[13]Div 91 forecast'!$D$309:$AF$388,11,FALSE)</f>
        <v>0</v>
      </c>
      <c r="M36" s="96">
        <f>VLOOKUP($B36,'[13]Div 91 forecast'!$D$309:$AF$388,12,FALSE)</f>
        <v>0</v>
      </c>
      <c r="N36" s="96">
        <f>VLOOKUP($B36,'[13]Div 91 forecast'!$D$309:$AF$388,13,FALSE)</f>
        <v>0</v>
      </c>
      <c r="O36" s="96">
        <f>VLOOKUP($B36,'[13]Div 91 forecast'!$D$309:$AF$388,14,FALSE)</f>
        <v>0</v>
      </c>
      <c r="P36" s="210">
        <f t="shared" si="2"/>
        <v>0</v>
      </c>
      <c r="Q36" s="210"/>
      <c r="R36" s="882"/>
    </row>
    <row r="37" spans="1:18">
      <c r="A37" s="461">
        <f t="shared" si="1"/>
        <v>23</v>
      </c>
      <c r="B37" s="365">
        <v>9030</v>
      </c>
      <c r="C37" s="195" t="s">
        <v>937</v>
      </c>
      <c r="D37" s="597">
        <f>'[12]Division 091'!C73</f>
        <v>164974.76999999999</v>
      </c>
      <c r="E37" s="597">
        <f>'[12]Division 091'!D73</f>
        <v>161951</v>
      </c>
      <c r="F37" s="597">
        <f>'[12]Division 091'!E73</f>
        <v>176360.40000000002</v>
      </c>
      <c r="G37" s="597">
        <f>'[12]Division 091'!F73</f>
        <v>160299.22000000003</v>
      </c>
      <c r="H37" s="597">
        <f>'[12]Division 091'!G73</f>
        <v>168108.4</v>
      </c>
      <c r="I37" s="597">
        <f>'[12]Division 091'!H73</f>
        <v>148875.78999999998</v>
      </c>
      <c r="J37" s="96">
        <f>VLOOKUP($B37,'[13]Div 91 forecast'!$D$309:$AF$388,9,FALSE)</f>
        <v>317887.65532023268</v>
      </c>
      <c r="K37" s="96">
        <f>VLOOKUP($B37,'[13]Div 91 forecast'!$D$309:$AF$388,10,FALSE)</f>
        <v>321274.83210177516</v>
      </c>
      <c r="L37" s="96">
        <f>VLOOKUP($B37,'[13]Div 91 forecast'!$D$309:$AF$388,11,FALSE)</f>
        <v>387514.33385776274</v>
      </c>
      <c r="M37" s="96">
        <f>VLOOKUP($B37,'[13]Div 91 forecast'!$D$309:$AF$388,12,FALSE)</f>
        <v>290541.19030467479</v>
      </c>
      <c r="N37" s="96">
        <f>VLOOKUP($B37,'[13]Div 91 forecast'!$D$309:$AF$388,13,FALSE)</f>
        <v>313968.56638822058</v>
      </c>
      <c r="O37" s="96">
        <f>VLOOKUP($B37,'[13]Div 91 forecast'!$D$309:$AF$388,14,FALSE)</f>
        <v>325653.04248203861</v>
      </c>
      <c r="P37" s="210">
        <f t="shared" si="2"/>
        <v>2937409.2004547045</v>
      </c>
      <c r="Q37" s="210"/>
      <c r="R37" s="882"/>
    </row>
    <row r="38" spans="1:18">
      <c r="A38" s="461">
        <f t="shared" si="1"/>
        <v>24</v>
      </c>
      <c r="B38" s="365">
        <v>9100</v>
      </c>
      <c r="C38" s="195" t="s">
        <v>940</v>
      </c>
      <c r="D38" s="597">
        <f>'[12]Division 091'!C74</f>
        <v>79.75</v>
      </c>
      <c r="E38" s="597">
        <f>'[12]Division 091'!D74</f>
        <v>0</v>
      </c>
      <c r="F38" s="597">
        <f>'[12]Division 091'!E74</f>
        <v>61.18</v>
      </c>
      <c r="G38" s="597">
        <f>'[12]Division 091'!F74</f>
        <v>0</v>
      </c>
      <c r="H38" s="597">
        <f>'[12]Division 091'!G74</f>
        <v>394.68</v>
      </c>
      <c r="I38" s="597">
        <f>'[12]Division 091'!H74</f>
        <v>61.46</v>
      </c>
      <c r="J38" s="96">
        <f>VLOOKUP($B38,'[13]Div 91 forecast'!$D$309:$AF$388,9,FALSE)</f>
        <v>101.37212021676829</v>
      </c>
      <c r="K38" s="96">
        <f>VLOOKUP($B38,'[13]Div 91 forecast'!$D$309:$AF$388,10,FALSE)</f>
        <v>121.70662507838662</v>
      </c>
      <c r="L38" s="96">
        <f>VLOOKUP($B38,'[13]Div 91 forecast'!$D$309:$AF$388,11,FALSE)</f>
        <v>120.74042252973317</v>
      </c>
      <c r="M38" s="96">
        <f>VLOOKUP($B38,'[13]Div 91 forecast'!$D$309:$AF$388,12,FALSE)</f>
        <v>141.65605469744054</v>
      </c>
      <c r="N38" s="96">
        <f>VLOOKUP($B38,'[13]Div 91 forecast'!$D$309:$AF$388,13,FALSE)</f>
        <v>170.1588436048599</v>
      </c>
      <c r="O38" s="96">
        <f>VLOOKUP($B38,'[13]Div 91 forecast'!$D$309:$AF$388,14,FALSE)</f>
        <v>110.53693119059989</v>
      </c>
      <c r="P38" s="210">
        <f t="shared" si="2"/>
        <v>1363.2409973177885</v>
      </c>
      <c r="Q38" s="210"/>
      <c r="R38" s="882"/>
    </row>
    <row r="39" spans="1:18">
      <c r="A39" s="461">
        <f t="shared" si="1"/>
        <v>25</v>
      </c>
      <c r="B39" s="365">
        <v>9110</v>
      </c>
      <c r="C39" s="195" t="s">
        <v>941</v>
      </c>
      <c r="D39" s="597">
        <f>'[12]Division 091'!C75</f>
        <v>14900.009999999998</v>
      </c>
      <c r="E39" s="597">
        <f>'[12]Division 091'!D75</f>
        <v>10718.38</v>
      </c>
      <c r="F39" s="597">
        <f>'[12]Division 091'!E75</f>
        <v>14997.630000000001</v>
      </c>
      <c r="G39" s="597">
        <f>'[12]Division 091'!F75</f>
        <v>32050.83</v>
      </c>
      <c r="H39" s="597">
        <f>'[12]Division 091'!G75</f>
        <v>10611.88</v>
      </c>
      <c r="I39" s="597">
        <f>'[12]Division 091'!H75</f>
        <v>11034.450000000003</v>
      </c>
      <c r="J39" s="96">
        <f>VLOOKUP($B39,'[13]Div 91 forecast'!$D$309:$AF$388,9,FALSE)</f>
        <v>15420.743066895013</v>
      </c>
      <c r="K39" s="96">
        <f>VLOOKUP($B39,'[13]Div 91 forecast'!$D$309:$AF$388,10,FALSE)</f>
        <v>15360.159726628004</v>
      </c>
      <c r="L39" s="96">
        <f>VLOOKUP($B39,'[13]Div 91 forecast'!$D$309:$AF$388,11,FALSE)</f>
        <v>16667.232679414828</v>
      </c>
      <c r="M39" s="96">
        <f>VLOOKUP($B39,'[13]Div 91 forecast'!$D$309:$AF$388,12,FALSE)</f>
        <v>16510.97054018372</v>
      </c>
      <c r="N39" s="96">
        <f>VLOOKUP($B39,'[13]Div 91 forecast'!$D$309:$AF$388,13,FALSE)</f>
        <v>20662.916214629851</v>
      </c>
      <c r="O39" s="96">
        <f>VLOOKUP($B39,'[13]Div 91 forecast'!$D$309:$AF$388,14,FALSE)</f>
        <v>15758.41854598453</v>
      </c>
      <c r="P39" s="210">
        <f t="shared" si="2"/>
        <v>194693.62077373595</v>
      </c>
      <c r="Q39" s="210"/>
      <c r="R39" s="882"/>
    </row>
    <row r="40" spans="1:18">
      <c r="A40" s="461">
        <f t="shared" si="1"/>
        <v>26</v>
      </c>
      <c r="B40" s="365">
        <v>9120</v>
      </c>
      <c r="C40" s="195" t="s">
        <v>942</v>
      </c>
      <c r="D40" s="597">
        <f>0</f>
        <v>0</v>
      </c>
      <c r="E40" s="597">
        <f>0</f>
        <v>0</v>
      </c>
      <c r="F40" s="597">
        <f>0</f>
        <v>0</v>
      </c>
      <c r="G40" s="597">
        <f>0</f>
        <v>0</v>
      </c>
      <c r="H40" s="597">
        <f>0</f>
        <v>0</v>
      </c>
      <c r="I40" s="597">
        <f>0</f>
        <v>0</v>
      </c>
      <c r="J40" s="96">
        <f>VLOOKUP($B40,'[13]Div 91 forecast'!$D$309:$AF$388,9,FALSE)</f>
        <v>0</v>
      </c>
      <c r="K40" s="96">
        <f>VLOOKUP($B40,'[13]Div 91 forecast'!$D$309:$AF$388,10,FALSE)</f>
        <v>0</v>
      </c>
      <c r="L40" s="96">
        <f>VLOOKUP($B40,'[13]Div 91 forecast'!$D$309:$AF$388,11,FALSE)</f>
        <v>0</v>
      </c>
      <c r="M40" s="96">
        <f>VLOOKUP($B40,'[13]Div 91 forecast'!$D$309:$AF$388,12,FALSE)</f>
        <v>0</v>
      </c>
      <c r="N40" s="96">
        <f>VLOOKUP($B40,'[13]Div 91 forecast'!$D$309:$AF$388,13,FALSE)</f>
        <v>0</v>
      </c>
      <c r="O40" s="96">
        <f>VLOOKUP($B40,'[13]Div 91 forecast'!$D$309:$AF$388,14,FALSE)</f>
        <v>0</v>
      </c>
      <c r="P40" s="210">
        <f t="shared" si="2"/>
        <v>0</v>
      </c>
      <c r="Q40" s="210"/>
      <c r="R40" s="882"/>
    </row>
    <row r="41" spans="1:18">
      <c r="A41" s="461">
        <f t="shared" si="1"/>
        <v>27</v>
      </c>
      <c r="B41" s="365">
        <v>9130</v>
      </c>
      <c r="C41" s="195" t="s">
        <v>943</v>
      </c>
      <c r="D41" s="597">
        <f>'[12]Division 091'!C76</f>
        <v>0</v>
      </c>
      <c r="E41" s="597">
        <f>'[12]Division 091'!D76</f>
        <v>0</v>
      </c>
      <c r="F41" s="597">
        <f>'[12]Division 091'!E76</f>
        <v>0</v>
      </c>
      <c r="G41" s="597">
        <f>'[12]Division 091'!F76</f>
        <v>0</v>
      </c>
      <c r="H41" s="597">
        <f>'[12]Division 091'!G76</f>
        <v>411.8</v>
      </c>
      <c r="I41" s="597">
        <f>'[12]Division 091'!H76</f>
        <v>126.84</v>
      </c>
      <c r="J41" s="96">
        <f>VLOOKUP($B41,'[13]Div 91 forecast'!$D$309:$AF$388,9,FALSE)</f>
        <v>91.451720624985455</v>
      </c>
      <c r="K41" s="96">
        <f>VLOOKUP($B41,'[13]Div 91 forecast'!$D$309:$AF$388,10,FALSE)</f>
        <v>109.79626598593492</v>
      </c>
      <c r="L41" s="96">
        <f>VLOOKUP($B41,'[13]Div 91 forecast'!$D$309:$AF$388,11,FALSE)</f>
        <v>108.92461719968423</v>
      </c>
      <c r="M41" s="96">
        <f>VLOOKUP($B41,'[13]Div 91 forecast'!$D$309:$AF$388,12,FALSE)</f>
        <v>127.79342003823565</v>
      </c>
      <c r="N41" s="96">
        <f>VLOOKUP($B41,'[13]Div 91 forecast'!$D$309:$AF$388,13,FALSE)</f>
        <v>153.50689118415215</v>
      </c>
      <c r="O41" s="96">
        <f>VLOOKUP($B41,'[13]Div 91 forecast'!$D$309:$AF$388,14,FALSE)</f>
        <v>99.719651994748887</v>
      </c>
      <c r="P41" s="210">
        <f t="shared" si="2"/>
        <v>1229.8325670277413</v>
      </c>
      <c r="Q41" s="210"/>
      <c r="R41" s="882"/>
    </row>
    <row r="42" spans="1:18">
      <c r="A42" s="461">
        <f t="shared" si="1"/>
        <v>28</v>
      </c>
      <c r="B42" s="365">
        <v>9200</v>
      </c>
      <c r="C42" s="195" t="s">
        <v>182</v>
      </c>
      <c r="D42" s="597">
        <f>'[12]Division 091'!C77</f>
        <v>-9381.69</v>
      </c>
      <c r="E42" s="597">
        <f>'[12]Division 091'!D77</f>
        <v>-31796</v>
      </c>
      <c r="F42" s="597">
        <f>'[12]Division 091'!E77</f>
        <v>-6412.89</v>
      </c>
      <c r="G42" s="597">
        <f>'[12]Division 091'!F77</f>
        <v>-14768.94</v>
      </c>
      <c r="H42" s="597">
        <f>'[12]Division 091'!G77</f>
        <v>-29538.82</v>
      </c>
      <c r="I42" s="597">
        <f>'[12]Division 091'!H77</f>
        <v>-14680.71</v>
      </c>
      <c r="J42" s="96">
        <f>VLOOKUP($B42,'[13]Div 91 forecast'!$D$309:$AF$388,9,FALSE)</f>
        <v>7981.4041839653391</v>
      </c>
      <c r="K42" s="96">
        <f>VLOOKUP($B42,'[13]Div 91 forecast'!$D$309:$AF$388,10,FALSE)</f>
        <v>7914.7534589537645</v>
      </c>
      <c r="L42" s="96">
        <f>VLOOKUP($B42,'[13]Div 91 forecast'!$D$309:$AF$388,11,FALSE)</f>
        <v>10225.379046590671</v>
      </c>
      <c r="M42" s="96">
        <f>VLOOKUP($B42,'[13]Div 91 forecast'!$D$309:$AF$388,12,FALSE)</f>
        <v>1359.1915221393576</v>
      </c>
      <c r="N42" s="96">
        <f>VLOOKUP($B42,'[13]Div 91 forecast'!$D$309:$AF$388,13,FALSE)</f>
        <v>654.42554769672779</v>
      </c>
      <c r="O42" s="96">
        <f>VLOOKUP($B42,'[13]Div 91 forecast'!$D$309:$AF$388,14,FALSE)</f>
        <v>755.106401188532</v>
      </c>
      <c r="P42" s="210">
        <f t="shared" si="2"/>
        <v>-77688.789839465593</v>
      </c>
      <c r="Q42" s="210"/>
      <c r="R42" s="882"/>
    </row>
    <row r="43" spans="1:18">
      <c r="A43" s="461">
        <f t="shared" si="1"/>
        <v>29</v>
      </c>
      <c r="B43" s="365">
        <v>9210</v>
      </c>
      <c r="C43" s="195" t="s">
        <v>944</v>
      </c>
      <c r="D43" s="597">
        <f>'[12]Division 091'!C78</f>
        <v>25.27</v>
      </c>
      <c r="E43" s="597">
        <f>'[12]Division 091'!D78</f>
        <v>280.61</v>
      </c>
      <c r="F43" s="597">
        <f>'[12]Division 091'!E78</f>
        <v>1997.2000000000003</v>
      </c>
      <c r="G43" s="597">
        <f>'[12]Division 091'!F78</f>
        <v>0</v>
      </c>
      <c r="H43" s="597">
        <f>'[12]Division 091'!G78</f>
        <v>0</v>
      </c>
      <c r="I43" s="597">
        <f>'[12]Division 091'!H78</f>
        <v>49.97</v>
      </c>
      <c r="J43" s="96">
        <f>VLOOKUP($B43,'[13]Div 91 forecast'!$D$309:$AF$388,9,FALSE)</f>
        <v>470.68833282734886</v>
      </c>
      <c r="K43" s="96">
        <f>VLOOKUP($B43,'[13]Div 91 forecast'!$D$309:$AF$388,10,FALSE)</f>
        <v>437.99766155910766</v>
      </c>
      <c r="L43" s="96">
        <f>VLOOKUP($B43,'[13]Div 91 forecast'!$D$309:$AF$388,11,FALSE)</f>
        <v>610.02316128563143</v>
      </c>
      <c r="M43" s="96">
        <f>VLOOKUP($B43,'[13]Div 91 forecast'!$D$309:$AF$388,12,FALSE)</f>
        <v>466.45155695377315</v>
      </c>
      <c r="N43" s="96">
        <f>VLOOKUP($B43,'[13]Div 91 forecast'!$D$309:$AF$388,13,FALSE)</f>
        <v>785.36246202372126</v>
      </c>
      <c r="O43" s="96">
        <f>VLOOKUP($B43,'[13]Div 91 forecast'!$D$309:$AF$388,14,FALSE)</f>
        <v>468.07286082746401</v>
      </c>
      <c r="P43" s="210">
        <f t="shared" si="2"/>
        <v>5591.646035477047</v>
      </c>
      <c r="Q43" s="210"/>
      <c r="R43" s="210"/>
    </row>
    <row r="44" spans="1:18">
      <c r="A44" s="461">
        <f t="shared" si="1"/>
        <v>30</v>
      </c>
      <c r="B44" s="365">
        <v>9220</v>
      </c>
      <c r="C44" s="195" t="s">
        <v>945</v>
      </c>
      <c r="D44" s="597">
        <f>'[12]Division 091'!C79</f>
        <v>-756389.59999999963</v>
      </c>
      <c r="E44" s="597">
        <f>'[12]Division 091'!D79</f>
        <v>-597520.22000000067</v>
      </c>
      <c r="F44" s="597">
        <f>'[12]Division 091'!E79</f>
        <v>-734178.82000000007</v>
      </c>
      <c r="G44" s="597">
        <f>'[12]Division 091'!F79</f>
        <v>-668457.68999999994</v>
      </c>
      <c r="H44" s="597">
        <f>'[12]Division 091'!G79</f>
        <v>-750311.7899999998</v>
      </c>
      <c r="I44" s="597">
        <f>'[12]Division 091'!H79</f>
        <v>-600333.47999999975</v>
      </c>
      <c r="J44" s="96">
        <f t="shared" ref="J44:O44" si="3">-(SUM(J14:J43,J45:J51))</f>
        <v>-1001650.9099999998</v>
      </c>
      <c r="K44" s="96">
        <f t="shared" si="3"/>
        <v>-857469.38</v>
      </c>
      <c r="L44" s="96">
        <f t="shared" si="3"/>
        <v>-934151.83000000031</v>
      </c>
      <c r="M44" s="96">
        <f t="shared" si="3"/>
        <v>-895867.54649999994</v>
      </c>
      <c r="N44" s="96">
        <f t="shared" si="3"/>
        <v>-971965.96309999994</v>
      </c>
      <c r="O44" s="96">
        <f t="shared" si="3"/>
        <v>-944579.75680000009</v>
      </c>
      <c r="P44" s="210">
        <f t="shared" si="2"/>
        <v>-9712876.9863999989</v>
      </c>
      <c r="Q44" s="671"/>
      <c r="R44" s="210"/>
    </row>
    <row r="45" spans="1:18">
      <c r="A45" s="461">
        <f t="shared" si="1"/>
        <v>31</v>
      </c>
      <c r="B45" s="365">
        <v>9230</v>
      </c>
      <c r="C45" s="195" t="s">
        <v>946</v>
      </c>
      <c r="D45" s="597">
        <f>'[12]Division 091'!C80</f>
        <v>1630</v>
      </c>
      <c r="E45" s="597">
        <f>'[12]Division 091'!D80</f>
        <v>1731.1899999999998</v>
      </c>
      <c r="F45" s="597">
        <f>'[12]Division 091'!E80</f>
        <v>13786.73</v>
      </c>
      <c r="G45" s="597">
        <f>'[12]Division 091'!F80</f>
        <v>7154.8099999999995</v>
      </c>
      <c r="H45" s="597">
        <f>'[12]Division 091'!G80</f>
        <v>8172.24</v>
      </c>
      <c r="I45" s="597">
        <f>'[12]Division 091'!H80</f>
        <v>22890.76</v>
      </c>
      <c r="J45" s="96">
        <f>VLOOKUP($B45,'[13]Div 91 forecast'!$D$309:$AF$388,9,FALSE)</f>
        <v>24122.101972449793</v>
      </c>
      <c r="K45" s="96">
        <f>VLOOKUP($B45,'[13]Div 91 forecast'!$D$309:$AF$388,10,FALSE)</f>
        <v>24216.42228321415</v>
      </c>
      <c r="L45" s="96">
        <f>VLOOKUP($B45,'[13]Div 91 forecast'!$D$309:$AF$388,11,FALSE)</f>
        <v>30884.622559848012</v>
      </c>
      <c r="M45" s="96">
        <f>VLOOKUP($B45,'[13]Div 91 forecast'!$D$309:$AF$388,12,FALSE)</f>
        <v>20947.690341120615</v>
      </c>
      <c r="N45" s="96">
        <f>VLOOKUP($B45,'[13]Div 91 forecast'!$D$309:$AF$388,13,FALSE)</f>
        <v>23289.219886577797</v>
      </c>
      <c r="O45" s="96">
        <f>VLOOKUP($B45,'[13]Div 91 forecast'!$D$309:$AF$388,14,FALSE)</f>
        <v>24619.874997898696</v>
      </c>
      <c r="P45" s="210">
        <f t="shared" si="2"/>
        <v>203445.66204110908</v>
      </c>
      <c r="Q45" s="210"/>
      <c r="R45" s="210"/>
    </row>
    <row r="46" spans="1:18">
      <c r="A46" s="461">
        <f t="shared" si="1"/>
        <v>32</v>
      </c>
      <c r="B46" s="365">
        <v>9240</v>
      </c>
      <c r="C46" s="195" t="s">
        <v>947</v>
      </c>
      <c r="D46" s="597">
        <f>'[12]Division 091'!C81</f>
        <v>-1027.6899999999998</v>
      </c>
      <c r="E46" s="597">
        <f>'[12]Division 091'!D81</f>
        <v>-1105.1799999999998</v>
      </c>
      <c r="F46" s="597">
        <f>'[12]Division 091'!E81</f>
        <v>-1217.1300000000001</v>
      </c>
      <c r="G46" s="597">
        <f>'[12]Division 091'!F81</f>
        <v>-1119.44</v>
      </c>
      <c r="H46" s="597">
        <f>'[12]Division 091'!G81</f>
        <v>-1065.8600000000001</v>
      </c>
      <c r="I46" s="597">
        <f>'[12]Division 091'!H81</f>
        <v>-1092.7600000000002</v>
      </c>
      <c r="J46" s="96">
        <f>VLOOKUP($B46,'[13]Div 91 forecast'!$D$309:$AF$388,9,FALSE)</f>
        <v>-6879.0051949034432</v>
      </c>
      <c r="K46" s="96">
        <f>VLOOKUP($B46,'[13]Div 91 forecast'!$D$309:$AF$388,10,FALSE)</f>
        <v>-6929.5492456692746</v>
      </c>
      <c r="L46" s="96">
        <f>VLOOKUP($B46,'[13]Div 91 forecast'!$D$309:$AF$388,11,FALSE)</f>
        <v>-7498.5709600449054</v>
      </c>
      <c r="M46" s="96">
        <f>VLOOKUP($B46,'[13]Div 91 forecast'!$D$309:$AF$388,12,FALSE)</f>
        <v>-6781.5273827122001</v>
      </c>
      <c r="N46" s="96">
        <f>VLOOKUP($B46,'[13]Div 91 forecast'!$D$309:$AF$388,13,FALSE)</f>
        <v>-6840.4954419390033</v>
      </c>
      <c r="O46" s="96">
        <f>VLOOKUP($B46,'[13]Div 91 forecast'!$D$309:$AF$388,14,FALSE)</f>
        <v>-6856.5411723408524</v>
      </c>
      <c r="P46" s="210">
        <f t="shared" si="2"/>
        <v>-48413.749397609681</v>
      </c>
      <c r="Q46" s="210"/>
      <c r="R46" s="210"/>
    </row>
    <row r="47" spans="1:18">
      <c r="A47" s="461">
        <f t="shared" si="1"/>
        <v>33</v>
      </c>
      <c r="B47" s="365">
        <v>9250</v>
      </c>
      <c r="C47" s="195" t="s">
        <v>948</v>
      </c>
      <c r="D47" s="597">
        <f>'[12]Division 091'!C82</f>
        <v>19633.169999999998</v>
      </c>
      <c r="E47" s="597">
        <f>'[12]Division 091'!D82</f>
        <v>19705.46</v>
      </c>
      <c r="F47" s="597">
        <f>'[12]Division 091'!E82</f>
        <v>16366.97</v>
      </c>
      <c r="G47" s="597">
        <f>'[12]Division 091'!F82</f>
        <v>18873.91</v>
      </c>
      <c r="H47" s="597">
        <f>'[12]Division 091'!G82</f>
        <v>18864.690000000002</v>
      </c>
      <c r="I47" s="597">
        <f>'[12]Division 091'!H82</f>
        <v>18486.41</v>
      </c>
      <c r="J47" s="96">
        <f>VLOOKUP($B47,'[13]Div 91 forecast'!$D$309:$AF$388,9,FALSE)</f>
        <v>34948.615995767919</v>
      </c>
      <c r="K47" s="96">
        <f>VLOOKUP($B47,'[13]Div 91 forecast'!$D$309:$AF$388,10,FALSE)</f>
        <v>35748.264939847017</v>
      </c>
      <c r="L47" s="96">
        <f>VLOOKUP($B47,'[13]Div 91 forecast'!$D$309:$AF$388,11,FALSE)</f>
        <v>34855.80316581409</v>
      </c>
      <c r="M47" s="96">
        <f>VLOOKUP($B47,'[13]Div 91 forecast'!$D$309:$AF$388,12,FALSE)</f>
        <v>38633.872749034686</v>
      </c>
      <c r="N47" s="96">
        <f>VLOOKUP($B47,'[13]Div 91 forecast'!$D$309:$AF$388,13,FALSE)</f>
        <v>37962.639858613373</v>
      </c>
      <c r="O47" s="96">
        <f>VLOOKUP($B47,'[13]Div 91 forecast'!$D$309:$AF$388,14,FALSE)</f>
        <v>37155.619991912266</v>
      </c>
      <c r="P47" s="210">
        <f t="shared" si="2"/>
        <v>331235.42670098937</v>
      </c>
      <c r="Q47" s="210"/>
      <c r="R47" s="210"/>
    </row>
    <row r="48" spans="1:18">
      <c r="A48" s="461">
        <f t="shared" si="1"/>
        <v>34</v>
      </c>
      <c r="B48" s="883">
        <v>9260</v>
      </c>
      <c r="C48" s="195" t="s">
        <v>949</v>
      </c>
      <c r="D48" s="597">
        <f>'[12]Division 091'!C83</f>
        <v>197785.25999999998</v>
      </c>
      <c r="E48" s="597">
        <f>'[12]Division 091'!D83</f>
        <v>132531.79000000004</v>
      </c>
      <c r="F48" s="597">
        <f>'[12]Division 091'!E83</f>
        <v>241000.5</v>
      </c>
      <c r="G48" s="597">
        <f>'[12]Division 091'!F83</f>
        <v>163110.41</v>
      </c>
      <c r="H48" s="597">
        <f>'[12]Division 091'!G83</f>
        <v>257903.08999999997</v>
      </c>
      <c r="I48" s="597">
        <f>'[12]Division 091'!H83</f>
        <v>143957.49</v>
      </c>
      <c r="J48" s="96">
        <f>VLOOKUP($B48,'[13]Div 91 forecast'!$D$309:$AF$388,9,FALSE)</f>
        <v>257825.1235919212</v>
      </c>
      <c r="K48" s="96">
        <f>VLOOKUP($B48,'[13]Div 91 forecast'!$D$309:$AF$388,10,FALSE)</f>
        <v>90977.88890929427</v>
      </c>
      <c r="L48" s="96">
        <f>VLOOKUP($B48,'[13]Div 91 forecast'!$D$309:$AF$388,11,FALSE)</f>
        <v>86756.75508873837</v>
      </c>
      <c r="M48" s="96">
        <f>VLOOKUP($B48,'[13]Div 91 forecast'!$D$309:$AF$388,12,FALSE)</f>
        <v>150291.04044934953</v>
      </c>
      <c r="N48" s="96">
        <f>VLOOKUP($B48,'[13]Div 91 forecast'!$D$309:$AF$388,13,FALSE)</f>
        <v>166344.32002859205</v>
      </c>
      <c r="O48" s="96">
        <f>VLOOKUP($B48,'[13]Div 91 forecast'!$D$309:$AF$388,14,FALSE)</f>
        <v>175484.22499017647</v>
      </c>
      <c r="P48" s="210">
        <f t="shared" si="2"/>
        <v>2063967.8930580721</v>
      </c>
      <c r="Q48" s="210"/>
      <c r="R48" s="210"/>
    </row>
    <row r="49" spans="1:18">
      <c r="A49" s="461">
        <f t="shared" si="1"/>
        <v>35</v>
      </c>
      <c r="B49" s="883">
        <v>9280</v>
      </c>
      <c r="C49" s="80" t="s">
        <v>951</v>
      </c>
      <c r="D49" s="597">
        <f>'[12]Division 091'!C84</f>
        <v>441.4</v>
      </c>
      <c r="E49" s="597">
        <f>'[12]Division 091'!D84</f>
        <v>0</v>
      </c>
      <c r="F49" s="597">
        <f>'[12]Division 091'!E84</f>
        <v>0</v>
      </c>
      <c r="G49" s="597">
        <f>'[12]Division 091'!F84</f>
        <v>0</v>
      </c>
      <c r="H49" s="597">
        <f>'[12]Division 091'!G84</f>
        <v>0</v>
      </c>
      <c r="I49" s="597">
        <f>'[12]Division 091'!H84</f>
        <v>0</v>
      </c>
      <c r="J49" s="96">
        <f>VLOOKUP($B49,'[13]Div 91 forecast'!$D$309:$AF$388,9,FALSE)</f>
        <v>107.81530727225447</v>
      </c>
      <c r="K49" s="96">
        <f>VLOOKUP($B49,'[13]Div 91 forecast'!$D$309:$AF$388,10,FALSE)</f>
        <v>82.104914622518848</v>
      </c>
      <c r="L49" s="96">
        <f>VLOOKUP($B49,'[13]Div 91 forecast'!$D$309:$AF$388,11,FALSE)</f>
        <v>74.759088151165813</v>
      </c>
      <c r="M49" s="96">
        <f>VLOOKUP($B49,'[13]Div 91 forecast'!$D$309:$AF$388,12,FALSE)</f>
        <v>211.80466325734591</v>
      </c>
      <c r="N49" s="96">
        <f>VLOOKUP($B49,'[13]Div 91 forecast'!$D$309:$AF$388,13,FALSE)</f>
        <v>142.24886885672183</v>
      </c>
      <c r="O49" s="96">
        <f>VLOOKUP($B49,'[13]Div 91 forecast'!$D$309:$AF$388,14,FALSE)</f>
        <v>74.070416919476457</v>
      </c>
      <c r="P49" s="210">
        <f t="shared" si="2"/>
        <v>1134.2032590794834</v>
      </c>
      <c r="Q49" s="210"/>
      <c r="R49" s="210"/>
    </row>
    <row r="50" spans="1:18">
      <c r="A50" s="461">
        <f t="shared" si="1"/>
        <v>36</v>
      </c>
      <c r="B50" s="365">
        <v>9302</v>
      </c>
      <c r="C50" s="195" t="s">
        <v>857</v>
      </c>
      <c r="D50" s="597">
        <f>'[12]Division 091'!C85</f>
        <v>0</v>
      </c>
      <c r="E50" s="597">
        <f>'[12]Division 091'!D85</f>
        <v>0</v>
      </c>
      <c r="F50" s="597">
        <f>'[12]Division 091'!E85</f>
        <v>0</v>
      </c>
      <c r="G50" s="597">
        <f>'[12]Division 091'!F85</f>
        <v>0</v>
      </c>
      <c r="H50" s="597">
        <f>'[12]Division 091'!G85</f>
        <v>7500</v>
      </c>
      <c r="I50" s="597">
        <f>'[12]Division 091'!H85</f>
        <v>0</v>
      </c>
      <c r="J50" s="96">
        <f>VLOOKUP($B50,'[13]Div 91 forecast'!$D$309:$AF$388,9,FALSE)</f>
        <v>10369.888917020064</v>
      </c>
      <c r="K50" s="96">
        <f>VLOOKUP($B50,'[13]Div 91 forecast'!$D$309:$AF$388,10,FALSE)</f>
        <v>14559.236344072409</v>
      </c>
      <c r="L50" s="96">
        <f>VLOOKUP($B50,'[13]Div 91 forecast'!$D$309:$AF$388,11,FALSE)</f>
        <v>11331.183935692132</v>
      </c>
      <c r="M50" s="96">
        <f>VLOOKUP($B50,'[13]Div 91 forecast'!$D$309:$AF$388,12,FALSE)</f>
        <v>7214.0641812772956</v>
      </c>
      <c r="N50" s="96">
        <f>VLOOKUP($B50,'[13]Div 91 forecast'!$D$309:$AF$388,13,FALSE)</f>
        <v>7144.4395214887018</v>
      </c>
      <c r="O50" s="96">
        <f>VLOOKUP($B50,'[13]Div 91 forecast'!$D$309:$AF$388,14,FALSE)</f>
        <v>7479.1126020634219</v>
      </c>
      <c r="P50" s="210">
        <f t="shared" si="2"/>
        <v>65597.925501614023</v>
      </c>
      <c r="Q50" s="210"/>
      <c r="R50" s="210"/>
    </row>
    <row r="51" spans="1:18">
      <c r="A51" s="461">
        <f t="shared" si="1"/>
        <v>37</v>
      </c>
      <c r="B51" s="365">
        <v>9310</v>
      </c>
      <c r="C51" s="195" t="s">
        <v>184</v>
      </c>
      <c r="D51" s="597">
        <f>0</f>
        <v>0</v>
      </c>
      <c r="E51" s="597">
        <f>0</f>
        <v>0</v>
      </c>
      <c r="F51" s="597">
        <f>0</f>
        <v>0</v>
      </c>
      <c r="G51" s="597">
        <f>0</f>
        <v>0</v>
      </c>
      <c r="H51" s="597">
        <f>0</f>
        <v>0</v>
      </c>
      <c r="I51" s="597">
        <f>0</f>
        <v>0</v>
      </c>
      <c r="J51" s="96">
        <f>VLOOKUP($B51,'[13]Div 91 forecast'!$D$309:$AF$388,9,FALSE)</f>
        <v>0</v>
      </c>
      <c r="K51" s="96">
        <f>VLOOKUP($B51,'[13]Div 91 forecast'!$D$309:$AF$388,10,FALSE)</f>
        <v>0</v>
      </c>
      <c r="L51" s="96">
        <f>VLOOKUP($B51,'[13]Div 91 forecast'!$D$309:$AF$388,11,FALSE)</f>
        <v>0</v>
      </c>
      <c r="M51" s="96">
        <f>VLOOKUP($B51,'[13]Div 91 forecast'!$D$309:$AF$388,12,FALSE)</f>
        <v>0</v>
      </c>
      <c r="N51" s="96">
        <f>VLOOKUP($B51,'[13]Div 91 forecast'!$D$309:$AF$388,13,FALSE)</f>
        <v>0</v>
      </c>
      <c r="O51" s="96">
        <f>VLOOKUP($B51,'[13]Div 91 forecast'!$D$309:$AF$388,14,FALSE)</f>
        <v>0</v>
      </c>
      <c r="P51" s="210">
        <f t="shared" si="2"/>
        <v>0</v>
      </c>
      <c r="Q51" s="210"/>
      <c r="R51" s="210"/>
    </row>
    <row r="52" spans="1:18">
      <c r="A52" s="461">
        <f t="shared" si="1"/>
        <v>38</v>
      </c>
      <c r="B52" s="210"/>
      <c r="C52" s="875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216"/>
      <c r="P52" s="216"/>
      <c r="Q52" s="216"/>
      <c r="R52" s="216"/>
    </row>
    <row r="53" spans="1:18" ht="15.75" thickBot="1">
      <c r="A53" s="461">
        <f t="shared" si="1"/>
        <v>39</v>
      </c>
      <c r="B53" s="216" t="s">
        <v>734</v>
      </c>
      <c r="C53" s="875"/>
      <c r="D53" s="651">
        <f t="shared" ref="D53:O53" si="4">SUM(D14:D52)</f>
        <v>5.2966697694500908E-10</v>
      </c>
      <c r="E53" s="651">
        <f t="shared" si="4"/>
        <v>9.9999992235098034E-3</v>
      </c>
      <c r="F53" s="651">
        <f t="shared" si="4"/>
        <v>0</v>
      </c>
      <c r="G53" s="651">
        <f t="shared" si="4"/>
        <v>2.3283064365386963E-10</v>
      </c>
      <c r="H53" s="651">
        <f t="shared" si="4"/>
        <v>2.0000000018626451E-2</v>
      </c>
      <c r="I53" s="651">
        <f t="shared" si="4"/>
        <v>113941.51999999986</v>
      </c>
      <c r="J53" s="651">
        <f t="shared" si="4"/>
        <v>1.0004441719502211E-10</v>
      </c>
      <c r="K53" s="651">
        <f t="shared" si="4"/>
        <v>-1.2732925824820995E-11</v>
      </c>
      <c r="L53" s="651">
        <f t="shared" si="4"/>
        <v>-1.8917489796876907E-10</v>
      </c>
      <c r="M53" s="651">
        <f t="shared" si="4"/>
        <v>8.0035533756017685E-11</v>
      </c>
      <c r="N53" s="651">
        <f t="shared" si="4"/>
        <v>-5.4569682106375694E-12</v>
      </c>
      <c r="O53" s="651">
        <f t="shared" si="4"/>
        <v>-6.3664629124104977E-12</v>
      </c>
      <c r="P53" s="651">
        <f>SUM(P12:P52)</f>
        <v>-3215958.0800000005</v>
      </c>
      <c r="Q53" s="216"/>
      <c r="R53" s="216"/>
    </row>
    <row r="54" spans="1:18" ht="15.75" thickTop="1">
      <c r="A54" s="461">
        <f t="shared" si="1"/>
        <v>40</v>
      </c>
      <c r="B54" s="216"/>
      <c r="C54" s="875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</row>
    <row r="55" spans="1:18">
      <c r="A55" s="461">
        <f t="shared" si="1"/>
        <v>41</v>
      </c>
      <c r="B55" s="365">
        <f>B44</f>
        <v>9220</v>
      </c>
      <c r="C55" s="878" t="str">
        <f>C44</f>
        <v>A&amp;G-Administrative expense transferred-Credit</v>
      </c>
      <c r="D55" s="366">
        <f>D44</f>
        <v>-756389.59999999963</v>
      </c>
      <c r="E55" s="366">
        <f t="shared" ref="E55:H55" si="5">-(E53-E44)</f>
        <v>-597520.22999999986</v>
      </c>
      <c r="F55" s="366">
        <f t="shared" si="5"/>
        <v>-734178.82000000007</v>
      </c>
      <c r="G55" s="366">
        <f t="shared" si="5"/>
        <v>-668457.69000000018</v>
      </c>
      <c r="H55" s="366">
        <f t="shared" si="5"/>
        <v>-750311.80999999982</v>
      </c>
      <c r="I55" s="366">
        <f>I44</f>
        <v>-600333.47999999975</v>
      </c>
      <c r="J55" s="366">
        <f t="shared" ref="J55:O55" si="6">J44</f>
        <v>-1001650.9099999998</v>
      </c>
      <c r="K55" s="366">
        <f t="shared" si="6"/>
        <v>-857469.38</v>
      </c>
      <c r="L55" s="366">
        <f t="shared" si="6"/>
        <v>-934151.83000000031</v>
      </c>
      <c r="M55" s="366">
        <f t="shared" si="6"/>
        <v>-895867.54649999994</v>
      </c>
      <c r="N55" s="366">
        <f t="shared" si="6"/>
        <v>-971965.96309999994</v>
      </c>
      <c r="O55" s="366">
        <f t="shared" si="6"/>
        <v>-944579.75680000009</v>
      </c>
      <c r="P55" s="210">
        <f t="shared" ref="P55" si="7">SUM(D55:O55)</f>
        <v>-9712877.0163999982</v>
      </c>
      <c r="Q55" s="712"/>
      <c r="R55" s="216"/>
    </row>
    <row r="56" spans="1:18">
      <c r="A56" s="461">
        <f t="shared" si="1"/>
        <v>42</v>
      </c>
      <c r="B56" s="216"/>
      <c r="C56" s="367" t="s">
        <v>195</v>
      </c>
      <c r="D56" s="386">
        <f>D57/D55</f>
        <v>0.49779999619243864</v>
      </c>
      <c r="E56" s="386">
        <f t="shared" ref="E56:I56" si="8">E57/E55</f>
        <v>0.49779999917324985</v>
      </c>
      <c r="F56" s="386">
        <f t="shared" si="8"/>
        <v>0.49780000463647256</v>
      </c>
      <c r="G56" s="386">
        <f t="shared" si="8"/>
        <v>0.49780000286929138</v>
      </c>
      <c r="H56" s="386">
        <f t="shared" si="8"/>
        <v>0.49779998798099701</v>
      </c>
      <c r="I56" s="386">
        <f t="shared" si="8"/>
        <v>0.49780002274735724</v>
      </c>
      <c r="J56" s="386">
        <f>Allocation!$I$17</f>
        <v>0.49780000000000002</v>
      </c>
      <c r="K56" s="386">
        <f>Allocation!$I$17</f>
        <v>0.49780000000000002</v>
      </c>
      <c r="L56" s="386">
        <f>Allocation!$I$17</f>
        <v>0.49780000000000002</v>
      </c>
      <c r="M56" s="386">
        <f>Allocation!$I$17</f>
        <v>0.49780000000000002</v>
      </c>
      <c r="N56" s="386">
        <f>Allocation!$I$17</f>
        <v>0.49780000000000002</v>
      </c>
      <c r="O56" s="386">
        <f>Allocation!$I$17</f>
        <v>0.49780000000000002</v>
      </c>
      <c r="P56" s="386">
        <f t="shared" ref="P56" si="9">P57/P55</f>
        <v>0.49780000067806907</v>
      </c>
      <c r="Q56" s="216"/>
      <c r="R56" s="216"/>
    </row>
    <row r="57" spans="1:18">
      <c r="A57" s="461">
        <f t="shared" si="1"/>
        <v>43</v>
      </c>
      <c r="B57" s="216"/>
      <c r="C57" s="216" t="s">
        <v>210</v>
      </c>
      <c r="D57" s="216">
        <f>-'[15]div 9 monthly 9220'!C11</f>
        <v>-376530.74</v>
      </c>
      <c r="E57" s="216">
        <f>-'[15]div 9 monthly 9220'!D11</f>
        <v>-297445.57</v>
      </c>
      <c r="F57" s="216">
        <f>-'[15]div 9 monthly 9220'!E11</f>
        <v>-365474.22</v>
      </c>
      <c r="G57" s="216">
        <f>-'[15]div 9 monthly 9220'!F11</f>
        <v>-332758.24</v>
      </c>
      <c r="H57" s="216">
        <f>-'[15]div 9 monthly 9220'!G11</f>
        <v>-373505.21</v>
      </c>
      <c r="I57" s="216">
        <f>-'[15]div 9 monthly 9220'!H11</f>
        <v>-298846.02</v>
      </c>
      <c r="J57" s="216">
        <f t="shared" ref="J57:O57" si="10">J55*J56</f>
        <v>-498621.8229979999</v>
      </c>
      <c r="K57" s="216">
        <f t="shared" si="10"/>
        <v>-426848.25736400002</v>
      </c>
      <c r="L57" s="216">
        <f t="shared" si="10"/>
        <v>-465020.78097400017</v>
      </c>
      <c r="M57" s="216">
        <f t="shared" si="10"/>
        <v>-445962.86464769999</v>
      </c>
      <c r="N57" s="216">
        <f t="shared" si="10"/>
        <v>-483844.65643117996</v>
      </c>
      <c r="O57" s="216">
        <f t="shared" si="10"/>
        <v>-470211.80293504009</v>
      </c>
      <c r="P57" s="210">
        <f>SUM(D57:O57)</f>
        <v>-4835070.1853499208</v>
      </c>
      <c r="Q57" s="216"/>
      <c r="R57" s="216"/>
    </row>
    <row r="58" spans="1:18">
      <c r="A58" s="216"/>
      <c r="B58" s="216"/>
      <c r="C58" s="875"/>
      <c r="D58" s="650"/>
      <c r="E58" s="650"/>
      <c r="F58" s="650"/>
      <c r="G58" s="650"/>
      <c r="H58" s="650"/>
      <c r="I58" s="650"/>
      <c r="J58" s="219"/>
      <c r="K58" s="219"/>
      <c r="L58" s="219"/>
      <c r="M58" s="219"/>
      <c r="N58" s="219"/>
      <c r="O58" s="219"/>
      <c r="P58" s="219"/>
      <c r="Q58" s="216"/>
      <c r="R58" s="216"/>
    </row>
    <row r="59" spans="1:18">
      <c r="A59" s="216"/>
      <c r="B59" s="216"/>
      <c r="C59" s="875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9"/>
      <c r="O59" s="219"/>
      <c r="P59" s="216"/>
      <c r="Q59" s="216"/>
      <c r="R59" s="216"/>
    </row>
    <row r="60" spans="1:18">
      <c r="A60" s="216"/>
      <c r="B60" s="216" t="s">
        <v>562</v>
      </c>
      <c r="C60" s="875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9"/>
      <c r="O60" s="219"/>
      <c r="P60" s="216"/>
      <c r="Q60" s="216"/>
      <c r="R60" s="216"/>
    </row>
    <row r="61" spans="1:18">
      <c r="A61" s="216"/>
      <c r="B61" s="216"/>
      <c r="C61" s="87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9"/>
      <c r="O61" s="219"/>
      <c r="P61" s="216"/>
      <c r="Q61" s="216"/>
      <c r="R61" s="216"/>
    </row>
    <row r="62" spans="1:18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Q62" s="216"/>
      <c r="R62" s="216"/>
    </row>
    <row r="63" spans="1:18">
      <c r="A63" s="216"/>
      <c r="B63" s="216" t="s">
        <v>953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</row>
    <row r="64" spans="1:18">
      <c r="A64" s="216"/>
      <c r="B64" s="216" t="s">
        <v>1593</v>
      </c>
      <c r="C64" s="216"/>
      <c r="D64" s="216">
        <f>D44</f>
        <v>-756389.59999999963</v>
      </c>
      <c r="E64" s="216">
        <f t="shared" ref="E64:O64" si="11">E44</f>
        <v>-597520.22000000067</v>
      </c>
      <c r="F64" s="216">
        <f t="shared" si="11"/>
        <v>-734178.82000000007</v>
      </c>
      <c r="G64" s="216">
        <f t="shared" si="11"/>
        <v>-668457.68999999994</v>
      </c>
      <c r="H64" s="216">
        <f t="shared" si="11"/>
        <v>-750311.7899999998</v>
      </c>
      <c r="I64" s="216">
        <f t="shared" si="11"/>
        <v>-600333.47999999975</v>
      </c>
      <c r="J64" s="216">
        <f t="shared" si="11"/>
        <v>-1001650.9099999998</v>
      </c>
      <c r="K64" s="216">
        <f t="shared" si="11"/>
        <v>-857469.38</v>
      </c>
      <c r="L64" s="216">
        <f t="shared" si="11"/>
        <v>-934151.83000000031</v>
      </c>
      <c r="M64" s="216">
        <f t="shared" si="11"/>
        <v>-895867.54649999994</v>
      </c>
      <c r="N64" s="216">
        <f t="shared" si="11"/>
        <v>-971965.96309999994</v>
      </c>
      <c r="O64" s="216">
        <f t="shared" si="11"/>
        <v>-944579.75680000009</v>
      </c>
      <c r="P64" s="103"/>
      <c r="Q64" s="761"/>
      <c r="R64" s="216"/>
    </row>
    <row r="65" spans="1:18">
      <c r="A65" s="216"/>
      <c r="B65" s="81" t="s">
        <v>1624</v>
      </c>
      <c r="C65" s="216"/>
      <c r="D65" s="216">
        <f>'[13]Div 91 forecast'!F297</f>
        <v>756389.5900000002</v>
      </c>
      <c r="E65" s="216">
        <f>'[13]Div 91 forecast'!G297</f>
        <v>597520.23</v>
      </c>
      <c r="F65" s="216">
        <f>'[13]Div 91 forecast'!H297</f>
        <v>734178.83000000007</v>
      </c>
      <c r="G65" s="216">
        <f>'[13]Div 91 forecast'!I297</f>
        <v>668457.69000000006</v>
      </c>
      <c r="H65" s="216">
        <f>'[13]Div 91 forecast'!J297</f>
        <v>750311.78999999992</v>
      </c>
      <c r="I65" s="216">
        <f>'[13]Div 91 forecast'!K297</f>
        <v>600333.5</v>
      </c>
      <c r="J65" s="216">
        <f>'[13]Div 91 forecast'!L297</f>
        <v>1001650.9100000001</v>
      </c>
      <c r="K65" s="216">
        <f>'[13]Div 91 forecast'!M297</f>
        <v>857469.37999999989</v>
      </c>
      <c r="L65" s="216">
        <f>'[13]Div 91 forecast'!N297</f>
        <v>934151.82999999984</v>
      </c>
      <c r="M65" s="216">
        <f>'[13]Div 91 forecast'!O297</f>
        <v>895867.54649999994</v>
      </c>
      <c r="N65" s="216">
        <f>'[13]Div 91 forecast'!P297</f>
        <v>971965.96309999982</v>
      </c>
      <c r="O65" s="216">
        <f>'[13]Div 91 forecast'!Q297</f>
        <v>944579.75680000009</v>
      </c>
      <c r="P65" s="216"/>
      <c r="Q65" s="216"/>
      <c r="R65" s="216"/>
    </row>
    <row r="66" spans="1:18">
      <c r="A66" s="216"/>
      <c r="B66" s="216"/>
      <c r="C66" s="216"/>
      <c r="D66" s="216">
        <f>D64+D65</f>
        <v>-9.9999994272366166E-3</v>
      </c>
      <c r="E66" s="216">
        <f t="shared" ref="E66:O66" si="12">E64+E65</f>
        <v>9.9999993108212948E-3</v>
      </c>
      <c r="F66" s="216">
        <f t="shared" si="12"/>
        <v>1.0000000009313226E-2</v>
      </c>
      <c r="G66" s="216">
        <f t="shared" si="12"/>
        <v>0</v>
      </c>
      <c r="H66" s="216">
        <f t="shared" si="12"/>
        <v>0</v>
      </c>
      <c r="I66" s="216">
        <f t="shared" si="12"/>
        <v>2.0000000251457095E-2</v>
      </c>
      <c r="J66" s="216">
        <f t="shared" si="12"/>
        <v>0</v>
      </c>
      <c r="K66" s="216">
        <f t="shared" si="12"/>
        <v>0</v>
      </c>
      <c r="L66" s="216">
        <f t="shared" si="12"/>
        <v>0</v>
      </c>
      <c r="M66" s="216">
        <f t="shared" si="12"/>
        <v>0</v>
      </c>
      <c r="N66" s="216">
        <f t="shared" si="12"/>
        <v>0</v>
      </c>
      <c r="O66" s="216">
        <f t="shared" si="12"/>
        <v>0</v>
      </c>
      <c r="P66" s="216"/>
      <c r="Q66" s="216"/>
      <c r="R66" s="216"/>
    </row>
    <row r="67" spans="1:18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170"/>
      <c r="P67" s="216"/>
      <c r="Q67" s="216"/>
      <c r="R67" s="216"/>
    </row>
    <row r="68" spans="1:18">
      <c r="A68" s="216"/>
      <c r="B68" s="216"/>
      <c r="C68" s="671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170"/>
      <c r="P68" s="216"/>
      <c r="Q68" s="671"/>
      <c r="R68" s="216"/>
    </row>
    <row r="69" spans="1:18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387"/>
      <c r="P69" s="216"/>
      <c r="Q69" s="216"/>
      <c r="R69" s="216"/>
    </row>
    <row r="70" spans="1:18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170"/>
      <c r="P70" s="216"/>
      <c r="Q70" s="216"/>
      <c r="R70" s="216"/>
    </row>
    <row r="71" spans="1:18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170"/>
      <c r="P71" s="216"/>
      <c r="Q71" s="216"/>
      <c r="R71" s="216"/>
    </row>
    <row r="72" spans="1:18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</row>
    <row r="73" spans="1:18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</row>
    <row r="75" spans="1:18">
      <c r="C75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1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30"/>
  <sheetViews>
    <sheetView view="pageBreakPreview" zoomScale="70" zoomScaleNormal="75" zoomScaleSheetLayoutView="70" workbookViewId="0">
      <pane xSplit="3" ySplit="10" topLeftCell="D11" activePane="bottomRight" state="frozen"/>
      <selection activeCell="H20" sqref="H20"/>
      <selection pane="topRight" activeCell="H20" sqref="H20"/>
      <selection pane="bottomLeft" activeCell="H20" sqref="H20"/>
      <selection pane="bottomRight" sqref="A1:P1"/>
    </sheetView>
  </sheetViews>
  <sheetFormatPr defaultColWidth="7.109375" defaultRowHeight="15"/>
  <cols>
    <col min="1" max="1" width="4.6640625" style="80" customWidth="1"/>
    <col min="2" max="2" width="9.109375" style="80" customWidth="1"/>
    <col min="3" max="3" width="42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5.21875" style="80" customWidth="1"/>
    <col min="10" max="10" width="12.5546875" style="80" customWidth="1"/>
    <col min="11" max="11" width="11.33203125" style="80" bestFit="1" customWidth="1"/>
    <col min="12" max="13" width="12.44140625" style="80" bestFit="1" customWidth="1"/>
    <col min="14" max="14" width="11.33203125" style="80" bestFit="1" customWidth="1"/>
    <col min="15" max="15" width="12.44140625" style="80" customWidth="1"/>
    <col min="16" max="16" width="13.44140625" style="80" bestFit="1" customWidth="1"/>
    <col min="17" max="17" width="12.44140625" style="80" customWidth="1"/>
    <col min="18" max="18" width="10" style="80" customWidth="1"/>
    <col min="19" max="19" width="13.109375" style="80" customWidth="1"/>
    <col min="20" max="20" width="11.21875" style="80" customWidth="1"/>
    <col min="21" max="16384" width="7.109375" style="80"/>
  </cols>
  <sheetData>
    <row r="1" spans="1:19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81"/>
      <c r="R1" s="81"/>
      <c r="S1" s="81"/>
    </row>
    <row r="2" spans="1:19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R2" s="81"/>
      <c r="S2" s="81"/>
    </row>
    <row r="3" spans="1:19">
      <c r="A3" s="1210" t="s">
        <v>418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81"/>
      <c r="R3" s="81"/>
      <c r="S3" s="81"/>
    </row>
    <row r="4" spans="1:19">
      <c r="A4" s="1210" t="str">
        <f>'Table of Contents'!A4:C4</f>
        <v>Forecasted Test Period: Twelve Months Ended March 31, 2020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81"/>
      <c r="R4" s="81"/>
      <c r="S4" s="81"/>
    </row>
    <row r="5" spans="1:19">
      <c r="A5" s="851"/>
      <c r="B5" s="851"/>
      <c r="C5" s="851"/>
      <c r="D5" s="884"/>
      <c r="E5" s="885"/>
      <c r="F5" s="884"/>
      <c r="G5" s="886"/>
      <c r="H5" s="886"/>
      <c r="I5" s="886"/>
      <c r="J5" s="886"/>
      <c r="K5" s="886"/>
      <c r="L5" s="884"/>
      <c r="M5" s="887"/>
      <c r="N5" s="884"/>
      <c r="O5" s="885"/>
      <c r="P5" s="851"/>
      <c r="Q5" s="81"/>
      <c r="R5" s="81"/>
      <c r="S5" s="81"/>
    </row>
    <row r="6" spans="1:19">
      <c r="A6" s="88" t="str">
        <f>'C.2.1 F'!A6</f>
        <v>Data:________Base Period___X____Forecasted Period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  <c r="R6" s="81"/>
      <c r="S6" s="81"/>
    </row>
    <row r="7" spans="1:19">
      <c r="A7" s="88" t="str">
        <f>'C.2.1 F'!A7</f>
        <v>Type of Filing:___X____Original________Updated ________Revised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  <c r="R7" s="81"/>
      <c r="S7" s="81"/>
    </row>
    <row r="8" spans="1:19">
      <c r="A8" s="391" t="str">
        <f>'C.2.1 F'!A8</f>
        <v>Workpaper Reference No(s).____________________</v>
      </c>
      <c r="B8" s="81"/>
      <c r="C8" s="8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510" t="str">
        <f>'C.2.2 B 09'!P8</f>
        <v>Witness: Waller, Densman</v>
      </c>
      <c r="Q8" s="81"/>
      <c r="R8" s="81"/>
      <c r="S8" s="81"/>
    </row>
    <row r="9" spans="1:19">
      <c r="A9" s="888" t="s">
        <v>93</v>
      </c>
      <c r="B9" s="889" t="s">
        <v>100</v>
      </c>
      <c r="C9" s="890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892"/>
      <c r="Q9" s="851"/>
      <c r="R9" s="851"/>
      <c r="S9" s="851"/>
    </row>
    <row r="10" spans="1:19">
      <c r="A10" s="893" t="s">
        <v>99</v>
      </c>
      <c r="B10" s="521" t="s">
        <v>99</v>
      </c>
      <c r="C10" s="894" t="s">
        <v>952</v>
      </c>
      <c r="D10" s="613">
        <v>43556</v>
      </c>
      <c r="E10" s="613">
        <v>43586</v>
      </c>
      <c r="F10" s="613">
        <v>43617</v>
      </c>
      <c r="G10" s="613">
        <v>43647</v>
      </c>
      <c r="H10" s="613">
        <v>43678</v>
      </c>
      <c r="I10" s="613">
        <v>43709</v>
      </c>
      <c r="J10" s="613">
        <v>43739</v>
      </c>
      <c r="K10" s="613">
        <v>43770</v>
      </c>
      <c r="L10" s="613">
        <v>43800</v>
      </c>
      <c r="M10" s="613">
        <v>43831</v>
      </c>
      <c r="N10" s="613">
        <v>43862</v>
      </c>
      <c r="O10" s="613">
        <v>43891</v>
      </c>
      <c r="P10" s="895" t="s">
        <v>96</v>
      </c>
      <c r="Q10" s="76"/>
      <c r="R10" s="851"/>
      <c r="S10" s="851"/>
    </row>
    <row r="11" spans="1:19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49"/>
      <c r="R11" s="81"/>
      <c r="S11" s="81"/>
    </row>
    <row r="12" spans="1:19">
      <c r="A12" s="851">
        <v>1</v>
      </c>
      <c r="B12" s="707">
        <v>4091</v>
      </c>
      <c r="C12" s="834" t="s">
        <v>668</v>
      </c>
      <c r="D12" s="398">
        <f>E!$G$23/12</f>
        <v>654591.48905414634</v>
      </c>
      <c r="E12" s="398">
        <f>E!$G$23/12</f>
        <v>654591.48905414634</v>
      </c>
      <c r="F12" s="398">
        <f>E!$G$23/12</f>
        <v>654591.48905414634</v>
      </c>
      <c r="G12" s="398">
        <f>E!$G$23/12</f>
        <v>654591.48905414634</v>
      </c>
      <c r="H12" s="398">
        <f>E!$G$23/12</f>
        <v>654591.48905414634</v>
      </c>
      <c r="I12" s="398">
        <f>E!$G$23/12</f>
        <v>654591.48905414634</v>
      </c>
      <c r="J12" s="398">
        <f>E!$G$23/12</f>
        <v>654591.48905414634</v>
      </c>
      <c r="K12" s="398">
        <f>E!$G$23/12</f>
        <v>654591.48905414634</v>
      </c>
      <c r="L12" s="398">
        <f>E!$G$23/12</f>
        <v>654591.48905414634</v>
      </c>
      <c r="M12" s="398">
        <f>E!$G$23/12</f>
        <v>654591.48905414634</v>
      </c>
      <c r="N12" s="398">
        <f>E!$G$23/12</f>
        <v>654591.48905414634</v>
      </c>
      <c r="O12" s="398">
        <f>E!$G$23/12</f>
        <v>654591.48905414634</v>
      </c>
      <c r="P12" s="81">
        <f>SUM(D12:O12)</f>
        <v>7855097.8686497556</v>
      </c>
      <c r="Q12" s="671"/>
      <c r="S12" s="671"/>
    </row>
    <row r="13" spans="1:19">
      <c r="A13" s="851">
        <f>A12+1</f>
        <v>2</v>
      </c>
      <c r="B13" s="707"/>
      <c r="C13" s="834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81"/>
      <c r="Q13" s="81"/>
      <c r="S13" s="81"/>
    </row>
    <row r="14" spans="1:19">
      <c r="A14" s="851">
        <f t="shared" ref="A14:A79" si="0">A13+1</f>
        <v>3</v>
      </c>
      <c r="B14" s="707">
        <v>4030</v>
      </c>
      <c r="C14" s="81" t="s">
        <v>91</v>
      </c>
      <c r="D14" s="96">
        <f>'B.3.1 F'!$H$264/12</f>
        <v>1312446.4762301191</v>
      </c>
      <c r="E14" s="96">
        <f>'B.3.1 F'!$H$264/12</f>
        <v>1312446.4762301191</v>
      </c>
      <c r="F14" s="96">
        <f>'B.3.1 F'!$H$264/12</f>
        <v>1312446.4762301191</v>
      </c>
      <c r="G14" s="96">
        <f>'B.3.1 F'!$H$264/12</f>
        <v>1312446.4762301191</v>
      </c>
      <c r="H14" s="96">
        <f>'B.3.1 F'!$H$264/12</f>
        <v>1312446.4762301191</v>
      </c>
      <c r="I14" s="96">
        <f>'B.3.1 F'!$H$264/12</f>
        <v>1312446.4762301191</v>
      </c>
      <c r="J14" s="96">
        <f>'B.3.1 F'!$H$264/12</f>
        <v>1312446.4762301191</v>
      </c>
      <c r="K14" s="96">
        <f>'B.3.1 F'!$H$264/12</f>
        <v>1312446.4762301191</v>
      </c>
      <c r="L14" s="96">
        <f>'B.3.1 F'!$H$264/12</f>
        <v>1312446.4762301191</v>
      </c>
      <c r="M14" s="96">
        <f>'B.3.1 F'!$H$264/12</f>
        <v>1312446.4762301191</v>
      </c>
      <c r="N14" s="96">
        <f>'B.3.1 F'!$H$264/12</f>
        <v>1312446.4762301191</v>
      </c>
      <c r="O14" s="96">
        <f>'B.3.1 F'!$H$264/12</f>
        <v>1312446.4762301191</v>
      </c>
      <c r="P14" s="81">
        <f t="shared" ref="P14:P23" si="1">SUM(D14:O14)</f>
        <v>15749357.714761427</v>
      </c>
      <c r="Q14" s="671"/>
      <c r="S14" s="671"/>
    </row>
    <row r="15" spans="1:19">
      <c r="A15" s="851">
        <f t="shared" si="0"/>
        <v>4</v>
      </c>
      <c r="B15" s="707">
        <v>4060</v>
      </c>
      <c r="C15" s="81" t="s">
        <v>861</v>
      </c>
      <c r="D15" s="96">
        <f>'C.2.2 B 09'!O15</f>
        <v>0</v>
      </c>
      <c r="E15" s="96">
        <f>D15</f>
        <v>0</v>
      </c>
      <c r="F15" s="96">
        <f t="shared" ref="F15:O15" si="2">E15</f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81">
        <f t="shared" si="1"/>
        <v>0</v>
      </c>
      <c r="Q15" s="81"/>
      <c r="S15" s="81"/>
    </row>
    <row r="16" spans="1:19">
      <c r="A16" s="851">
        <f t="shared" si="0"/>
        <v>5</v>
      </c>
      <c r="B16" s="707">
        <v>4081</v>
      </c>
      <c r="C16" s="210" t="s">
        <v>862</v>
      </c>
      <c r="D16" s="96">
        <f>'C.2.3 F'!C25</f>
        <v>640835.38605233084</v>
      </c>
      <c r="E16" s="96">
        <f>'C.2.3 F'!D25</f>
        <v>738128.50412233081</v>
      </c>
      <c r="F16" s="96">
        <f>'C.2.3 F'!E25</f>
        <v>594668.64069033077</v>
      </c>
      <c r="G16" s="96">
        <f>'C.2.3 F'!F25</f>
        <v>612103.78543033078</v>
      </c>
      <c r="H16" s="96">
        <f>'C.2.3 F'!G25</f>
        <v>591162.8897163308</v>
      </c>
      <c r="I16" s="96">
        <f>'C.2.3 F'!H25</f>
        <v>611801.23268033087</v>
      </c>
      <c r="J16" s="96">
        <f>'C.2.3 F'!I25</f>
        <v>608408.7329385198</v>
      </c>
      <c r="K16" s="96">
        <f>'C.2.3 F'!J25</f>
        <v>662709.7299310799</v>
      </c>
      <c r="L16" s="96">
        <f>'C.2.3 F'!K25</f>
        <v>585360.26270943985</v>
      </c>
      <c r="M16" s="96">
        <f>'C.2.3 F'!L25</f>
        <v>647320.34905809979</v>
      </c>
      <c r="N16" s="96">
        <f>'C.2.3 F'!M25</f>
        <v>601851.91068975662</v>
      </c>
      <c r="O16" s="96">
        <f>'C.2.3 F'!N25</f>
        <v>617485.50862529362</v>
      </c>
      <c r="P16" s="81">
        <f t="shared" si="1"/>
        <v>7511836.9326441754</v>
      </c>
      <c r="Q16" s="671"/>
      <c r="S16" s="671"/>
    </row>
    <row r="17" spans="1:19">
      <c r="A17" s="851">
        <f t="shared" si="0"/>
        <v>6</v>
      </c>
      <c r="B17" s="707">
        <v>4800</v>
      </c>
      <c r="C17" s="362" t="s">
        <v>863</v>
      </c>
      <c r="D17" s="96">
        <f>-'[9]Summary of Revenue'!T11</f>
        <v>-8610670.0650308877</v>
      </c>
      <c r="E17" s="96">
        <f>-'[9]Summary of Revenue'!U11</f>
        <v>-5415766.9850420076</v>
      </c>
      <c r="F17" s="96">
        <f>-'[9]Summary of Revenue'!V11</f>
        <v>-4024680.0385014741</v>
      </c>
      <c r="G17" s="96">
        <f>-'[9]Summary of Revenue'!W11</f>
        <v>-3684913.3482450601</v>
      </c>
      <c r="H17" s="96">
        <f>-'[9]Summary of Revenue'!X11</f>
        <v>-3686809.6237465949</v>
      </c>
      <c r="I17" s="96">
        <f>-'[9]Summary of Revenue'!Y11</f>
        <v>-3665403.7162836287</v>
      </c>
      <c r="J17" s="96">
        <f>-'[9]Summary of Revenue'!Z11</f>
        <v>-4813510.0265167719</v>
      </c>
      <c r="K17" s="96">
        <f>-'[9]Summary of Revenue'!AA11</f>
        <v>-8164046.5562757477</v>
      </c>
      <c r="L17" s="96">
        <f>-'[9]Summary of Revenue'!AB11</f>
        <v>-12309251.032231433</v>
      </c>
      <c r="M17" s="96">
        <f>-'[9]Summary of Revenue'!AC11</f>
        <v>-15261501.254130863</v>
      </c>
      <c r="N17" s="96">
        <f>-'[9]Summary of Revenue'!AD11</f>
        <v>-15293971.735410729</v>
      </c>
      <c r="O17" s="96">
        <f>-'[9]Summary of Revenue'!AE11</f>
        <v>-11588965.754455715</v>
      </c>
      <c r="P17" s="96">
        <f t="shared" si="1"/>
        <v>-96519490.135870919</v>
      </c>
    </row>
    <row r="18" spans="1:19">
      <c r="A18" s="851">
        <f t="shared" si="0"/>
        <v>7</v>
      </c>
      <c r="B18" s="707">
        <v>4805</v>
      </c>
      <c r="C18" s="362" t="s">
        <v>1314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9">
      <c r="A19" s="851">
        <f t="shared" si="0"/>
        <v>8</v>
      </c>
      <c r="B19" s="707">
        <v>4811</v>
      </c>
      <c r="C19" s="362" t="s">
        <v>1387</v>
      </c>
      <c r="D19" s="96">
        <f>-'[9]Summary of Revenue'!T12</f>
        <v>-3740234.3039921885</v>
      </c>
      <c r="E19" s="96">
        <f>-'[9]Summary of Revenue'!U12</f>
        <v>-2430597.393395402</v>
      </c>
      <c r="F19" s="96">
        <f>-'[9]Summary of Revenue'!V12</f>
        <v>-1825190.9458076423</v>
      </c>
      <c r="G19" s="96">
        <f>-'[9]Summary of Revenue'!W12</f>
        <v>-1683031.0804569395</v>
      </c>
      <c r="H19" s="96">
        <f>-'[9]Summary of Revenue'!X12</f>
        <v>-1674192.6098799084</v>
      </c>
      <c r="I19" s="96">
        <f>-'[9]Summary of Revenue'!Y12</f>
        <v>-1655980.8256730861</v>
      </c>
      <c r="J19" s="96">
        <f>-'[9]Summary of Revenue'!Z12</f>
        <v>-2100481.2074903068</v>
      </c>
      <c r="K19" s="96">
        <f>-'[9]Summary of Revenue'!AA12</f>
        <v>-3492015.8223401732</v>
      </c>
      <c r="L19" s="96">
        <f>-'[9]Summary of Revenue'!AB12</f>
        <v>-5194864.1480078101</v>
      </c>
      <c r="M19" s="96">
        <f>-'[9]Summary of Revenue'!AC12</f>
        <v>-6452613.6240774728</v>
      </c>
      <c r="N19" s="96">
        <f>-'[9]Summary of Revenue'!AD12</f>
        <v>-6412212.9025667459</v>
      </c>
      <c r="O19" s="96">
        <f>-'[9]Summary of Revenue'!AE12</f>
        <v>-4946605.2380727371</v>
      </c>
      <c r="P19" s="96">
        <f t="shared" si="1"/>
        <v>-41608020.101760417</v>
      </c>
    </row>
    <row r="20" spans="1:19">
      <c r="A20" s="851">
        <f t="shared" si="0"/>
        <v>9</v>
      </c>
      <c r="B20" s="707">
        <v>4812</v>
      </c>
      <c r="C20" s="81" t="s">
        <v>1388</v>
      </c>
      <c r="D20" s="96">
        <f>-'[9]Summary of Revenue'!T13</f>
        <v>-476019.20573126379</v>
      </c>
      <c r="E20" s="96">
        <f>-'[9]Summary of Revenue'!U13</f>
        <v>-245337.58100376112</v>
      </c>
      <c r="F20" s="96">
        <f>-'[9]Summary of Revenue'!V13</f>
        <v>-137169.04477656857</v>
      </c>
      <c r="G20" s="96">
        <f>-'[9]Summary of Revenue'!W13</f>
        <v>-160281.23725643521</v>
      </c>
      <c r="H20" s="96">
        <f>-'[9]Summary of Revenue'!X13</f>
        <v>-201966.61113093808</v>
      </c>
      <c r="I20" s="96">
        <f>-'[9]Summary of Revenue'!Y13</f>
        <v>-189233.69800180831</v>
      </c>
      <c r="J20" s="96">
        <f>-'[9]Summary of Revenue'!Z13</f>
        <v>-256406.04684326812</v>
      </c>
      <c r="K20" s="96">
        <f>-'[9]Summary of Revenue'!AA13</f>
        <v>-353760.7012860981</v>
      </c>
      <c r="L20" s="96">
        <f>-'[9]Summary of Revenue'!AB13</f>
        <v>-529688.5965677551</v>
      </c>
      <c r="M20" s="96">
        <f>-'[9]Summary of Revenue'!AC13</f>
        <v>-1366720.8167494037</v>
      </c>
      <c r="N20" s="96">
        <f>-'[9]Summary of Revenue'!AD13</f>
        <v>-935261.01264412527</v>
      </c>
      <c r="O20" s="96">
        <f>-'[9]Summary of Revenue'!AE13</f>
        <v>-518540.2843305968</v>
      </c>
      <c r="P20" s="96">
        <f t="shared" si="1"/>
        <v>-5370384.8363220226</v>
      </c>
      <c r="Q20" s="81"/>
      <c r="R20" s="671"/>
    </row>
    <row r="21" spans="1:19">
      <c r="A21" s="851">
        <f t="shared" si="0"/>
        <v>10</v>
      </c>
      <c r="B21" s="830">
        <v>4815</v>
      </c>
      <c r="C21" s="210" t="s">
        <v>1315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81"/>
      <c r="R21" s="671"/>
    </row>
    <row r="22" spans="1:19">
      <c r="A22" s="851">
        <f t="shared" si="0"/>
        <v>11</v>
      </c>
      <c r="B22" s="830">
        <v>4816</v>
      </c>
      <c r="C22" s="210" t="s">
        <v>1346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1"/>
      <c r="R22" s="671"/>
    </row>
    <row r="23" spans="1:19" ht="15.75">
      <c r="A23" s="851">
        <f t="shared" si="0"/>
        <v>12</v>
      </c>
      <c r="B23" s="707">
        <v>4820</v>
      </c>
      <c r="C23" s="81" t="s">
        <v>864</v>
      </c>
      <c r="D23" s="96">
        <f>-'[9]Summary of Revenue'!T14</f>
        <v>-608128.8740703048</v>
      </c>
      <c r="E23" s="96">
        <f>-'[9]Summary of Revenue'!U14</f>
        <v>-347106.69036616589</v>
      </c>
      <c r="F23" s="96">
        <f>-'[9]Summary of Revenue'!V14</f>
        <v>-235663.47845840739</v>
      </c>
      <c r="G23" s="96">
        <f>-'[9]Summary of Revenue'!W14</f>
        <v>-213588.23422003508</v>
      </c>
      <c r="H23" s="96">
        <f>-'[9]Summary of Revenue'!X14</f>
        <v>-213628.61926361959</v>
      </c>
      <c r="I23" s="96">
        <f>-'[9]Summary of Revenue'!Y14</f>
        <v>-204561.97739721125</v>
      </c>
      <c r="J23" s="96">
        <f>-'[9]Summary of Revenue'!Z14</f>
        <v>-309464.74932909186</v>
      </c>
      <c r="K23" s="96">
        <f>-'[9]Summary of Revenue'!AA14</f>
        <v>-584748.47667175182</v>
      </c>
      <c r="L23" s="96">
        <f>-'[9]Summary of Revenue'!AB14</f>
        <v>-914866.79837369605</v>
      </c>
      <c r="M23" s="96">
        <f>-'[9]Summary of Revenue'!AC14</f>
        <v>-1137916.6570746452</v>
      </c>
      <c r="N23" s="96">
        <f>-'[9]Summary of Revenue'!AD14</f>
        <v>-1135614.1948950947</v>
      </c>
      <c r="O23" s="96">
        <f>-'[9]Summary of Revenue'!AE14</f>
        <v>-844518.05872786895</v>
      </c>
      <c r="P23" s="96">
        <f t="shared" si="1"/>
        <v>-6749806.8088478921</v>
      </c>
      <c r="Q23" s="81"/>
      <c r="R23" s="896"/>
    </row>
    <row r="24" spans="1:19" ht="15.75">
      <c r="A24" s="851">
        <f t="shared" si="0"/>
        <v>13</v>
      </c>
      <c r="B24" s="830">
        <v>4825</v>
      </c>
      <c r="C24" s="210" t="s">
        <v>1316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81"/>
      <c r="R24" s="896"/>
    </row>
    <row r="25" spans="1:19">
      <c r="A25" s="851">
        <f t="shared" si="0"/>
        <v>14</v>
      </c>
      <c r="B25" s="707">
        <v>4870</v>
      </c>
      <c r="C25" s="81" t="s">
        <v>230</v>
      </c>
      <c r="D25" s="96">
        <f>-'[9]Summary of Revenue'!T18</f>
        <v>-158007.4133962857</v>
      </c>
      <c r="E25" s="96">
        <f>-'[9]Summary of Revenue'!U18</f>
        <v>-116546.78412815434</v>
      </c>
      <c r="F25" s="96">
        <f>-'[9]Summary of Revenue'!V18</f>
        <v>-73687.232671443053</v>
      </c>
      <c r="G25" s="96">
        <f>-'[9]Summary of Revenue'!W18</f>
        <v>-54761.23350727481</v>
      </c>
      <c r="H25" s="96">
        <f>-'[9]Summary of Revenue'!X18</f>
        <v>-50223.256406440094</v>
      </c>
      <c r="I25" s="96">
        <f>-'[9]Summary of Revenue'!Y18</f>
        <v>-50163.68436664695</v>
      </c>
      <c r="J25" s="96">
        <f>-'[9]Summary of Revenue'!Z18</f>
        <v>-49723.008346390074</v>
      </c>
      <c r="K25" s="96">
        <f>-'[9]Summary of Revenue'!AA18</f>
        <v>-64995.591176114212</v>
      </c>
      <c r="L25" s="96">
        <f>-'[9]Summary of Revenue'!AB18</f>
        <v>-110127.75108290582</v>
      </c>
      <c r="M25" s="96">
        <f>-'[9]Summary of Revenue'!AC18</f>
        <v>-165693.8886350524</v>
      </c>
      <c r="N25" s="96">
        <f>-'[9]Summary of Revenue'!AD18</f>
        <v>-205564.27717404097</v>
      </c>
      <c r="O25" s="96">
        <f>-'[9]Summary of Revenue'!AE18</f>
        <v>-205470.44288243348</v>
      </c>
      <c r="P25" s="96">
        <f t="shared" ref="P25:P58" si="3">SUM(D25:O25)</f>
        <v>-1304964.5637731818</v>
      </c>
      <c r="Q25" s="81"/>
      <c r="R25" s="81"/>
    </row>
    <row r="26" spans="1:19">
      <c r="A26" s="851">
        <f t="shared" si="0"/>
        <v>15</v>
      </c>
      <c r="B26" s="707">
        <v>4880</v>
      </c>
      <c r="C26" s="81" t="s">
        <v>865</v>
      </c>
      <c r="D26" s="96">
        <f>-'[9]Summary of Revenue'!T19</f>
        <v>-49919</v>
      </c>
      <c r="E26" s="96">
        <f>-'[9]Summary of Revenue'!U19</f>
        <v>-53628</v>
      </c>
      <c r="F26" s="96">
        <f>-'[9]Summary of Revenue'!V19</f>
        <v>-55397</v>
      </c>
      <c r="G26" s="96">
        <f>-'[9]Summary of Revenue'!W19</f>
        <v>-45327</v>
      </c>
      <c r="H26" s="96">
        <f>-'[9]Summary of Revenue'!X19</f>
        <v>-57173</v>
      </c>
      <c r="I26" s="96">
        <f>-'[9]Summary of Revenue'!Y19</f>
        <v>-55395</v>
      </c>
      <c r="J26" s="96">
        <f>-'[9]Summary of Revenue'!Z19</f>
        <v>-88176</v>
      </c>
      <c r="K26" s="96">
        <f>-'[9]Summary of Revenue'!AA19</f>
        <v>-126545</v>
      </c>
      <c r="L26" s="96">
        <f>-'[9]Summary of Revenue'!AB19</f>
        <v>-87101</v>
      </c>
      <c r="M26" s="96">
        <f>-'[9]Summary of Revenue'!AC19</f>
        <v>-58133</v>
      </c>
      <c r="N26" s="96">
        <f>-'[9]Summary of Revenue'!AD19</f>
        <v>-54439</v>
      </c>
      <c r="O26" s="96">
        <f>-'[9]Summary of Revenue'!AE19</f>
        <v>-74821</v>
      </c>
      <c r="P26" s="96">
        <f t="shared" si="3"/>
        <v>-806054</v>
      </c>
      <c r="Q26" s="81"/>
      <c r="R26" s="81"/>
    </row>
    <row r="27" spans="1:19">
      <c r="A27" s="851">
        <f t="shared" si="0"/>
        <v>16</v>
      </c>
      <c r="B27" s="707">
        <v>4893</v>
      </c>
      <c r="C27" s="81" t="s">
        <v>866</v>
      </c>
      <c r="D27" s="96">
        <f>-'[9]Summary of Revenue'!T20</f>
        <v>-1283037.0911864408</v>
      </c>
      <c r="E27" s="96">
        <f>-'[9]Summary of Revenue'!U20</f>
        <v>-1128526.9024999999</v>
      </c>
      <c r="F27" s="96">
        <f>-'[9]Summary of Revenue'!V20</f>
        <v>-1043107.5225</v>
      </c>
      <c r="G27" s="96">
        <f>-'[9]Summary of Revenue'!W20</f>
        <v>-994105.16500000004</v>
      </c>
      <c r="H27" s="96">
        <f>-'[9]Summary of Revenue'!X20</f>
        <v>-1088323.54</v>
      </c>
      <c r="I27" s="96">
        <f>-'[9]Summary of Revenue'!Y20</f>
        <v>-1079966.1724999999</v>
      </c>
      <c r="J27" s="96">
        <f>-'[9]Summary of Revenue'!Z20</f>
        <v>-1210609.0350000001</v>
      </c>
      <c r="K27" s="96">
        <f>-'[9]Summary of Revenue'!AA20</f>
        <v>-1304753.0449999999</v>
      </c>
      <c r="L27" s="96">
        <f>-'[9]Summary of Revenue'!AB20</f>
        <v>-1422619.82</v>
      </c>
      <c r="M27" s="96">
        <f>-'[9]Summary of Revenue'!AC20</f>
        <v>-1613292.1125</v>
      </c>
      <c r="N27" s="96">
        <f>-'[9]Summary of Revenue'!AD20</f>
        <v>-1319597.0900000001</v>
      </c>
      <c r="O27" s="96">
        <f>-'[9]Summary of Revenue'!AE20</f>
        <v>-1393444.4936864409</v>
      </c>
      <c r="P27" s="96">
        <f t="shared" si="3"/>
        <v>-14881381.989872882</v>
      </c>
      <c r="Q27" s="833"/>
    </row>
    <row r="28" spans="1:19">
      <c r="A28" s="851">
        <f t="shared" si="0"/>
        <v>17</v>
      </c>
      <c r="B28" s="707">
        <v>4950</v>
      </c>
      <c r="C28" s="81" t="s">
        <v>662</v>
      </c>
      <c r="D28" s="96">
        <f>-'[9]Summary of Revenue'!T21</f>
        <v>-209397.11525423729</v>
      </c>
      <c r="E28" s="96">
        <f>-'[9]Summary of Revenue'!U21</f>
        <v>-195682.13000000003</v>
      </c>
      <c r="F28" s="96">
        <f>-'[9]Summary of Revenue'!V21</f>
        <v>-179745.91</v>
      </c>
      <c r="G28" s="96">
        <f>-'[9]Summary of Revenue'!W21</f>
        <v>-157141.32000000004</v>
      </c>
      <c r="H28" s="96">
        <f>-'[9]Summary of Revenue'!X21</f>
        <v>-159211.59</v>
      </c>
      <c r="I28" s="96">
        <f>-'[9]Summary of Revenue'!Y21</f>
        <v>-171560.08999999997</v>
      </c>
      <c r="J28" s="96">
        <f>-'[9]Summary of Revenue'!Z21</f>
        <v>-201623.49000000002</v>
      </c>
      <c r="K28" s="96">
        <f>-'[9]Summary of Revenue'!AA21</f>
        <v>-213081.41000000003</v>
      </c>
      <c r="L28" s="96">
        <f>-'[9]Summary of Revenue'!AB21</f>
        <v>-245950.37</v>
      </c>
      <c r="M28" s="96">
        <f>-'[9]Summary of Revenue'!AC21</f>
        <v>-268662.74</v>
      </c>
      <c r="N28" s="96">
        <f>-'[9]Summary of Revenue'!AD21</f>
        <v>-230460.39</v>
      </c>
      <c r="O28" s="96">
        <f>-'[9]Summary of Revenue'!AE21</f>
        <v>-245246.8452542373</v>
      </c>
      <c r="P28" s="96">
        <f t="shared" si="3"/>
        <v>-2477763.4005084746</v>
      </c>
      <c r="Q28" s="671"/>
      <c r="R28" s="671"/>
    </row>
    <row r="29" spans="1:19">
      <c r="A29" s="1179">
        <f t="shared" si="0"/>
        <v>18</v>
      </c>
      <c r="B29" s="707">
        <v>4960</v>
      </c>
      <c r="C29" s="103" t="s">
        <v>1626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>
        <f t="shared" si="3"/>
        <v>0</v>
      </c>
      <c r="Q29" s="671"/>
      <c r="R29" s="671"/>
    </row>
    <row r="30" spans="1:19">
      <c r="A30" s="1179">
        <f t="shared" si="0"/>
        <v>19</v>
      </c>
      <c r="B30" s="830">
        <v>7560</v>
      </c>
      <c r="C30" s="80" t="s">
        <v>1391</v>
      </c>
      <c r="D30" s="398">
        <f>VLOOKUP($B30,'[13]Div 9 forecast'!$D$590:$AF$671,18,FALSE)</f>
        <v>0</v>
      </c>
      <c r="E30" s="398">
        <f>VLOOKUP($B30,'[13]Div 9 forecast'!$D$590:$AF$671,19,FALSE)</f>
        <v>0</v>
      </c>
      <c r="F30" s="398">
        <f>VLOOKUP($B30,'[13]Div 9 forecast'!$D$590:$AF$671,20,FALSE)</f>
        <v>0</v>
      </c>
      <c r="G30" s="398">
        <f>VLOOKUP($B30,'[13]Div 9 forecast'!$D$590:$AF$671,21,FALSE)</f>
        <v>0</v>
      </c>
      <c r="H30" s="398">
        <f>VLOOKUP($B30,'[13]Div 9 forecast'!$D$590:$AF$671,22,FALSE)</f>
        <v>0</v>
      </c>
      <c r="I30" s="398">
        <f>VLOOKUP($B30,'[13]Div 9 forecast'!$D$590:$AF$671,23,FALSE)</f>
        <v>0</v>
      </c>
      <c r="J30" s="398">
        <f>VLOOKUP($B30,'[13]Div 9 forecast'!$D$590:$AF$671,24,FALSE)</f>
        <v>0</v>
      </c>
      <c r="K30" s="398">
        <f>VLOOKUP($B30,'[13]Div 9 forecast'!$D$590:$AF$671,25,FALSE)</f>
        <v>0</v>
      </c>
      <c r="L30" s="398">
        <f>VLOOKUP($B30,'[13]Div 9 forecast'!$D$590:$AF$671,26,FALSE)</f>
        <v>0</v>
      </c>
      <c r="M30" s="398">
        <f>VLOOKUP($B30,'[13]Div 9 forecast'!$D$590:$AF$671,27,FALSE)</f>
        <v>0</v>
      </c>
      <c r="N30" s="398">
        <f>VLOOKUP($B30,'[13]Div 9 forecast'!$D$590:$AF$671,28,FALSE)</f>
        <v>0</v>
      </c>
      <c r="O30" s="398">
        <f>VLOOKUP($B30,'[13]Div 9 forecast'!$D$590:$AF$671,29,FALSE)</f>
        <v>0</v>
      </c>
      <c r="P30" s="96">
        <f t="shared" si="3"/>
        <v>0</v>
      </c>
      <c r="Q30" s="691"/>
      <c r="R30" s="671"/>
    </row>
    <row r="31" spans="1:19">
      <c r="A31" s="1179">
        <f t="shared" si="0"/>
        <v>20</v>
      </c>
      <c r="B31" s="830">
        <v>7590</v>
      </c>
      <c r="C31" s="103" t="s">
        <v>1349</v>
      </c>
      <c r="D31" s="398">
        <f>VLOOKUP($B31,'[13]Div 9 forecast'!$D$590:$AF$671,18,FALSE)</f>
        <v>0</v>
      </c>
      <c r="E31" s="398">
        <f>VLOOKUP($B31,'[13]Div 9 forecast'!$D$590:$AF$671,19,FALSE)</f>
        <v>0</v>
      </c>
      <c r="F31" s="398">
        <f>VLOOKUP($B31,'[13]Div 9 forecast'!$D$590:$AF$671,20,FALSE)</f>
        <v>0</v>
      </c>
      <c r="G31" s="398">
        <f>VLOOKUP($B31,'[13]Div 9 forecast'!$D$590:$AF$671,21,FALSE)</f>
        <v>0</v>
      </c>
      <c r="H31" s="398">
        <f>VLOOKUP($B31,'[13]Div 9 forecast'!$D$590:$AF$671,22,FALSE)</f>
        <v>0</v>
      </c>
      <c r="I31" s="398">
        <f>VLOOKUP($B31,'[13]Div 9 forecast'!$D$590:$AF$671,23,FALSE)</f>
        <v>0</v>
      </c>
      <c r="J31" s="398">
        <f>VLOOKUP($B31,'[13]Div 9 forecast'!$D$590:$AF$671,24,FALSE)</f>
        <v>0</v>
      </c>
      <c r="K31" s="398">
        <f>VLOOKUP($B31,'[13]Div 9 forecast'!$D$590:$AF$671,25,FALSE)</f>
        <v>0</v>
      </c>
      <c r="L31" s="398">
        <f>VLOOKUP($B31,'[13]Div 9 forecast'!$D$590:$AF$671,26,FALSE)</f>
        <v>0</v>
      </c>
      <c r="M31" s="398">
        <f>VLOOKUP($B31,'[13]Div 9 forecast'!$D$590:$AF$671,27,FALSE)</f>
        <v>0</v>
      </c>
      <c r="N31" s="398">
        <f>VLOOKUP($B31,'[13]Div 9 forecast'!$D$590:$AF$671,28,FALSE)</f>
        <v>0</v>
      </c>
      <c r="O31" s="398">
        <f>VLOOKUP($B31,'[13]Div 9 forecast'!$D$590:$AF$671,29,FALSE)</f>
        <v>0</v>
      </c>
      <c r="P31" s="96">
        <f t="shared" si="3"/>
        <v>0</v>
      </c>
      <c r="Q31" s="691"/>
      <c r="R31" s="671"/>
    </row>
    <row r="32" spans="1:19">
      <c r="A32" s="1179">
        <f t="shared" si="0"/>
        <v>21</v>
      </c>
      <c r="B32" s="707">
        <v>8001</v>
      </c>
      <c r="C32" s="81" t="s">
        <v>867</v>
      </c>
      <c r="D32" s="96">
        <f>'[14]2018 case'!Y7</f>
        <v>0</v>
      </c>
      <c r="E32" s="96">
        <f>'[14]2018 case'!Z7</f>
        <v>0</v>
      </c>
      <c r="F32" s="96">
        <f>'[14]2018 case'!AA7</f>
        <v>0</v>
      </c>
      <c r="G32" s="96">
        <f>'[14]2018 case'!AB7</f>
        <v>0</v>
      </c>
      <c r="H32" s="96">
        <f>'[14]2018 case'!AC7</f>
        <v>0</v>
      </c>
      <c r="I32" s="96">
        <f>'[14]2018 case'!AD7</f>
        <v>0</v>
      </c>
      <c r="J32" s="96">
        <f>'[14]2018 case'!AE7</f>
        <v>0</v>
      </c>
      <c r="K32" s="96">
        <f>'[14]2018 case'!AF7</f>
        <v>0</v>
      </c>
      <c r="L32" s="96">
        <f>'[14]2018 case'!AG7</f>
        <v>0</v>
      </c>
      <c r="M32" s="96">
        <f>'[14]2018 case'!AH7</f>
        <v>0</v>
      </c>
      <c r="N32" s="96">
        <f>'[14]2018 case'!AI7</f>
        <v>0</v>
      </c>
      <c r="O32" s="96">
        <f>'[14]2018 case'!AJ7</f>
        <v>0</v>
      </c>
      <c r="P32" s="96">
        <f t="shared" si="3"/>
        <v>0</v>
      </c>
      <c r="Q32" s="81"/>
      <c r="R32" s="671"/>
      <c r="S32" s="81"/>
    </row>
    <row r="33" spans="1:25">
      <c r="A33" s="1179">
        <f t="shared" si="0"/>
        <v>22</v>
      </c>
      <c r="B33" s="707">
        <v>8010</v>
      </c>
      <c r="C33" s="81" t="s">
        <v>1208</v>
      </c>
      <c r="D33" s="96">
        <f>'[14]2018 case'!Y8</f>
        <v>3586.6638410069272</v>
      </c>
      <c r="E33" s="96">
        <f>'[14]2018 case'!Z8</f>
        <v>6498.2402368425446</v>
      </c>
      <c r="F33" s="96">
        <f>'[14]2018 case'!AA8</f>
        <v>6066.7425515505611</v>
      </c>
      <c r="G33" s="96">
        <f>'[14]2018 case'!AB8</f>
        <v>6533.1244579465729</v>
      </c>
      <c r="H33" s="96">
        <f>'[14]2018 case'!AC8</f>
        <v>5608.7518491276314</v>
      </c>
      <c r="I33" s="96">
        <f>'[14]2018 case'!AD8</f>
        <v>5836.4110435169632</v>
      </c>
      <c r="J33" s="96">
        <f>'[14]2018 case'!AE8</f>
        <v>6646.5570595755271</v>
      </c>
      <c r="K33" s="96">
        <f>'[14]2018 case'!AF8</f>
        <v>4207.5874879541889</v>
      </c>
      <c r="L33" s="96">
        <f>'[14]2018 case'!AG8</f>
        <v>3910.9402805402028</v>
      </c>
      <c r="M33" s="96">
        <f>'[14]2018 case'!AH8</f>
        <v>3185.8556916948978</v>
      </c>
      <c r="N33" s="96">
        <f>'[14]2018 case'!AI8</f>
        <v>4967.839963210834</v>
      </c>
      <c r="O33" s="96">
        <f>'[14]2018 case'!AJ8</f>
        <v>4191.1586332012757</v>
      </c>
      <c r="P33" s="96">
        <f t="shared" si="3"/>
        <v>61239.873096168121</v>
      </c>
      <c r="Q33" s="81"/>
      <c r="R33" s="671"/>
      <c r="S33" s="81"/>
    </row>
    <row r="34" spans="1:25">
      <c r="A34" s="1179">
        <f t="shared" si="0"/>
        <v>23</v>
      </c>
      <c r="B34" s="707">
        <v>8040</v>
      </c>
      <c r="C34" s="81" t="s">
        <v>868</v>
      </c>
      <c r="D34" s="96">
        <f>'[14]2018 case'!Y9</f>
        <v>790374.1919631788</v>
      </c>
      <c r="E34" s="96">
        <f>'[14]2018 case'!Z9</f>
        <v>8617999.1670782939</v>
      </c>
      <c r="F34" s="96">
        <f>'[14]2018 case'!AA9</f>
        <v>5454285.6793332733</v>
      </c>
      <c r="G34" s="96">
        <f>'[14]2018 case'!AB9</f>
        <v>5157503.8539492507</v>
      </c>
      <c r="H34" s="96">
        <f>'[14]2018 case'!AC9</f>
        <v>3479427.5561281783</v>
      </c>
      <c r="I34" s="96">
        <f>'[14]2018 case'!AD9</f>
        <v>3137524.7729721894</v>
      </c>
      <c r="J34" s="96">
        <f>'[14]2018 case'!AE9</f>
        <v>3473123.0985495574</v>
      </c>
      <c r="K34" s="96">
        <f>'[14]2018 case'!AF9</f>
        <v>4704008.5210814839</v>
      </c>
      <c r="L34" s="96">
        <f>'[14]2018 case'!AG9</f>
        <v>2170948.5015756832</v>
      </c>
      <c r="M34" s="96">
        <f>'[14]2018 case'!AH9</f>
        <v>4770002.9786155894</v>
      </c>
      <c r="N34" s="96">
        <f>'[14]2018 case'!AI9</f>
        <v>7781592.0058075618</v>
      </c>
      <c r="O34" s="96">
        <f>'[14]2018 case'!AJ9</f>
        <v>1864527.7360798607</v>
      </c>
      <c r="P34" s="96">
        <f t="shared" si="3"/>
        <v>51401318.063134104</v>
      </c>
      <c r="Q34" s="81"/>
      <c r="R34" s="81"/>
      <c r="S34" s="81"/>
    </row>
    <row r="35" spans="1:25">
      <c r="A35" s="1179">
        <f t="shared" si="0"/>
        <v>24</v>
      </c>
      <c r="B35" s="707">
        <v>8050</v>
      </c>
      <c r="C35" s="81" t="s">
        <v>869</v>
      </c>
      <c r="D35" s="96">
        <f>'[14]2018 case'!Y10</f>
        <v>-1129.2762361200871</v>
      </c>
      <c r="E35" s="96">
        <f>'[14]2018 case'!Z10</f>
        <v>-90.882472707643046</v>
      </c>
      <c r="F35" s="96">
        <f>'[14]2018 case'!AA10</f>
        <v>0</v>
      </c>
      <c r="G35" s="96">
        <f>'[14]2018 case'!AB10</f>
        <v>-261.82419172375967</v>
      </c>
      <c r="H35" s="96">
        <f>'[14]2018 case'!AC10</f>
        <v>-708.35374724377027</v>
      </c>
      <c r="I35" s="96">
        <f>'[14]2018 case'!AD10</f>
        <v>-1712.6047988433716</v>
      </c>
      <c r="J35" s="96">
        <f>'[14]2018 case'!AE10</f>
        <v>-1036.9694880154173</v>
      </c>
      <c r="K35" s="96">
        <f>'[14]2018 case'!AF10</f>
        <v>-70.263698062185341</v>
      </c>
      <c r="L35" s="96">
        <f>'[14]2018 case'!AG10</f>
        <v>-1234.3996073436806</v>
      </c>
      <c r="M35" s="96">
        <f>'[14]2018 case'!AH10</f>
        <v>-798.5500495604382</v>
      </c>
      <c r="N35" s="96">
        <f>'[14]2018 case'!AI10</f>
        <v>-301.43366523988402</v>
      </c>
      <c r="O35" s="96">
        <f>'[14]2018 case'!AJ10</f>
        <v>-257.14120645865165</v>
      </c>
      <c r="P35" s="96">
        <f t="shared" si="3"/>
        <v>-7601.6991613188902</v>
      </c>
      <c r="Q35" s="81"/>
      <c r="R35" s="81"/>
      <c r="S35" s="81"/>
    </row>
    <row r="36" spans="1:25">
      <c r="A36" s="1179">
        <f t="shared" si="0"/>
        <v>25</v>
      </c>
      <c r="B36" s="707">
        <v>8051</v>
      </c>
      <c r="C36" s="81" t="s">
        <v>870</v>
      </c>
      <c r="D36" s="96">
        <f>'[14]2018 case'!Y11</f>
        <v>5479164.7008747552</v>
      </c>
      <c r="E36" s="96">
        <f>'[14]2018 case'!Z11</f>
        <v>3599785.2337756976</v>
      </c>
      <c r="F36" s="96">
        <f>'[14]2018 case'!AA11</f>
        <v>927598.55447845976</v>
      </c>
      <c r="G36" s="96">
        <f>'[14]2018 case'!AB11</f>
        <v>751202.12975436042</v>
      </c>
      <c r="H36" s="96">
        <f>'[14]2018 case'!AC11</f>
        <v>639510.05602427979</v>
      </c>
      <c r="I36" s="96">
        <f>'[14]2018 case'!AD11</f>
        <v>662747.06347282918</v>
      </c>
      <c r="J36" s="96">
        <f>'[14]2018 case'!AE11</f>
        <v>692874.9939017311</v>
      </c>
      <c r="K36" s="96">
        <f>'[14]2018 case'!AF11</f>
        <v>2727290.4658605163</v>
      </c>
      <c r="L36" s="96">
        <f>'[14]2018 case'!AG11</f>
        <v>5076965.6577672474</v>
      </c>
      <c r="M36" s="96">
        <f>'[14]2018 case'!AH11</f>
        <v>9419573.9626285583</v>
      </c>
      <c r="N36" s="96">
        <f>'[14]2018 case'!AI11</f>
        <v>12045677.216553343</v>
      </c>
      <c r="O36" s="96">
        <f>'[14]2018 case'!AJ11</f>
        <v>5495036.9617113387</v>
      </c>
      <c r="P36" s="96">
        <f t="shared" si="3"/>
        <v>47517426.99680312</v>
      </c>
      <c r="Q36" s="81"/>
      <c r="R36" s="81"/>
      <c r="S36" s="81"/>
    </row>
    <row r="37" spans="1:25">
      <c r="A37" s="1179">
        <f t="shared" si="0"/>
        <v>26</v>
      </c>
      <c r="B37" s="707">
        <v>8052</v>
      </c>
      <c r="C37" s="81" t="s">
        <v>871</v>
      </c>
      <c r="D37" s="96">
        <f>'[14]2018 case'!Y12</f>
        <v>2504115.0790251358</v>
      </c>
      <c r="E37" s="96">
        <f>'[14]2018 case'!Z12</f>
        <v>1997380.1153309604</v>
      </c>
      <c r="F37" s="96">
        <f>'[14]2018 case'!AA12</f>
        <v>820665.54214418773</v>
      </c>
      <c r="G37" s="96">
        <f>'[14]2018 case'!AB12</f>
        <v>675565.57455111505</v>
      </c>
      <c r="H37" s="96">
        <f>'[14]2018 case'!AC12</f>
        <v>667067.27890687203</v>
      </c>
      <c r="I37" s="96">
        <f>'[14]2018 case'!AD12</f>
        <v>760553.82843210001</v>
      </c>
      <c r="J37" s="96">
        <f>'[14]2018 case'!AE12</f>
        <v>774004.94065317232</v>
      </c>
      <c r="K37" s="96">
        <f>'[14]2018 case'!AF12</f>
        <v>1431038.0250275584</v>
      </c>
      <c r="L37" s="96">
        <f>'[14]2018 case'!AG12</f>
        <v>2370832.5349362548</v>
      </c>
      <c r="M37" s="96">
        <f>'[14]2018 case'!AH12</f>
        <v>4356114.6386678871</v>
      </c>
      <c r="N37" s="96">
        <f>'[14]2018 case'!AI12</f>
        <v>5641449.6746461364</v>
      </c>
      <c r="O37" s="96">
        <f>'[14]2018 case'!AJ12</f>
        <v>2565523.6379590835</v>
      </c>
      <c r="P37" s="96">
        <f t="shared" si="3"/>
        <v>24564310.870280467</v>
      </c>
      <c r="Q37" s="81"/>
      <c r="R37" s="671"/>
      <c r="S37" s="81"/>
    </row>
    <row r="38" spans="1:25" ht="15.75">
      <c r="A38" s="1179">
        <f t="shared" si="0"/>
        <v>27</v>
      </c>
      <c r="B38" s="707">
        <v>8053</v>
      </c>
      <c r="C38" s="81" t="s">
        <v>872</v>
      </c>
      <c r="D38" s="96">
        <f>'[14]2018 case'!Y13</f>
        <v>452926.51032822736</v>
      </c>
      <c r="E38" s="96">
        <f>'[14]2018 case'!Z13</f>
        <v>468623.60817401164</v>
      </c>
      <c r="F38" s="96">
        <f>'[14]2018 case'!AA13</f>
        <v>176125.23973326126</v>
      </c>
      <c r="G38" s="96">
        <f>'[14]2018 case'!AB13</f>
        <v>157955.35637285246</v>
      </c>
      <c r="H38" s="96">
        <f>'[14]2018 case'!AC13</f>
        <v>151778.03390108765</v>
      </c>
      <c r="I38" s="96">
        <f>'[14]2018 case'!AD13</f>
        <v>131464.42471390989</v>
      </c>
      <c r="J38" s="96">
        <f>'[14]2018 case'!AE13</f>
        <v>180268.80985305211</v>
      </c>
      <c r="K38" s="96">
        <f>'[14]2018 case'!AF13</f>
        <v>222787.90100582832</v>
      </c>
      <c r="L38" s="96">
        <f>'[14]2018 case'!AG13</f>
        <v>310262.07309569005</v>
      </c>
      <c r="M38" s="96">
        <f>'[14]2018 case'!AH13</f>
        <v>645928.38648293167</v>
      </c>
      <c r="N38" s="96">
        <f>'[14]2018 case'!AI13</f>
        <v>1306608.5850706864</v>
      </c>
      <c r="O38" s="96">
        <f>'[14]2018 case'!AJ13</f>
        <v>649412.81680689938</v>
      </c>
      <c r="P38" s="96">
        <f t="shared" si="3"/>
        <v>4854141.7455384377</v>
      </c>
      <c r="Q38" s="81"/>
      <c r="R38" s="896"/>
      <c r="S38" s="81"/>
    </row>
    <row r="39" spans="1:25">
      <c r="A39" s="1179">
        <f t="shared" si="0"/>
        <v>28</v>
      </c>
      <c r="B39" s="707">
        <v>8054</v>
      </c>
      <c r="C39" s="81" t="s">
        <v>873</v>
      </c>
      <c r="D39" s="96">
        <f>'[14]2018 case'!Y14</f>
        <v>486524.52888002997</v>
      </c>
      <c r="E39" s="96">
        <f>'[14]2018 case'!Z14</f>
        <v>416844.83979424043</v>
      </c>
      <c r="F39" s="96">
        <f>'[14]2018 case'!AA14</f>
        <v>160924.20691505069</v>
      </c>
      <c r="G39" s="96">
        <f>'[14]2018 case'!AB14</f>
        <v>106501.92322064079</v>
      </c>
      <c r="H39" s="96">
        <f>'[14]2018 case'!AC14</f>
        <v>104667.51142431969</v>
      </c>
      <c r="I39" s="96">
        <f>'[14]2018 case'!AD14</f>
        <v>91426.22122178461</v>
      </c>
      <c r="J39" s="96">
        <f>'[14]2018 case'!AE14</f>
        <v>122222.24600110199</v>
      </c>
      <c r="K39" s="96">
        <f>'[14]2018 case'!AF14</f>
        <v>267896.06263740378</v>
      </c>
      <c r="L39" s="96">
        <f>'[14]2018 case'!AG14</f>
        <v>448227.49684380466</v>
      </c>
      <c r="M39" s="96">
        <f>'[14]2018 case'!AH14</f>
        <v>786578.38213279576</v>
      </c>
      <c r="N39" s="96">
        <f>'[14]2018 case'!AI14</f>
        <v>1107854.0403507324</v>
      </c>
      <c r="O39" s="96">
        <f>'[14]2018 case'!AJ14</f>
        <v>485814.36560709961</v>
      </c>
      <c r="P39" s="96">
        <f t="shared" si="3"/>
        <v>4585481.8250290044</v>
      </c>
      <c r="Q39" s="81"/>
      <c r="R39" s="691"/>
      <c r="S39" s="81"/>
    </row>
    <row r="40" spans="1:25">
      <c r="A40" s="1179">
        <f t="shared" si="0"/>
        <v>29</v>
      </c>
      <c r="B40" s="707">
        <v>8058</v>
      </c>
      <c r="C40" s="81" t="s">
        <v>874</v>
      </c>
      <c r="D40" s="96">
        <f>'[14]2018 case'!Y15</f>
        <v>-1786375.0331037717</v>
      </c>
      <c r="E40" s="96">
        <f>'[14]2018 case'!Z15</f>
        <v>-2960757.3048389964</v>
      </c>
      <c r="F40" s="96">
        <f>'[14]2018 case'!AA15</f>
        <v>-151496.61589355147</v>
      </c>
      <c r="G40" s="96">
        <f>'[14]2018 case'!AB15</f>
        <v>-69224.739213529698</v>
      </c>
      <c r="H40" s="96">
        <f>'[14]2018 case'!AC15</f>
        <v>86075.555697978052</v>
      </c>
      <c r="I40" s="96">
        <f>'[14]2018 case'!AD15</f>
        <v>-4087.2859276673025</v>
      </c>
      <c r="J40" s="96">
        <f>'[14]2018 case'!AE15</f>
        <v>1169933.6710906345</v>
      </c>
      <c r="K40" s="96">
        <f>'[14]2018 case'!AF15</f>
        <v>1933647.6745339877</v>
      </c>
      <c r="L40" s="96">
        <f>'[14]2018 case'!AG15</f>
        <v>3006709.1760343346</v>
      </c>
      <c r="M40" s="96">
        <f>'[14]2018 case'!AH15</f>
        <v>-96325.545794015619</v>
      </c>
      <c r="N40" s="96">
        <f>'[14]2018 case'!AI15</f>
        <v>-5403032.3904989883</v>
      </c>
      <c r="O40" s="96">
        <f>'[14]2018 case'!AJ15</f>
        <v>1150254.5191644239</v>
      </c>
      <c r="P40" s="96">
        <f t="shared" si="3"/>
        <v>-3124678.318749161</v>
      </c>
      <c r="Q40" s="81"/>
      <c r="R40" s="81"/>
      <c r="S40" s="81"/>
    </row>
    <row r="41" spans="1:25">
      <c r="A41" s="1179">
        <f t="shared" si="0"/>
        <v>30</v>
      </c>
      <c r="B41" s="707">
        <v>8059</v>
      </c>
      <c r="C41" s="81" t="s">
        <v>875</v>
      </c>
      <c r="D41" s="96">
        <f>'[14]2018 case'!Y16</f>
        <v>-7613424.9356455095</v>
      </c>
      <c r="E41" s="96">
        <f>'[14]2018 case'!Z16</f>
        <v>-8532907.5832408406</v>
      </c>
      <c r="F41" s="96">
        <f>'[14]2018 case'!AA16</f>
        <v>-3481430.1741535147</v>
      </c>
      <c r="G41" s="96">
        <f>'[14]2018 case'!AB16</f>
        <v>-2620777.1094363146</v>
      </c>
      <c r="H41" s="96">
        <f>'[14]2018 case'!AC16</f>
        <v>-2114863.1431293404</v>
      </c>
      <c r="I41" s="96">
        <f>'[14]2018 case'!AD16</f>
        <v>-2028833.6229180992</v>
      </c>
      <c r="J41" s="96">
        <f>'[14]2018 case'!AE16</f>
        <v>-2370174.9264919674</v>
      </c>
      <c r="K41" s="96">
        <f>'[14]2018 case'!AF16</f>
        <v>-3438993.2488311892</v>
      </c>
      <c r="L41" s="96">
        <f>'[14]2018 case'!AG16</f>
        <v>-5516846.8464698642</v>
      </c>
      <c r="M41" s="96">
        <f>'[14]2018 case'!AH16</f>
        <v>-9464121.4530690759</v>
      </c>
      <c r="N41" s="96">
        <f>'[14]2018 case'!AI16</f>
        <v>-16862795.9459095</v>
      </c>
      <c r="O41" s="96">
        <f>'[14]2018 case'!AJ16</f>
        <v>-7781002.1561101377</v>
      </c>
      <c r="P41" s="96">
        <f t="shared" si="3"/>
        <v>-71826171.145405352</v>
      </c>
      <c r="Q41" s="81"/>
      <c r="R41" s="81"/>
      <c r="S41" s="81"/>
    </row>
    <row r="42" spans="1:25">
      <c r="A42" s="1179">
        <f t="shared" si="0"/>
        <v>31</v>
      </c>
      <c r="B42" s="707">
        <v>8060</v>
      </c>
      <c r="C42" s="81" t="s">
        <v>876</v>
      </c>
      <c r="D42" s="96">
        <f>'[14]2018 case'!Y17</f>
        <v>1231297.4311803493</v>
      </c>
      <c r="E42" s="96">
        <f>'[14]2018 case'!Z17</f>
        <v>-1368385.6917066008</v>
      </c>
      <c r="F42" s="96">
        <f>'[14]2018 case'!AA17</f>
        <v>-1501512.8033388688</v>
      </c>
      <c r="G42" s="96">
        <f>'[14]2018 case'!AB17</f>
        <v>-2492091.8090983201</v>
      </c>
      <c r="H42" s="96">
        <f>'[14]2018 case'!AC17</f>
        <v>-1552661.6508126098</v>
      </c>
      <c r="I42" s="96">
        <f>'[14]2018 case'!AD17</f>
        <v>-923458.07700084464</v>
      </c>
      <c r="J42" s="96">
        <f>'[14]2018 case'!AE17</f>
        <v>-1057482.7946123648</v>
      </c>
      <c r="K42" s="96">
        <f>'[14]2018 case'!AF17</f>
        <v>-1198976.4719961267</v>
      </c>
      <c r="L42" s="96">
        <f>'[14]2018 case'!AG17</f>
        <v>417908.22647569003</v>
      </c>
      <c r="M42" s="96">
        <f>'[14]2018 case'!AH17</f>
        <v>1698159.8411006324</v>
      </c>
      <c r="N42" s="96">
        <f>'[14]2018 case'!AI17</f>
        <v>3040343.6163263246</v>
      </c>
      <c r="O42" s="96">
        <f>'[14]2018 case'!AJ17</f>
        <v>1559521.7938194678</v>
      </c>
      <c r="P42" s="96">
        <f t="shared" si="3"/>
        <v>-2147338.3896632735</v>
      </c>
      <c r="Q42" s="81"/>
      <c r="R42" s="81"/>
      <c r="S42" s="81"/>
    </row>
    <row r="43" spans="1:25">
      <c r="A43" s="1179">
        <f t="shared" si="0"/>
        <v>32</v>
      </c>
      <c r="B43" s="707">
        <v>8081</v>
      </c>
      <c r="C43" s="81" t="s">
        <v>877</v>
      </c>
      <c r="D43" s="96">
        <f>'[14]2018 case'!Y18</f>
        <v>3565807.2322655031</v>
      </c>
      <c r="E43" s="96">
        <f>'[14]2018 case'!Z18</f>
        <v>134253.3070739182</v>
      </c>
      <c r="F43" s="96">
        <f>'[14]2018 case'!AA18</f>
        <v>0</v>
      </c>
      <c r="G43" s="96">
        <f>'[14]2018 case'!AB18</f>
        <v>0</v>
      </c>
      <c r="H43" s="96">
        <f>'[14]2018 case'!AC18</f>
        <v>209.44631179911119</v>
      </c>
      <c r="I43" s="96">
        <f>'[14]2018 case'!AD18</f>
        <v>0</v>
      </c>
      <c r="J43" s="96">
        <f>'[14]2018 case'!AE18</f>
        <v>0</v>
      </c>
      <c r="K43" s="96">
        <f>'[14]2018 case'!AF18</f>
        <v>18127.467837870045</v>
      </c>
      <c r="L43" s="96">
        <f>'[14]2018 case'!AG18</f>
        <v>1378297.2905853572</v>
      </c>
      <c r="M43" s="96">
        <f>'[14]2018 case'!AH18</f>
        <v>1623795.1522945259</v>
      </c>
      <c r="N43" s="96">
        <f>'[14]2018 case'!AI18</f>
        <v>3203605.6198149449</v>
      </c>
      <c r="O43" s="96">
        <f>'[14]2018 case'!AJ18</f>
        <v>2511941.7675222508</v>
      </c>
      <c r="P43" s="96">
        <f t="shared" si="3"/>
        <v>12436037.28370617</v>
      </c>
      <c r="Q43" s="833"/>
      <c r="R43" s="81"/>
      <c r="S43" s="81"/>
    </row>
    <row r="44" spans="1:25">
      <c r="A44" s="1179">
        <f t="shared" si="0"/>
        <v>33</v>
      </c>
      <c r="B44" s="707">
        <v>8082</v>
      </c>
      <c r="C44" s="81" t="s">
        <v>878</v>
      </c>
      <c r="D44" s="96">
        <f>'[14]2018 case'!Y19</f>
        <v>-58250.151066670471</v>
      </c>
      <c r="E44" s="96">
        <f>'[14]2018 case'!Z19</f>
        <v>-1853715.2798672935</v>
      </c>
      <c r="F44" s="96">
        <f>'[14]2018 case'!AA19</f>
        <v>-2372685.9709928157</v>
      </c>
      <c r="G44" s="96">
        <f>'[14]2018 case'!AB19</f>
        <v>-1613550.5807731457</v>
      </c>
      <c r="H44" s="96">
        <f>'[14]2018 case'!AC19</f>
        <v>-1202402.0383949135</v>
      </c>
      <c r="I44" s="96">
        <f>'[14]2018 case'!AD19</f>
        <v>-1406159.6141357089</v>
      </c>
      <c r="J44" s="96">
        <f>'[14]2018 case'!AE19</f>
        <v>-1329055.6435543455</v>
      </c>
      <c r="K44" s="96">
        <f>'[14]2018 case'!AF19</f>
        <v>-1723603.4172366175</v>
      </c>
      <c r="L44" s="96">
        <f>'[14]2018 case'!AG19</f>
        <v>-305775.82677894877</v>
      </c>
      <c r="M44" s="96">
        <f>'[14]2018 case'!AH19</f>
        <v>-590083.28785560082</v>
      </c>
      <c r="N44" s="96">
        <f>'[14]2018 case'!AI19</f>
        <v>-93553.946638216512</v>
      </c>
      <c r="O44" s="96">
        <f>'[14]2018 case'!AJ19</f>
        <v>-77898.56494751203</v>
      </c>
      <c r="P44" s="96">
        <f t="shared" si="3"/>
        <v>-12626734.322241789</v>
      </c>
      <c r="R44" s="81"/>
      <c r="S44" s="81"/>
    </row>
    <row r="45" spans="1:25" ht="15.75">
      <c r="A45" s="1179">
        <f t="shared" si="0"/>
        <v>34</v>
      </c>
      <c r="B45" s="707">
        <v>8120</v>
      </c>
      <c r="C45" s="81" t="s">
        <v>879</v>
      </c>
      <c r="D45" s="96">
        <f>'[14]2018 case'!Y20</f>
        <v>-3252.498169802845</v>
      </c>
      <c r="E45" s="96">
        <f>'[14]2018 case'!Z20</f>
        <v>-1498.9296713934184</v>
      </c>
      <c r="F45" s="96">
        <f>'[14]2018 case'!AA20</f>
        <v>7995.668310147611</v>
      </c>
      <c r="G45" s="96">
        <f>'[14]2018 case'!AB20</f>
        <v>677.9976141513755</v>
      </c>
      <c r="H45" s="96">
        <f>'[14]2018 case'!AC20</f>
        <v>177.94401814999156</v>
      </c>
      <c r="I45" s="96">
        <f>'[14]2018 case'!AD20</f>
        <v>1093.3988552084024</v>
      </c>
      <c r="J45" s="96">
        <f>'[14]2018 case'!AE20</f>
        <v>-8976.9325519343365</v>
      </c>
      <c r="K45" s="96">
        <f>'[14]2018 case'!AF20</f>
        <v>7397.4996078590602</v>
      </c>
      <c r="L45" s="96">
        <f>'[14]2018 case'!AG20</f>
        <v>-2857.7260972015174</v>
      </c>
      <c r="M45" s="96">
        <f>'[14]2018 case'!AH20</f>
        <v>-2871.0639889581848</v>
      </c>
      <c r="N45" s="96">
        <f>'[14]2018 case'!AI20</f>
        <v>-5483.0899112261595</v>
      </c>
      <c r="O45" s="96">
        <f>'[14]2018 case'!AJ20</f>
        <v>-6731.2336609825015</v>
      </c>
      <c r="P45" s="96">
        <f t="shared" si="3"/>
        <v>-14328.965645982522</v>
      </c>
      <c r="Q45" s="81"/>
      <c r="R45" s="871"/>
    </row>
    <row r="46" spans="1:25">
      <c r="A46" s="1179">
        <f t="shared" si="0"/>
        <v>35</v>
      </c>
      <c r="B46" s="707">
        <v>8580</v>
      </c>
      <c r="C46" s="81" t="s">
        <v>1209</v>
      </c>
      <c r="D46" s="96">
        <f>'[14]2018 case'!Y21</f>
        <v>2081738.8436982622</v>
      </c>
      <c r="E46" s="96">
        <f>'[14]2018 case'!Z21</f>
        <v>2996348.7228983887</v>
      </c>
      <c r="F46" s="96">
        <f>'[14]2018 case'!AA21</f>
        <v>1895276.5266003753</v>
      </c>
      <c r="G46" s="96">
        <f>'[14]2018 case'!AB21</f>
        <v>1562644.3450923078</v>
      </c>
      <c r="H46" s="96">
        <f>'[14]2018 case'!AC21</f>
        <v>1385389.4317950029</v>
      </c>
      <c r="I46" s="96">
        <f>'[14]2018 case'!AD21</f>
        <v>1216802.7348377891</v>
      </c>
      <c r="J46" s="96">
        <f>'[14]2018 case'!AE21</f>
        <v>1277980.6785375604</v>
      </c>
      <c r="K46" s="96">
        <f>'[14]2018 case'!AF21</f>
        <v>1635299.8253546865</v>
      </c>
      <c r="L46" s="96">
        <f>'[14]2018 case'!AG21</f>
        <v>1852792.1139388857</v>
      </c>
      <c r="M46" s="96">
        <f>'[14]2018 case'!AH21</f>
        <v>1959859.4632717941</v>
      </c>
      <c r="N46" s="96">
        <f>'[14]2018 case'!AI21</f>
        <v>2926142.2443009159</v>
      </c>
      <c r="O46" s="96">
        <f>'[14]2018 case'!AJ21</f>
        <v>1918975.4062093284</v>
      </c>
      <c r="P46" s="96">
        <f t="shared" si="3"/>
        <v>22709250.336535297</v>
      </c>
      <c r="Q46" s="671"/>
      <c r="R46" s="671"/>
      <c r="S46" s="671"/>
      <c r="T46" s="671"/>
    </row>
    <row r="47" spans="1:25">
      <c r="A47" s="1179">
        <f t="shared" si="0"/>
        <v>36</v>
      </c>
      <c r="B47" s="707">
        <v>8140</v>
      </c>
      <c r="C47" s="81" t="s">
        <v>880</v>
      </c>
      <c r="D47" s="398">
        <f>VLOOKUP($B47,'[13]Div 9 forecast'!$D$590:$AF$671,18,FALSE)</f>
        <v>0</v>
      </c>
      <c r="E47" s="398">
        <f>VLOOKUP($B47,'[13]Div 9 forecast'!$D$590:$AF$671,19,FALSE)</f>
        <v>0</v>
      </c>
      <c r="F47" s="398">
        <f>VLOOKUP($B47,'[13]Div 9 forecast'!$D$590:$AF$671,20,FALSE)</f>
        <v>0</v>
      </c>
      <c r="G47" s="398">
        <f>VLOOKUP($B47,'[13]Div 9 forecast'!$D$590:$AF$671,21,FALSE)</f>
        <v>0</v>
      </c>
      <c r="H47" s="398">
        <f>VLOOKUP($B47,'[13]Div 9 forecast'!$D$590:$AF$671,22,FALSE)</f>
        <v>0</v>
      </c>
      <c r="I47" s="398">
        <f>VLOOKUP($B47,'[13]Div 9 forecast'!$D$590:$AF$671,23,FALSE)</f>
        <v>0</v>
      </c>
      <c r="J47" s="398">
        <f>VLOOKUP($B47,'[13]Div 9 forecast'!$D$590:$AF$671,24,FALSE)</f>
        <v>0</v>
      </c>
      <c r="K47" s="398">
        <f>VLOOKUP($B47,'[13]Div 9 forecast'!$D$590:$AF$671,25,FALSE)</f>
        <v>0</v>
      </c>
      <c r="L47" s="398">
        <f>VLOOKUP($B47,'[13]Div 9 forecast'!$D$590:$AF$671,26,FALSE)</f>
        <v>0</v>
      </c>
      <c r="M47" s="398">
        <f>VLOOKUP($B47,'[13]Div 9 forecast'!$D$590:$AF$671,27,FALSE)</f>
        <v>0</v>
      </c>
      <c r="N47" s="398">
        <f>VLOOKUP($B47,'[13]Div 9 forecast'!$D$590:$AF$671,28,FALSE)</f>
        <v>0</v>
      </c>
      <c r="O47" s="398">
        <f>VLOOKUP($B47,'[13]Div 9 forecast'!$D$590:$AF$671,29,FALSE)</f>
        <v>0</v>
      </c>
      <c r="P47" s="81">
        <f t="shared" si="3"/>
        <v>0</v>
      </c>
      <c r="Q47" s="671"/>
      <c r="R47" s="671"/>
      <c r="S47" s="81"/>
      <c r="Y47" s="897"/>
    </row>
    <row r="48" spans="1:25">
      <c r="A48" s="1179">
        <f t="shared" si="0"/>
        <v>37</v>
      </c>
      <c r="B48" s="707">
        <v>8160</v>
      </c>
      <c r="C48" s="81" t="s">
        <v>881</v>
      </c>
      <c r="D48" s="398">
        <f>VLOOKUP($B48,'[13]Div 9 forecast'!$D$590:$AF$671,18,FALSE)</f>
        <v>31297.547294120872</v>
      </c>
      <c r="E48" s="398">
        <f>VLOOKUP($B48,'[13]Div 9 forecast'!$D$590:$AF$671,19,FALSE)</f>
        <v>24252.737651501931</v>
      </c>
      <c r="F48" s="398">
        <f>VLOOKUP($B48,'[13]Div 9 forecast'!$D$590:$AF$671,20,FALSE)</f>
        <v>30922.964905097553</v>
      </c>
      <c r="G48" s="398">
        <f>VLOOKUP($B48,'[13]Div 9 forecast'!$D$590:$AF$671,21,FALSE)</f>
        <v>28122.398457562198</v>
      </c>
      <c r="H48" s="398">
        <f>VLOOKUP($B48,'[13]Div 9 forecast'!$D$590:$AF$671,22,FALSE)</f>
        <v>31187.404883221829</v>
      </c>
      <c r="I48" s="398">
        <f>VLOOKUP($B48,'[13]Div 9 forecast'!$D$590:$AF$671,23,FALSE)</f>
        <v>25334.956942296856</v>
      </c>
      <c r="J48" s="398">
        <f>VLOOKUP($B48,'[13]Div 9 forecast'!$D$590:$AF$671,24,FALSE)</f>
        <v>20820.802731083695</v>
      </c>
      <c r="K48" s="398">
        <f>VLOOKUP($B48,'[13]Div 9 forecast'!$D$590:$AF$671,25,FALSE)</f>
        <v>20501.256791369837</v>
      </c>
      <c r="L48" s="398">
        <f>VLOOKUP($B48,'[13]Div 9 forecast'!$D$590:$AF$671,26,FALSE)</f>
        <v>16407.779944146234</v>
      </c>
      <c r="M48" s="398">
        <f>VLOOKUP($B48,'[13]Div 9 forecast'!$D$590:$AF$671,27,FALSE)</f>
        <v>19192.102221425623</v>
      </c>
      <c r="N48" s="398">
        <f>VLOOKUP($B48,'[13]Div 9 forecast'!$D$590:$AF$671,28,FALSE)</f>
        <v>16766.92071177359</v>
      </c>
      <c r="O48" s="398">
        <f>VLOOKUP($B48,'[13]Div 9 forecast'!$D$590:$AF$671,29,FALSE)</f>
        <v>27110.379093562908</v>
      </c>
      <c r="P48" s="81">
        <f t="shared" si="3"/>
        <v>291917.25162716309</v>
      </c>
      <c r="Q48" s="81"/>
      <c r="R48" s="81"/>
      <c r="S48" s="81"/>
      <c r="Y48" s="897"/>
    </row>
    <row r="49" spans="1:25">
      <c r="A49" s="1179">
        <f t="shared" si="0"/>
        <v>38</v>
      </c>
      <c r="B49" s="707">
        <v>8170</v>
      </c>
      <c r="C49" s="81" t="s">
        <v>887</v>
      </c>
      <c r="D49" s="398">
        <f>VLOOKUP($B49,'[13]Div 9 forecast'!$D$590:$AF$671,18,FALSE)</f>
        <v>1775.2521701084211</v>
      </c>
      <c r="E49" s="398">
        <f>VLOOKUP($B49,'[13]Div 9 forecast'!$D$590:$AF$671,19,FALSE)</f>
        <v>1785.1952874942942</v>
      </c>
      <c r="F49" s="398">
        <f>VLOOKUP($B49,'[13]Div 9 forecast'!$D$590:$AF$671,20,FALSE)</f>
        <v>1617.3640578396405</v>
      </c>
      <c r="G49" s="398">
        <f>VLOOKUP($B49,'[13]Div 9 forecast'!$D$590:$AF$671,21,FALSE)</f>
        <v>1787.3804533793009</v>
      </c>
      <c r="H49" s="398">
        <f>VLOOKUP($B49,'[13]Div 9 forecast'!$D$590:$AF$671,22,FALSE)</f>
        <v>1729.7950320060654</v>
      </c>
      <c r="I49" s="398">
        <f>VLOOKUP($B49,'[13]Div 9 forecast'!$D$590:$AF$671,23,FALSE)</f>
        <v>1637.7666815612899</v>
      </c>
      <c r="J49" s="398">
        <f>VLOOKUP($B49,'[13]Div 9 forecast'!$D$590:$AF$671,24,FALSE)</f>
        <v>1865.0915604048048</v>
      </c>
      <c r="K49" s="398">
        <f>VLOOKUP($B49,'[13]Div 9 forecast'!$D$590:$AF$671,25,FALSE)</f>
        <v>1850.8398795785372</v>
      </c>
      <c r="L49" s="398">
        <f>VLOOKUP($B49,'[13]Div 9 forecast'!$D$590:$AF$671,26,FALSE)</f>
        <v>1763.6443293129723</v>
      </c>
      <c r="M49" s="398">
        <f>VLOOKUP($B49,'[13]Div 9 forecast'!$D$590:$AF$671,27,FALSE)</f>
        <v>1970.4695692894707</v>
      </c>
      <c r="N49" s="398">
        <f>VLOOKUP($B49,'[13]Div 9 forecast'!$D$590:$AF$671,28,FALSE)</f>
        <v>1715.1431926212838</v>
      </c>
      <c r="O49" s="398">
        <f>VLOOKUP($B49,'[13]Div 9 forecast'!$D$590:$AF$671,29,FALSE)</f>
        <v>1753.4610776985166</v>
      </c>
      <c r="P49" s="81">
        <f t="shared" si="3"/>
        <v>21251.403291294595</v>
      </c>
      <c r="Q49" s="81"/>
      <c r="R49" s="81"/>
      <c r="S49" s="81"/>
      <c r="Y49" s="897"/>
    </row>
    <row r="50" spans="1:25">
      <c r="A50" s="1179">
        <f t="shared" si="0"/>
        <v>39</v>
      </c>
      <c r="B50" s="707">
        <v>8180</v>
      </c>
      <c r="C50" s="81" t="s">
        <v>888</v>
      </c>
      <c r="D50" s="398">
        <f>VLOOKUP($B50,'[13]Div 9 forecast'!$D$590:$AF$671,18,FALSE)</f>
        <v>2305.1657477309709</v>
      </c>
      <c r="E50" s="398">
        <f>VLOOKUP($B50,'[13]Div 9 forecast'!$D$590:$AF$671,19,FALSE)</f>
        <v>2038.1371877678653</v>
      </c>
      <c r="F50" s="398">
        <f>VLOOKUP($B50,'[13]Div 9 forecast'!$D$590:$AF$671,20,FALSE)</f>
        <v>1907.4263092835197</v>
      </c>
      <c r="G50" s="398">
        <f>VLOOKUP($B50,'[13]Div 9 forecast'!$D$590:$AF$671,21,FALSE)</f>
        <v>2266.2926104410435</v>
      </c>
      <c r="H50" s="398">
        <f>VLOOKUP($B50,'[13]Div 9 forecast'!$D$590:$AF$671,22,FALSE)</f>
        <v>2137.4053906102877</v>
      </c>
      <c r="I50" s="398">
        <f>VLOOKUP($B50,'[13]Div 9 forecast'!$D$590:$AF$671,23,FALSE)</f>
        <v>1851.0299761221429</v>
      </c>
      <c r="J50" s="398">
        <f>VLOOKUP($B50,'[13]Div 9 forecast'!$D$590:$AF$671,24,FALSE)</f>
        <v>2105.270591050054</v>
      </c>
      <c r="K50" s="398">
        <f>VLOOKUP($B50,'[13]Div 9 forecast'!$D$590:$AF$671,25,FALSE)</f>
        <v>2111.0886620276701</v>
      </c>
      <c r="L50" s="398">
        <f>VLOOKUP($B50,'[13]Div 9 forecast'!$D$590:$AF$671,26,FALSE)</f>
        <v>1863.0266306643243</v>
      </c>
      <c r="M50" s="398">
        <f>VLOOKUP($B50,'[13]Div 9 forecast'!$D$590:$AF$671,27,FALSE)</f>
        <v>2304.913967873918</v>
      </c>
      <c r="N50" s="398">
        <f>VLOOKUP($B50,'[13]Div 9 forecast'!$D$590:$AF$671,28,FALSE)</f>
        <v>2027.0202692638443</v>
      </c>
      <c r="O50" s="398">
        <f>VLOOKUP($B50,'[13]Div 9 forecast'!$D$590:$AF$671,29,FALSE)</f>
        <v>2143.6003916971636</v>
      </c>
      <c r="P50" s="81">
        <f t="shared" si="3"/>
        <v>25060.377734532805</v>
      </c>
      <c r="Q50" s="81"/>
      <c r="R50" s="81"/>
      <c r="S50" s="81"/>
      <c r="Y50" s="897"/>
    </row>
    <row r="51" spans="1:25">
      <c r="A51" s="1179">
        <f t="shared" si="0"/>
        <v>40</v>
      </c>
      <c r="B51" s="707">
        <v>8190</v>
      </c>
      <c r="C51" s="81" t="s">
        <v>889</v>
      </c>
      <c r="D51" s="398">
        <f>VLOOKUP($B51,'[13]Div 9 forecast'!$D$590:$AF$671,18,FALSE)</f>
        <v>62.684227392890179</v>
      </c>
      <c r="E51" s="398">
        <f>VLOOKUP($B51,'[13]Div 9 forecast'!$D$590:$AF$671,19,FALSE)</f>
        <v>60.880337070946368</v>
      </c>
      <c r="F51" s="398">
        <f>VLOOKUP($B51,'[13]Div 9 forecast'!$D$590:$AF$671,20,FALSE)</f>
        <v>59.868609273761024</v>
      </c>
      <c r="G51" s="398">
        <f>VLOOKUP($B51,'[13]Div 9 forecast'!$D$590:$AF$671,21,FALSE)</f>
        <v>54.071096923420527</v>
      </c>
      <c r="H51" s="398">
        <f>VLOOKUP($B51,'[13]Div 9 forecast'!$D$590:$AF$671,22,FALSE)</f>
        <v>60.274930414010413</v>
      </c>
      <c r="I51" s="398">
        <f>VLOOKUP($B51,'[13]Div 9 forecast'!$D$590:$AF$671,23,FALSE)</f>
        <v>56.704626329946926</v>
      </c>
      <c r="J51" s="398">
        <f>VLOOKUP($B51,'[13]Div 9 forecast'!$D$590:$AF$671,24,FALSE)</f>
        <v>57.920176458071708</v>
      </c>
      <c r="K51" s="398">
        <f>VLOOKUP($B51,'[13]Div 9 forecast'!$D$590:$AF$671,25,FALSE)</f>
        <v>63.95139486456457</v>
      </c>
      <c r="L51" s="398">
        <f>VLOOKUP($B51,'[13]Div 9 forecast'!$D$590:$AF$671,26,FALSE)</f>
        <v>63.998205734828169</v>
      </c>
      <c r="M51" s="398">
        <f>VLOOKUP($B51,'[13]Div 9 forecast'!$D$590:$AF$671,27,FALSE)</f>
        <v>69.428406003472276</v>
      </c>
      <c r="N51" s="398">
        <f>VLOOKUP($B51,'[13]Div 9 forecast'!$D$590:$AF$671,28,FALSE)</f>
        <v>60.911404999722514</v>
      </c>
      <c r="O51" s="398">
        <f>VLOOKUP($B51,'[13]Div 9 forecast'!$D$590:$AF$671,29,FALSE)</f>
        <v>64.622072035543667</v>
      </c>
      <c r="P51" s="81">
        <f t="shared" si="3"/>
        <v>735.31548750117838</v>
      </c>
      <c r="Q51" s="81"/>
      <c r="R51" s="81"/>
      <c r="S51" s="81"/>
      <c r="Y51" s="897"/>
    </row>
    <row r="52" spans="1:25">
      <c r="A52" s="1179">
        <f t="shared" si="0"/>
        <v>41</v>
      </c>
      <c r="B52" s="707">
        <v>8200</v>
      </c>
      <c r="C52" s="81" t="s">
        <v>890</v>
      </c>
      <c r="D52" s="398">
        <f>VLOOKUP($B52,'[13]Div 9 forecast'!$D$590:$AF$671,18,FALSE)</f>
        <v>589.20787852063961</v>
      </c>
      <c r="E52" s="398">
        <f>VLOOKUP($B52,'[13]Div 9 forecast'!$D$590:$AF$671,19,FALSE)</f>
        <v>509.00016667418674</v>
      </c>
      <c r="F52" s="398">
        <f>VLOOKUP($B52,'[13]Div 9 forecast'!$D$590:$AF$671,20,FALSE)</f>
        <v>554.58413469028392</v>
      </c>
      <c r="G52" s="398">
        <f>VLOOKUP($B52,'[13]Div 9 forecast'!$D$590:$AF$671,21,FALSE)</f>
        <v>551.14823133689197</v>
      </c>
      <c r="H52" s="398">
        <f>VLOOKUP($B52,'[13]Div 9 forecast'!$D$590:$AF$671,22,FALSE)</f>
        <v>575.16247045229989</v>
      </c>
      <c r="I52" s="398">
        <f>VLOOKUP($B52,'[13]Div 9 forecast'!$D$590:$AF$671,23,FALSE)</f>
        <v>495.53817158695074</v>
      </c>
      <c r="J52" s="398">
        <f>VLOOKUP($B52,'[13]Div 9 forecast'!$D$590:$AF$671,24,FALSE)</f>
        <v>485.23339252117705</v>
      </c>
      <c r="K52" s="398">
        <f>VLOOKUP($B52,'[13]Div 9 forecast'!$D$590:$AF$671,25,FALSE)</f>
        <v>490.45564445783862</v>
      </c>
      <c r="L52" s="398">
        <f>VLOOKUP($B52,'[13]Div 9 forecast'!$D$590:$AF$671,26,FALSE)</f>
        <v>435.73493388469899</v>
      </c>
      <c r="M52" s="398">
        <f>VLOOKUP($B52,'[13]Div 9 forecast'!$D$590:$AF$671,27,FALSE)</f>
        <v>501.36092726794493</v>
      </c>
      <c r="N52" s="398">
        <f>VLOOKUP($B52,'[13]Div 9 forecast'!$D$590:$AF$671,28,FALSE)</f>
        <v>446.17930974446699</v>
      </c>
      <c r="O52" s="398">
        <f>VLOOKUP($B52,'[13]Div 9 forecast'!$D$590:$AF$671,29,FALSE)</f>
        <v>547.26424014886595</v>
      </c>
      <c r="P52" s="81">
        <f t="shared" si="3"/>
        <v>6180.8695012862445</v>
      </c>
      <c r="Q52" s="81"/>
      <c r="R52" s="81"/>
      <c r="S52" s="81"/>
      <c r="Y52" s="897"/>
    </row>
    <row r="53" spans="1:25">
      <c r="A53" s="1179">
        <f t="shared" si="0"/>
        <v>42</v>
      </c>
      <c r="B53" s="707">
        <v>8210</v>
      </c>
      <c r="C53" s="81" t="s">
        <v>891</v>
      </c>
      <c r="D53" s="398">
        <f>VLOOKUP($B53,'[13]Div 9 forecast'!$D$590:$AF$671,18,FALSE)</f>
        <v>4312.6945463064803</v>
      </c>
      <c r="E53" s="398">
        <f>VLOOKUP($B53,'[13]Div 9 forecast'!$D$590:$AF$671,19,FALSE)</f>
        <v>4143.5531053900004</v>
      </c>
      <c r="F53" s="398">
        <f>VLOOKUP($B53,'[13]Div 9 forecast'!$D$590:$AF$671,20,FALSE)</f>
        <v>3798.444532852277</v>
      </c>
      <c r="G53" s="398">
        <f>VLOOKUP($B53,'[13]Div 9 forecast'!$D$590:$AF$671,21,FALSE)</f>
        <v>4311.5186491823624</v>
      </c>
      <c r="H53" s="398">
        <f>VLOOKUP($B53,'[13]Div 9 forecast'!$D$590:$AF$671,22,FALSE)</f>
        <v>4130.2255067270862</v>
      </c>
      <c r="I53" s="398">
        <f>VLOOKUP($B53,'[13]Div 9 forecast'!$D$590:$AF$671,23,FALSE)</f>
        <v>3791.0505359564859</v>
      </c>
      <c r="J53" s="398">
        <f>VLOOKUP($B53,'[13]Div 9 forecast'!$D$590:$AF$671,24,FALSE)</f>
        <v>4313.4757643561616</v>
      </c>
      <c r="K53" s="398">
        <f>VLOOKUP($B53,'[13]Div 9 forecast'!$D$590:$AF$671,25,FALSE)</f>
        <v>4288.898722618118</v>
      </c>
      <c r="L53" s="398">
        <f>VLOOKUP($B53,'[13]Div 9 forecast'!$D$590:$AF$671,26,FALSE)</f>
        <v>3981.3149704954017</v>
      </c>
      <c r="M53" s="398">
        <f>VLOOKUP($B53,'[13]Div 9 forecast'!$D$590:$AF$671,27,FALSE)</f>
        <v>4600.9524431162399</v>
      </c>
      <c r="N53" s="398">
        <f>VLOOKUP($B53,'[13]Div 9 forecast'!$D$590:$AF$671,28,FALSE)</f>
        <v>4019.5129902235399</v>
      </c>
      <c r="O53" s="398">
        <f>VLOOKUP($B53,'[13]Div 9 forecast'!$D$590:$AF$671,29,FALSE)</f>
        <v>4163.9876363506091</v>
      </c>
      <c r="P53" s="81">
        <f t="shared" si="3"/>
        <v>49855.629403574771</v>
      </c>
      <c r="Q53" s="81"/>
      <c r="R53" s="81"/>
      <c r="S53" s="81"/>
      <c r="Y53" s="897"/>
    </row>
    <row r="54" spans="1:25">
      <c r="A54" s="1179">
        <f t="shared" si="0"/>
        <v>43</v>
      </c>
      <c r="B54" s="707">
        <v>8240</v>
      </c>
      <c r="C54" s="81" t="s">
        <v>892</v>
      </c>
      <c r="D54" s="398">
        <f>VLOOKUP($B54,'[13]Div 9 forecast'!$D$590:$AF$671,18,FALSE)</f>
        <v>0</v>
      </c>
      <c r="E54" s="398">
        <f>VLOOKUP($B54,'[13]Div 9 forecast'!$D$590:$AF$671,19,FALSE)</f>
        <v>0</v>
      </c>
      <c r="F54" s="398">
        <f>VLOOKUP($B54,'[13]Div 9 forecast'!$D$590:$AF$671,20,FALSE)</f>
        <v>0</v>
      </c>
      <c r="G54" s="398">
        <f>VLOOKUP($B54,'[13]Div 9 forecast'!$D$590:$AF$671,21,FALSE)</f>
        <v>0</v>
      </c>
      <c r="H54" s="398">
        <f>VLOOKUP($B54,'[13]Div 9 forecast'!$D$590:$AF$671,22,FALSE)</f>
        <v>0</v>
      </c>
      <c r="I54" s="398">
        <f>VLOOKUP($B54,'[13]Div 9 forecast'!$D$590:$AF$671,23,FALSE)</f>
        <v>0</v>
      </c>
      <c r="J54" s="398">
        <f>VLOOKUP($B54,'[13]Div 9 forecast'!$D$590:$AF$671,24,FALSE)</f>
        <v>0</v>
      </c>
      <c r="K54" s="398">
        <f>VLOOKUP($B54,'[13]Div 9 forecast'!$D$590:$AF$671,25,FALSE)</f>
        <v>0</v>
      </c>
      <c r="L54" s="398">
        <f>VLOOKUP($B54,'[13]Div 9 forecast'!$D$590:$AF$671,26,FALSE)</f>
        <v>0</v>
      </c>
      <c r="M54" s="398">
        <f>VLOOKUP($B54,'[13]Div 9 forecast'!$D$590:$AF$671,27,FALSE)</f>
        <v>0</v>
      </c>
      <c r="N54" s="398">
        <f>VLOOKUP($B54,'[13]Div 9 forecast'!$D$590:$AF$671,28,FALSE)</f>
        <v>0</v>
      </c>
      <c r="O54" s="398">
        <f>VLOOKUP($B54,'[13]Div 9 forecast'!$D$590:$AF$671,29,FALSE)</f>
        <v>0</v>
      </c>
      <c r="P54" s="81">
        <f t="shared" si="3"/>
        <v>0</v>
      </c>
      <c r="Q54" s="81"/>
      <c r="R54" s="81"/>
      <c r="S54" s="81"/>
      <c r="Y54" s="897"/>
    </row>
    <row r="55" spans="1:25">
      <c r="A55" s="1179">
        <f t="shared" si="0"/>
        <v>44</v>
      </c>
      <c r="B55" s="707">
        <v>8250</v>
      </c>
      <c r="C55" s="81" t="s">
        <v>903</v>
      </c>
      <c r="D55" s="398">
        <f>VLOOKUP($B55,'[13]Div 9 forecast'!$D$590:$AF$671,18,FALSE)</f>
        <v>747.01999776886976</v>
      </c>
      <c r="E55" s="398">
        <f>VLOOKUP($B55,'[13]Div 9 forecast'!$D$590:$AF$671,19,FALSE)</f>
        <v>725.4983793409383</v>
      </c>
      <c r="F55" s="398">
        <f>VLOOKUP($B55,'[13]Div 9 forecast'!$D$590:$AF$671,20,FALSE)</f>
        <v>713.51522838947562</v>
      </c>
      <c r="G55" s="398">
        <f>VLOOKUP($B55,'[13]Div 9 forecast'!$D$590:$AF$671,21,FALSE)</f>
        <v>644.58681007864152</v>
      </c>
      <c r="H55" s="398">
        <f>VLOOKUP($B55,'[13]Div 9 forecast'!$D$590:$AF$671,22,FALSE)</f>
        <v>718.30051226006958</v>
      </c>
      <c r="I55" s="398">
        <f>VLOOKUP($B55,'[13]Div 9 forecast'!$D$590:$AF$671,23,FALSE)</f>
        <v>675.85355437648593</v>
      </c>
      <c r="J55" s="398">
        <f>VLOOKUP($B55,'[13]Div 9 forecast'!$D$590:$AF$671,24,FALSE)</f>
        <v>690.30411382471289</v>
      </c>
      <c r="K55" s="398">
        <f>VLOOKUP($B55,'[13]Div 9 forecast'!$D$590:$AF$671,25,FALSE)</f>
        <v>762.04843985293314</v>
      </c>
      <c r="L55" s="398">
        <f>VLOOKUP($B55,'[13]Div 9 forecast'!$D$590:$AF$671,26,FALSE)</f>
        <v>762.56768467664222</v>
      </c>
      <c r="M55" s="398">
        <f>VLOOKUP($B55,'[13]Div 9 forecast'!$D$590:$AF$671,27,FALSE)</f>
        <v>827.15803028585174</v>
      </c>
      <c r="N55" s="398">
        <f>VLOOKUP($B55,'[13]Div 9 forecast'!$D$590:$AF$671,28,FALSE)</f>
        <v>726.36514353277437</v>
      </c>
      <c r="O55" s="398">
        <f>VLOOKUP($B55,'[13]Div 9 forecast'!$D$590:$AF$671,29,FALSE)</f>
        <v>769.98502417454347</v>
      </c>
      <c r="P55" s="81">
        <f t="shared" si="3"/>
        <v>8763.2029185619394</v>
      </c>
      <c r="Q55" s="81"/>
      <c r="R55" s="81"/>
      <c r="Y55" s="897"/>
    </row>
    <row r="56" spans="1:25">
      <c r="A56" s="1179">
        <f t="shared" si="0"/>
        <v>45</v>
      </c>
      <c r="B56" s="707">
        <v>8310</v>
      </c>
      <c r="C56" s="81" t="s">
        <v>904</v>
      </c>
      <c r="D56" s="398">
        <f>VLOOKUP($B56,'[13]Div 9 forecast'!$D$590:$AF$671,18,FALSE)</f>
        <v>1372.8844425593968</v>
      </c>
      <c r="E56" s="398">
        <f>VLOOKUP($B56,'[13]Div 9 forecast'!$D$590:$AF$671,19,FALSE)</f>
        <v>1044.1045176853925</v>
      </c>
      <c r="F56" s="398">
        <f>VLOOKUP($B56,'[13]Div 9 forecast'!$D$590:$AF$671,20,FALSE)</f>
        <v>1387.7816464009354</v>
      </c>
      <c r="G56" s="398">
        <f>VLOOKUP($B56,'[13]Div 9 forecast'!$D$590:$AF$671,21,FALSE)</f>
        <v>1244.0114736780761</v>
      </c>
      <c r="H56" s="398">
        <f>VLOOKUP($B56,'[13]Div 9 forecast'!$D$590:$AF$671,22,FALSE)</f>
        <v>1384.8969210643688</v>
      </c>
      <c r="I56" s="398">
        <f>VLOOKUP($B56,'[13]Div 9 forecast'!$D$590:$AF$671,23,FALSE)</f>
        <v>1109.6548808868595</v>
      </c>
      <c r="J56" s="398">
        <f>VLOOKUP($B56,'[13]Div 9 forecast'!$D$590:$AF$671,24,FALSE)</f>
        <v>893.69028205847394</v>
      </c>
      <c r="K56" s="398">
        <f>VLOOKUP($B56,'[13]Div 9 forecast'!$D$590:$AF$671,25,FALSE)</f>
        <v>878.68104816800246</v>
      </c>
      <c r="L56" s="398">
        <f>VLOOKUP($B56,'[13]Div 9 forecast'!$D$590:$AF$671,26,FALSE)</f>
        <v>694.81336498519988</v>
      </c>
      <c r="M56" s="398">
        <f>VLOOKUP($B56,'[13]Div 9 forecast'!$D$590:$AF$671,27,FALSE)</f>
        <v>795.99054663488948</v>
      </c>
      <c r="N56" s="398">
        <f>VLOOKUP($B56,'[13]Div 9 forecast'!$D$590:$AF$671,28,FALSE)</f>
        <v>734.50340055636138</v>
      </c>
      <c r="O56" s="398">
        <f>VLOOKUP($B56,'[13]Div 9 forecast'!$D$590:$AF$671,29,FALSE)</f>
        <v>1194.7072612572363</v>
      </c>
      <c r="P56" s="81">
        <f t="shared" si="3"/>
        <v>12735.719785935193</v>
      </c>
      <c r="Q56" s="81"/>
      <c r="R56" s="898"/>
      <c r="S56" s="81"/>
      <c r="Y56" s="897"/>
    </row>
    <row r="57" spans="1:25">
      <c r="A57" s="1179">
        <f t="shared" si="0"/>
        <v>46</v>
      </c>
      <c r="B57" s="707">
        <v>8340</v>
      </c>
      <c r="C57" s="81" t="s">
        <v>905</v>
      </c>
      <c r="D57" s="398">
        <f>VLOOKUP($B57,'[13]Div 9 forecast'!$D$590:$AF$671,18,FALSE)</f>
        <v>273.43022000038781</v>
      </c>
      <c r="E57" s="398">
        <f>VLOOKUP($B57,'[13]Div 9 forecast'!$D$590:$AF$671,19,FALSE)</f>
        <v>281.61318501878492</v>
      </c>
      <c r="F57" s="398">
        <f>VLOOKUP($B57,'[13]Div 9 forecast'!$D$590:$AF$671,20,FALSE)</f>
        <v>252.36542047898953</v>
      </c>
      <c r="G57" s="398">
        <f>VLOOKUP($B57,'[13]Div 9 forecast'!$D$590:$AF$671,21,FALSE)</f>
        <v>279.98407651264608</v>
      </c>
      <c r="H57" s="398">
        <f>VLOOKUP($B57,'[13]Div 9 forecast'!$D$590:$AF$671,22,FALSE)</f>
        <v>269.18185204460241</v>
      </c>
      <c r="I57" s="398">
        <f>VLOOKUP($B57,'[13]Div 9 forecast'!$D$590:$AF$671,23,FALSE)</f>
        <v>258.58168623669627</v>
      </c>
      <c r="J57" s="398">
        <f>VLOOKUP($B57,'[13]Div 9 forecast'!$D$590:$AF$671,24,FALSE)</f>
        <v>296.82505314643225</v>
      </c>
      <c r="K57" s="398">
        <f>VLOOKUP($B57,'[13]Div 9 forecast'!$D$590:$AF$671,25,FALSE)</f>
        <v>291.46855200432367</v>
      </c>
      <c r="L57" s="398">
        <f>VLOOKUP($B57,'[13]Div 9 forecast'!$D$590:$AF$671,26,FALSE)</f>
        <v>279.61677478144304</v>
      </c>
      <c r="M57" s="398">
        <f>VLOOKUP($B57,'[13]Div 9 forecast'!$D$590:$AF$671,27,FALSE)</f>
        <v>308.3681461054104</v>
      </c>
      <c r="N57" s="398">
        <f>VLOOKUP($B57,'[13]Div 9 forecast'!$D$590:$AF$671,28,FALSE)</f>
        <v>267.80629133901772</v>
      </c>
      <c r="O57" s="398">
        <f>VLOOKUP($B57,'[13]Div 9 forecast'!$D$590:$AF$671,29,FALSE)</f>
        <v>271.73982505927472</v>
      </c>
      <c r="P57" s="81">
        <f t="shared" si="3"/>
        <v>3330.9810827280085</v>
      </c>
      <c r="Q57" s="81"/>
      <c r="R57" s="898"/>
      <c r="S57" s="81"/>
      <c r="Y57" s="897"/>
    </row>
    <row r="58" spans="1:25">
      <c r="A58" s="1179">
        <f t="shared" si="0"/>
        <v>47</v>
      </c>
      <c r="B58" s="707">
        <v>8350</v>
      </c>
      <c r="C58" s="81" t="s">
        <v>906</v>
      </c>
      <c r="D58" s="398">
        <f>VLOOKUP($B58,'[13]Div 9 forecast'!$D$590:$AF$671,18,FALSE)</f>
        <v>0</v>
      </c>
      <c r="E58" s="398">
        <f>VLOOKUP($B58,'[13]Div 9 forecast'!$D$590:$AF$671,19,FALSE)</f>
        <v>0</v>
      </c>
      <c r="F58" s="398">
        <f>VLOOKUP($B58,'[13]Div 9 forecast'!$D$590:$AF$671,20,FALSE)</f>
        <v>0</v>
      </c>
      <c r="G58" s="398">
        <f>VLOOKUP($B58,'[13]Div 9 forecast'!$D$590:$AF$671,21,FALSE)</f>
        <v>0</v>
      </c>
      <c r="H58" s="398">
        <f>VLOOKUP($B58,'[13]Div 9 forecast'!$D$590:$AF$671,22,FALSE)</f>
        <v>0</v>
      </c>
      <c r="I58" s="398">
        <f>VLOOKUP($B58,'[13]Div 9 forecast'!$D$590:$AF$671,23,FALSE)</f>
        <v>0</v>
      </c>
      <c r="J58" s="398">
        <f>VLOOKUP($B58,'[13]Div 9 forecast'!$D$590:$AF$671,24,FALSE)</f>
        <v>0</v>
      </c>
      <c r="K58" s="398">
        <f>VLOOKUP($B58,'[13]Div 9 forecast'!$D$590:$AF$671,25,FALSE)</f>
        <v>0</v>
      </c>
      <c r="L58" s="398">
        <f>VLOOKUP($B58,'[13]Div 9 forecast'!$D$590:$AF$671,26,FALSE)</f>
        <v>0</v>
      </c>
      <c r="M58" s="398">
        <f>VLOOKUP($B58,'[13]Div 9 forecast'!$D$590:$AF$671,27,FALSE)</f>
        <v>0</v>
      </c>
      <c r="N58" s="398">
        <f>VLOOKUP($B58,'[13]Div 9 forecast'!$D$590:$AF$671,28,FALSE)</f>
        <v>0</v>
      </c>
      <c r="O58" s="398">
        <f>VLOOKUP($B58,'[13]Div 9 forecast'!$D$590:$AF$671,29,FALSE)</f>
        <v>0</v>
      </c>
      <c r="P58" s="81">
        <f t="shared" si="3"/>
        <v>0</v>
      </c>
      <c r="Q58" s="81"/>
      <c r="R58" s="898"/>
      <c r="S58" s="81"/>
      <c r="Y58" s="897"/>
    </row>
    <row r="59" spans="1:25">
      <c r="A59" s="1179">
        <f t="shared" si="0"/>
        <v>48</v>
      </c>
      <c r="B59" s="707">
        <v>8360</v>
      </c>
      <c r="C59" s="81" t="s">
        <v>907</v>
      </c>
      <c r="D59" s="398">
        <f>VLOOKUP($B59,'[13]Div 9 forecast'!$D$590:$AF$671,18,FALSE)</f>
        <v>0</v>
      </c>
      <c r="E59" s="398">
        <f>VLOOKUP($B59,'[13]Div 9 forecast'!$D$590:$AF$671,19,FALSE)</f>
        <v>0</v>
      </c>
      <c r="F59" s="398">
        <f>VLOOKUP($B59,'[13]Div 9 forecast'!$D$590:$AF$671,20,FALSE)</f>
        <v>0</v>
      </c>
      <c r="G59" s="398">
        <f>VLOOKUP($B59,'[13]Div 9 forecast'!$D$590:$AF$671,21,FALSE)</f>
        <v>0</v>
      </c>
      <c r="H59" s="398">
        <f>VLOOKUP($B59,'[13]Div 9 forecast'!$D$590:$AF$671,22,FALSE)</f>
        <v>0</v>
      </c>
      <c r="I59" s="398">
        <f>VLOOKUP($B59,'[13]Div 9 forecast'!$D$590:$AF$671,23,FALSE)</f>
        <v>0</v>
      </c>
      <c r="J59" s="398">
        <f>VLOOKUP($B59,'[13]Div 9 forecast'!$D$590:$AF$671,24,FALSE)</f>
        <v>0</v>
      </c>
      <c r="K59" s="398">
        <f>VLOOKUP($B59,'[13]Div 9 forecast'!$D$590:$AF$671,25,FALSE)</f>
        <v>0</v>
      </c>
      <c r="L59" s="398">
        <f>VLOOKUP($B59,'[13]Div 9 forecast'!$D$590:$AF$671,26,FALSE)</f>
        <v>0</v>
      </c>
      <c r="M59" s="398">
        <f>VLOOKUP($B59,'[13]Div 9 forecast'!$D$590:$AF$671,27,FALSE)</f>
        <v>0</v>
      </c>
      <c r="N59" s="398">
        <f>VLOOKUP($B59,'[13]Div 9 forecast'!$D$590:$AF$671,28,FALSE)</f>
        <v>0</v>
      </c>
      <c r="O59" s="398">
        <f>VLOOKUP($B59,'[13]Div 9 forecast'!$D$590:$AF$671,29,FALSE)</f>
        <v>0</v>
      </c>
      <c r="P59" s="81">
        <f t="shared" ref="P59:P96" si="4">SUM(D59:O59)</f>
        <v>0</v>
      </c>
      <c r="Q59" s="81"/>
      <c r="R59" s="898"/>
      <c r="S59" s="81"/>
      <c r="Y59" s="897"/>
    </row>
    <row r="60" spans="1:25">
      <c r="A60" s="1179">
        <f t="shared" si="0"/>
        <v>49</v>
      </c>
      <c r="B60" s="707">
        <v>8370</v>
      </c>
      <c r="C60" s="81" t="s">
        <v>1342</v>
      </c>
      <c r="D60" s="398">
        <f>VLOOKUP($B60,'[13]Div 9 forecast'!$D$590:$AF$671,18,FALSE)</f>
        <v>0</v>
      </c>
      <c r="E60" s="398">
        <f>VLOOKUP($B60,'[13]Div 9 forecast'!$D$590:$AF$671,19,FALSE)</f>
        <v>0</v>
      </c>
      <c r="F60" s="398">
        <f>VLOOKUP($B60,'[13]Div 9 forecast'!$D$590:$AF$671,20,FALSE)</f>
        <v>0</v>
      </c>
      <c r="G60" s="398">
        <f>VLOOKUP($B60,'[13]Div 9 forecast'!$D$590:$AF$671,21,FALSE)</f>
        <v>0</v>
      </c>
      <c r="H60" s="398">
        <f>VLOOKUP($B60,'[13]Div 9 forecast'!$D$590:$AF$671,22,FALSE)</f>
        <v>0</v>
      </c>
      <c r="I60" s="398">
        <f>VLOOKUP($B60,'[13]Div 9 forecast'!$D$590:$AF$671,23,FALSE)</f>
        <v>0</v>
      </c>
      <c r="J60" s="398">
        <f>VLOOKUP($B60,'[13]Div 9 forecast'!$D$590:$AF$671,24,FALSE)</f>
        <v>0</v>
      </c>
      <c r="K60" s="398">
        <f>VLOOKUP($B60,'[13]Div 9 forecast'!$D$590:$AF$671,25,FALSE)</f>
        <v>0</v>
      </c>
      <c r="L60" s="398">
        <f>VLOOKUP($B60,'[13]Div 9 forecast'!$D$590:$AF$671,26,FALSE)</f>
        <v>0</v>
      </c>
      <c r="M60" s="398">
        <f>VLOOKUP($B60,'[13]Div 9 forecast'!$D$590:$AF$671,27,FALSE)</f>
        <v>0</v>
      </c>
      <c r="N60" s="398">
        <f>VLOOKUP($B60,'[13]Div 9 forecast'!$D$590:$AF$671,28,FALSE)</f>
        <v>0</v>
      </c>
      <c r="O60" s="398">
        <f>VLOOKUP($B60,'[13]Div 9 forecast'!$D$590:$AF$671,29,FALSE)</f>
        <v>0</v>
      </c>
      <c r="P60" s="81">
        <f t="shared" si="4"/>
        <v>0</v>
      </c>
      <c r="Q60" s="81"/>
      <c r="R60" s="898"/>
      <c r="S60" s="81"/>
      <c r="Y60" s="897"/>
    </row>
    <row r="61" spans="1:25">
      <c r="A61" s="1179">
        <f t="shared" si="0"/>
        <v>50</v>
      </c>
      <c r="B61" s="707">
        <v>8410</v>
      </c>
      <c r="C61" s="81" t="s">
        <v>188</v>
      </c>
      <c r="D61" s="398">
        <f>VLOOKUP($B61,'[13]Div 9 forecast'!$D$590:$AF$671,18,FALSE)</f>
        <v>5750.8488178447487</v>
      </c>
      <c r="E61" s="398">
        <f>VLOOKUP($B61,'[13]Div 9 forecast'!$D$590:$AF$671,19,FALSE)</f>
        <v>5789.1773190005815</v>
      </c>
      <c r="F61" s="398">
        <f>VLOOKUP($B61,'[13]Div 9 forecast'!$D$590:$AF$671,20,FALSE)</f>
        <v>5224.2323857120127</v>
      </c>
      <c r="G61" s="398">
        <f>VLOOKUP($B61,'[13]Div 9 forecast'!$D$590:$AF$671,21,FALSE)</f>
        <v>5756.1535565053455</v>
      </c>
      <c r="H61" s="398">
        <f>VLOOKUP($B61,'[13]Div 9 forecast'!$D$590:$AF$671,22,FALSE)</f>
        <v>5600.6104900821319</v>
      </c>
      <c r="I61" s="398">
        <f>VLOOKUP($B61,'[13]Div 9 forecast'!$D$590:$AF$671,23,FALSE)</f>
        <v>5421.4638794390394</v>
      </c>
      <c r="J61" s="398">
        <f>VLOOKUP($B61,'[13]Div 9 forecast'!$D$590:$AF$671,24,FALSE)</f>
        <v>6093.8434180661325</v>
      </c>
      <c r="K61" s="398">
        <f>VLOOKUP($B61,'[13]Div 9 forecast'!$D$590:$AF$671,25,FALSE)</f>
        <v>6097.3909916260263</v>
      </c>
      <c r="L61" s="398">
        <f>VLOOKUP($B61,'[13]Div 9 forecast'!$D$590:$AF$671,26,FALSE)</f>
        <v>5749.7404118356671</v>
      </c>
      <c r="M61" s="398">
        <f>VLOOKUP($B61,'[13]Div 9 forecast'!$D$590:$AF$671,27,FALSE)</f>
        <v>6353.6175697483659</v>
      </c>
      <c r="N61" s="398">
        <f>VLOOKUP($B61,'[13]Div 9 forecast'!$D$590:$AF$671,28,FALSE)</f>
        <v>5560.4446172337239</v>
      </c>
      <c r="O61" s="398">
        <f>VLOOKUP($B61,'[13]Div 9 forecast'!$D$590:$AF$671,29,FALSE)</f>
        <v>5685.8354194212889</v>
      </c>
      <c r="P61" s="81">
        <f t="shared" si="4"/>
        <v>69083.358876515063</v>
      </c>
      <c r="Q61" s="81"/>
      <c r="R61" s="898"/>
      <c r="S61" s="81"/>
      <c r="Y61" s="897"/>
    </row>
    <row r="62" spans="1:25">
      <c r="A62" s="1179">
        <f t="shared" si="0"/>
        <v>51</v>
      </c>
      <c r="B62" s="830">
        <v>8500</v>
      </c>
      <c r="C62" s="80" t="s">
        <v>908</v>
      </c>
      <c r="D62" s="398">
        <f>VLOOKUP($B62,'[13]Div 9 forecast'!$D$590:$AF$671,18,FALSE)</f>
        <v>3.7634340569533005</v>
      </c>
      <c r="E62" s="398">
        <f>VLOOKUP($B62,'[13]Div 9 forecast'!$D$590:$AF$671,19,FALSE)</f>
        <v>2.6702028095203554</v>
      </c>
      <c r="F62" s="398">
        <f>VLOOKUP($B62,'[13]Div 9 forecast'!$D$590:$AF$671,20,FALSE)</f>
        <v>2.6163697410762339</v>
      </c>
      <c r="G62" s="398">
        <f>VLOOKUP($B62,'[13]Div 9 forecast'!$D$590:$AF$671,21,FALSE)</f>
        <v>3.531408817080254</v>
      </c>
      <c r="H62" s="398">
        <f>VLOOKUP($B62,'[13]Div 9 forecast'!$D$590:$AF$671,22,FALSE)</f>
        <v>3.1996977900734938</v>
      </c>
      <c r="I62" s="398">
        <f>VLOOKUP($B62,'[13]Div 9 forecast'!$D$590:$AF$671,23,FALSE)</f>
        <v>2.3471214712292632</v>
      </c>
      <c r="J62" s="398">
        <f>VLOOKUP($B62,'[13]Div 9 forecast'!$D$590:$AF$671,24,FALSE)</f>
        <v>2.6919449727918452</v>
      </c>
      <c r="K62" s="398">
        <f>VLOOKUP($B62,'[13]Div 9 forecast'!$D$590:$AF$671,25,FALSE)</f>
        <v>2.8051729977777491</v>
      </c>
      <c r="L62" s="398">
        <f>VLOOKUP($B62,'[13]Div 9 forecast'!$D$590:$AF$671,26,FALSE)</f>
        <v>2.100998534874619</v>
      </c>
      <c r="M62" s="398">
        <f>VLOOKUP($B62,'[13]Div 9 forecast'!$D$590:$AF$671,27,FALSE)</f>
        <v>3.2613020637553438</v>
      </c>
      <c r="N62" s="398">
        <f>VLOOKUP($B62,'[13]Div 9 forecast'!$D$590:$AF$671,28,FALSE)</f>
        <v>2.9201425029172619</v>
      </c>
      <c r="O62" s="398">
        <f>VLOOKUP($B62,'[13]Div 9 forecast'!$D$590:$AF$671,29,FALSE)</f>
        <v>3.2105779989637124</v>
      </c>
      <c r="P62" s="81">
        <f t="shared" si="4"/>
        <v>35.118373757013437</v>
      </c>
      <c r="Q62" s="81"/>
      <c r="R62" s="898"/>
      <c r="S62" s="81"/>
      <c r="Y62" s="897"/>
    </row>
    <row r="63" spans="1:25">
      <c r="A63" s="1179">
        <f t="shared" si="0"/>
        <v>52</v>
      </c>
      <c r="B63" s="707">
        <v>8520</v>
      </c>
      <c r="C63" s="81" t="s">
        <v>1343</v>
      </c>
      <c r="D63" s="398">
        <f>VLOOKUP($B63,'[13]Div 9 forecast'!$D$590:$AF$671,18,FALSE)</f>
        <v>0</v>
      </c>
      <c r="E63" s="398">
        <f>VLOOKUP($B63,'[13]Div 9 forecast'!$D$590:$AF$671,19,FALSE)</f>
        <v>0</v>
      </c>
      <c r="F63" s="398">
        <f>VLOOKUP($B63,'[13]Div 9 forecast'!$D$590:$AF$671,20,FALSE)</f>
        <v>0</v>
      </c>
      <c r="G63" s="398">
        <f>VLOOKUP($B63,'[13]Div 9 forecast'!$D$590:$AF$671,21,FALSE)</f>
        <v>0</v>
      </c>
      <c r="H63" s="398">
        <f>VLOOKUP($B63,'[13]Div 9 forecast'!$D$590:$AF$671,22,FALSE)</f>
        <v>0</v>
      </c>
      <c r="I63" s="398">
        <f>VLOOKUP($B63,'[13]Div 9 forecast'!$D$590:$AF$671,23,FALSE)</f>
        <v>0</v>
      </c>
      <c r="J63" s="398">
        <f>VLOOKUP($B63,'[13]Div 9 forecast'!$D$590:$AF$671,24,FALSE)</f>
        <v>0</v>
      </c>
      <c r="K63" s="398">
        <f>VLOOKUP($B63,'[13]Div 9 forecast'!$D$590:$AF$671,25,FALSE)</f>
        <v>0</v>
      </c>
      <c r="L63" s="398">
        <f>VLOOKUP($B63,'[13]Div 9 forecast'!$D$590:$AF$671,26,FALSE)</f>
        <v>0</v>
      </c>
      <c r="M63" s="398">
        <f>VLOOKUP($B63,'[13]Div 9 forecast'!$D$590:$AF$671,27,FALSE)</f>
        <v>0</v>
      </c>
      <c r="N63" s="398">
        <f>VLOOKUP($B63,'[13]Div 9 forecast'!$D$590:$AF$671,28,FALSE)</f>
        <v>0</v>
      </c>
      <c r="O63" s="398">
        <f>VLOOKUP($B63,'[13]Div 9 forecast'!$D$590:$AF$671,29,FALSE)</f>
        <v>0</v>
      </c>
      <c r="P63" s="81">
        <f t="shared" si="4"/>
        <v>0</v>
      </c>
      <c r="Q63" s="81"/>
      <c r="R63" s="898"/>
      <c r="S63" s="81"/>
      <c r="Y63" s="897"/>
    </row>
    <row r="64" spans="1:25">
      <c r="A64" s="1179">
        <f t="shared" si="0"/>
        <v>53</v>
      </c>
      <c r="B64" s="707">
        <v>8550</v>
      </c>
      <c r="C64" s="103" t="s">
        <v>1396</v>
      </c>
      <c r="D64" s="398">
        <f>VLOOKUP($B64,'[13]Div 9 forecast'!$D$590:$AF$671,18,FALSE)</f>
        <v>26.264090872538592</v>
      </c>
      <c r="E64" s="398">
        <f>VLOOKUP($B64,'[13]Div 9 forecast'!$D$590:$AF$671,19,FALSE)</f>
        <v>25.508278105753195</v>
      </c>
      <c r="F64" s="398">
        <f>VLOOKUP($B64,'[13]Div 9 forecast'!$D$590:$AF$671,20,FALSE)</f>
        <v>25.084373849312392</v>
      </c>
      <c r="G64" s="398">
        <f>VLOOKUP($B64,'[13]Div 9 forecast'!$D$590:$AF$671,21,FALSE)</f>
        <v>22.655271704531426</v>
      </c>
      <c r="H64" s="398">
        <f>VLOOKUP($B64,'[13]Div 9 forecast'!$D$590:$AF$671,22,FALSE)</f>
        <v>25.254618515232195</v>
      </c>
      <c r="I64" s="398">
        <f>VLOOKUP($B64,'[13]Div 9 forecast'!$D$590:$AF$671,23,FALSE)</f>
        <v>23.758695301267931</v>
      </c>
      <c r="J64" s="398">
        <f>VLOOKUP($B64,'[13]Div 9 forecast'!$D$590:$AF$671,24,FALSE)</f>
        <v>24.267999162111501</v>
      </c>
      <c r="K64" s="398">
        <f>VLOOKUP($B64,'[13]Div 9 forecast'!$D$590:$AF$671,25,FALSE)</f>
        <v>26.795021905925722</v>
      </c>
      <c r="L64" s="398">
        <f>VLOOKUP($B64,'[13]Div 9 forecast'!$D$590:$AF$671,26,FALSE)</f>
        <v>26.814635212200042</v>
      </c>
      <c r="M64" s="398">
        <f>VLOOKUP($B64,'[13]Div 9 forecast'!$D$590:$AF$671,27,FALSE)</f>
        <v>29.089837112956474</v>
      </c>
      <c r="N64" s="398">
        <f>VLOOKUP($B64,'[13]Div 9 forecast'!$D$590:$AF$671,28,FALSE)</f>
        <v>25.521295270334072</v>
      </c>
      <c r="O64" s="398">
        <f>VLOOKUP($B64,'[13]Div 9 forecast'!$D$590:$AF$671,29,FALSE)</f>
        <v>27.076029216653623</v>
      </c>
      <c r="P64" s="81">
        <f t="shared" si="4"/>
        <v>308.09014622881716</v>
      </c>
      <c r="Q64" s="81"/>
      <c r="R64" s="898"/>
      <c r="S64" s="81"/>
      <c r="Y64" s="897"/>
    </row>
    <row r="65" spans="1:25">
      <c r="A65" s="1179">
        <f t="shared" si="0"/>
        <v>54</v>
      </c>
      <c r="B65" s="707">
        <v>8560</v>
      </c>
      <c r="C65" s="81" t="s">
        <v>909</v>
      </c>
      <c r="D65" s="398">
        <f>VLOOKUP($B65,'[13]Div 9 forecast'!$D$590:$AF$671,18,FALSE)</f>
        <v>33952.2955422741</v>
      </c>
      <c r="E65" s="398">
        <f>VLOOKUP($B65,'[13]Div 9 forecast'!$D$590:$AF$671,19,FALSE)</f>
        <v>30334.011443202497</v>
      </c>
      <c r="F65" s="398">
        <f>VLOOKUP($B65,'[13]Div 9 forecast'!$D$590:$AF$671,20,FALSE)</f>
        <v>31661.230152313019</v>
      </c>
      <c r="G65" s="398">
        <f>VLOOKUP($B65,'[13]Div 9 forecast'!$D$590:$AF$671,21,FALSE)</f>
        <v>32799.914761639971</v>
      </c>
      <c r="H65" s="398">
        <f>VLOOKUP($B65,'[13]Div 9 forecast'!$D$590:$AF$671,22,FALSE)</f>
        <v>33170.566655818075</v>
      </c>
      <c r="I65" s="398">
        <f>VLOOKUP($B65,'[13]Div 9 forecast'!$D$590:$AF$671,23,FALSE)</f>
        <v>29203.042299788776</v>
      </c>
      <c r="J65" s="398">
        <f>VLOOKUP($B65,'[13]Div 9 forecast'!$D$590:$AF$671,24,FALSE)</f>
        <v>29823.50451901865</v>
      </c>
      <c r="K65" s="398">
        <f>VLOOKUP($B65,'[13]Div 9 forecast'!$D$590:$AF$671,25,FALSE)</f>
        <v>29565.80128620793</v>
      </c>
      <c r="L65" s="398">
        <f>VLOOKUP($B65,'[13]Div 9 forecast'!$D$590:$AF$671,26,FALSE)</f>
        <v>26616.8317769471</v>
      </c>
      <c r="M65" s="398">
        <f>VLOOKUP($B65,'[13]Div 9 forecast'!$D$590:$AF$671,27,FALSE)</f>
        <v>30409.816457821402</v>
      </c>
      <c r="N65" s="398">
        <f>VLOOKUP($B65,'[13]Div 9 forecast'!$D$590:$AF$671,28,FALSE)</f>
        <v>26935.339972358157</v>
      </c>
      <c r="O65" s="398">
        <f>VLOOKUP($B65,'[13]Div 9 forecast'!$D$590:$AF$671,29,FALSE)</f>
        <v>31729.702697659337</v>
      </c>
      <c r="P65" s="81">
        <f t="shared" si="4"/>
        <v>366202.05756504892</v>
      </c>
      <c r="Q65" s="81"/>
      <c r="R65" s="898"/>
      <c r="S65" s="81"/>
      <c r="Y65" s="897"/>
    </row>
    <row r="66" spans="1:25">
      <c r="A66" s="1179">
        <f t="shared" si="0"/>
        <v>55</v>
      </c>
      <c r="B66" s="707">
        <v>8570</v>
      </c>
      <c r="C66" s="81" t="s">
        <v>910</v>
      </c>
      <c r="D66" s="398">
        <f>VLOOKUP($B66,'[13]Div 9 forecast'!$D$590:$AF$671,18,FALSE)</f>
        <v>2270.8356110448176</v>
      </c>
      <c r="E66" s="398">
        <f>VLOOKUP($B66,'[13]Div 9 forecast'!$D$590:$AF$671,19,FALSE)</f>
        <v>2291.4675833733036</v>
      </c>
      <c r="F66" s="398">
        <f>VLOOKUP($B66,'[13]Div 9 forecast'!$D$590:$AF$671,20,FALSE)</f>
        <v>2099.1986172453135</v>
      </c>
      <c r="G66" s="398">
        <f>VLOOKUP($B66,'[13]Div 9 forecast'!$D$590:$AF$671,21,FALSE)</f>
        <v>2239.7312703239354</v>
      </c>
      <c r="H66" s="398">
        <f>VLOOKUP($B66,'[13]Div 9 forecast'!$D$590:$AF$671,22,FALSE)</f>
        <v>2216.5726486881167</v>
      </c>
      <c r="I66" s="398">
        <f>VLOOKUP($B66,'[13]Div 9 forecast'!$D$590:$AF$671,23,FALSE)</f>
        <v>2108.9142632441631</v>
      </c>
      <c r="J66" s="398">
        <f>VLOOKUP($B66,'[13]Div 9 forecast'!$D$590:$AF$671,24,FALSE)</f>
        <v>2363.5485889174083</v>
      </c>
      <c r="K66" s="398">
        <f>VLOOKUP($B66,'[13]Div 9 forecast'!$D$590:$AF$671,25,FALSE)</f>
        <v>2379.7846539511388</v>
      </c>
      <c r="L66" s="398">
        <f>VLOOKUP($B66,'[13]Div 9 forecast'!$D$590:$AF$671,26,FALSE)</f>
        <v>2295.3574461862245</v>
      </c>
      <c r="M66" s="398">
        <f>VLOOKUP($B66,'[13]Div 9 forecast'!$D$590:$AF$671,27,FALSE)</f>
        <v>2536.2564320239817</v>
      </c>
      <c r="N66" s="398">
        <f>VLOOKUP($B66,'[13]Div 9 forecast'!$D$590:$AF$671,28,FALSE)</f>
        <v>2208.8642041956705</v>
      </c>
      <c r="O66" s="398">
        <f>VLOOKUP($B66,'[13]Div 9 forecast'!$D$590:$AF$671,29,FALSE)</f>
        <v>2267.4696522408963</v>
      </c>
      <c r="P66" s="81">
        <f t="shared" si="4"/>
        <v>27278.000971434969</v>
      </c>
      <c r="Q66" s="81"/>
      <c r="R66" s="898"/>
      <c r="S66" s="81"/>
      <c r="Y66" s="897"/>
    </row>
    <row r="67" spans="1:25">
      <c r="A67" s="1179">
        <f t="shared" si="0"/>
        <v>56</v>
      </c>
      <c r="B67" s="707">
        <v>8630</v>
      </c>
      <c r="C67" s="81" t="s">
        <v>911</v>
      </c>
      <c r="D67" s="398">
        <f>VLOOKUP($B67,'[13]Div 9 forecast'!$D$590:$AF$671,18,FALSE)</f>
        <v>1304.355772927421</v>
      </c>
      <c r="E67" s="398">
        <f>VLOOKUP($B67,'[13]Div 9 forecast'!$D$590:$AF$671,19,FALSE)</f>
        <v>1312.5124897884295</v>
      </c>
      <c r="F67" s="398">
        <f>VLOOKUP($B67,'[13]Div 9 forecast'!$D$590:$AF$671,20,FALSE)</f>
        <v>1294.7238948778149</v>
      </c>
      <c r="G67" s="398">
        <f>VLOOKUP($B67,'[13]Div 9 forecast'!$D$590:$AF$671,21,FALSE)</f>
        <v>1372.1630114097254</v>
      </c>
      <c r="H67" s="398">
        <f>VLOOKUP($B67,'[13]Div 9 forecast'!$D$590:$AF$671,22,FALSE)</f>
        <v>1282.2506787225957</v>
      </c>
      <c r="I67" s="398">
        <f>VLOOKUP($B67,'[13]Div 9 forecast'!$D$590:$AF$671,23,FALSE)</f>
        <v>1265.3649600635961</v>
      </c>
      <c r="J67" s="398">
        <f>VLOOKUP($B67,'[13]Div 9 forecast'!$D$590:$AF$671,24,FALSE)</f>
        <v>1429.5582939729145</v>
      </c>
      <c r="K67" s="398">
        <f>VLOOKUP($B67,'[13]Div 9 forecast'!$D$590:$AF$671,25,FALSE)</f>
        <v>1369.8705955580767</v>
      </c>
      <c r="L67" s="398">
        <f>VLOOKUP($B67,'[13]Div 9 forecast'!$D$590:$AF$671,26,FALSE)</f>
        <v>1471.2123543384673</v>
      </c>
      <c r="M67" s="398">
        <f>VLOOKUP($B67,'[13]Div 9 forecast'!$D$590:$AF$671,27,FALSE)</f>
        <v>1469.3846809084662</v>
      </c>
      <c r="N67" s="398">
        <f>VLOOKUP($B67,'[13]Div 9 forecast'!$D$590:$AF$671,28,FALSE)</f>
        <v>1333.9347188542824</v>
      </c>
      <c r="O67" s="398">
        <f>VLOOKUP($B67,'[13]Div 9 forecast'!$D$590:$AF$671,29,FALSE)</f>
        <v>1374.4510765780219</v>
      </c>
      <c r="P67" s="81">
        <f t="shared" si="4"/>
        <v>16279.782527999811</v>
      </c>
      <c r="Q67" s="81"/>
      <c r="R67" s="898"/>
      <c r="S67" s="81"/>
      <c r="Y67" s="897"/>
    </row>
    <row r="68" spans="1:25">
      <c r="A68" s="1179">
        <f t="shared" si="0"/>
        <v>57</v>
      </c>
      <c r="B68" s="707">
        <v>8640</v>
      </c>
      <c r="C68" s="81" t="s">
        <v>1344</v>
      </c>
      <c r="D68" s="398">
        <f>VLOOKUP($B68,'[13]Div 9 forecast'!$D$590:$AF$671,18,FALSE)</f>
        <v>0</v>
      </c>
      <c r="E68" s="398">
        <f>VLOOKUP($B68,'[13]Div 9 forecast'!$D$590:$AF$671,19,FALSE)</f>
        <v>0</v>
      </c>
      <c r="F68" s="398">
        <f>VLOOKUP($B68,'[13]Div 9 forecast'!$D$590:$AF$671,20,FALSE)</f>
        <v>0</v>
      </c>
      <c r="G68" s="398">
        <f>VLOOKUP($B68,'[13]Div 9 forecast'!$D$590:$AF$671,21,FALSE)</f>
        <v>0</v>
      </c>
      <c r="H68" s="398">
        <f>VLOOKUP($B68,'[13]Div 9 forecast'!$D$590:$AF$671,22,FALSE)</f>
        <v>0</v>
      </c>
      <c r="I68" s="398">
        <f>VLOOKUP($B68,'[13]Div 9 forecast'!$D$590:$AF$671,23,FALSE)</f>
        <v>0</v>
      </c>
      <c r="J68" s="398">
        <f>VLOOKUP($B68,'[13]Div 9 forecast'!$D$590:$AF$671,24,FALSE)</f>
        <v>0</v>
      </c>
      <c r="K68" s="398">
        <f>VLOOKUP($B68,'[13]Div 9 forecast'!$D$590:$AF$671,25,FALSE)</f>
        <v>0</v>
      </c>
      <c r="L68" s="398">
        <f>VLOOKUP($B68,'[13]Div 9 forecast'!$D$590:$AF$671,26,FALSE)</f>
        <v>0</v>
      </c>
      <c r="M68" s="398">
        <f>VLOOKUP($B68,'[13]Div 9 forecast'!$D$590:$AF$671,27,FALSE)</f>
        <v>0</v>
      </c>
      <c r="N68" s="398">
        <f>VLOOKUP($B68,'[13]Div 9 forecast'!$D$590:$AF$671,28,FALSE)</f>
        <v>0</v>
      </c>
      <c r="O68" s="398">
        <f>VLOOKUP($B68,'[13]Div 9 forecast'!$D$590:$AF$671,29,FALSE)</f>
        <v>0</v>
      </c>
      <c r="P68" s="81">
        <f t="shared" si="4"/>
        <v>0</v>
      </c>
      <c r="Q68" s="81"/>
      <c r="R68" s="898"/>
      <c r="S68" s="81"/>
      <c r="Y68" s="897"/>
    </row>
    <row r="69" spans="1:25">
      <c r="A69" s="1179">
        <f t="shared" si="0"/>
        <v>58</v>
      </c>
      <c r="B69" s="707">
        <v>8650</v>
      </c>
      <c r="C69" s="81" t="s">
        <v>912</v>
      </c>
      <c r="D69" s="398">
        <f>VLOOKUP($B69,'[13]Div 9 forecast'!$D$590:$AF$671,18,FALSE)</f>
        <v>0</v>
      </c>
      <c r="E69" s="398">
        <f>VLOOKUP($B69,'[13]Div 9 forecast'!$D$590:$AF$671,19,FALSE)</f>
        <v>0</v>
      </c>
      <c r="F69" s="398">
        <f>VLOOKUP($B69,'[13]Div 9 forecast'!$D$590:$AF$671,20,FALSE)</f>
        <v>0</v>
      </c>
      <c r="G69" s="398">
        <f>VLOOKUP($B69,'[13]Div 9 forecast'!$D$590:$AF$671,21,FALSE)</f>
        <v>0</v>
      </c>
      <c r="H69" s="398">
        <f>VLOOKUP($B69,'[13]Div 9 forecast'!$D$590:$AF$671,22,FALSE)</f>
        <v>0</v>
      </c>
      <c r="I69" s="398">
        <f>VLOOKUP($B69,'[13]Div 9 forecast'!$D$590:$AF$671,23,FALSE)</f>
        <v>0</v>
      </c>
      <c r="J69" s="398">
        <f>VLOOKUP($B69,'[13]Div 9 forecast'!$D$590:$AF$671,24,FALSE)</f>
        <v>0</v>
      </c>
      <c r="K69" s="398">
        <f>VLOOKUP($B69,'[13]Div 9 forecast'!$D$590:$AF$671,25,FALSE)</f>
        <v>0</v>
      </c>
      <c r="L69" s="398">
        <f>VLOOKUP($B69,'[13]Div 9 forecast'!$D$590:$AF$671,26,FALSE)</f>
        <v>0</v>
      </c>
      <c r="M69" s="398">
        <f>VLOOKUP($B69,'[13]Div 9 forecast'!$D$590:$AF$671,27,FALSE)</f>
        <v>0</v>
      </c>
      <c r="N69" s="398">
        <f>VLOOKUP($B69,'[13]Div 9 forecast'!$D$590:$AF$671,28,FALSE)</f>
        <v>0</v>
      </c>
      <c r="O69" s="398">
        <f>VLOOKUP($B69,'[13]Div 9 forecast'!$D$590:$AF$671,29,FALSE)</f>
        <v>0</v>
      </c>
      <c r="P69" s="81">
        <f t="shared" si="4"/>
        <v>0</v>
      </c>
      <c r="Q69" s="81"/>
      <c r="R69" s="898"/>
      <c r="S69" s="81"/>
      <c r="Y69" s="897"/>
    </row>
    <row r="70" spans="1:25">
      <c r="A70" s="1179">
        <f t="shared" si="0"/>
        <v>59</v>
      </c>
      <c r="B70" s="707">
        <v>8700</v>
      </c>
      <c r="C70" s="81" t="s">
        <v>913</v>
      </c>
      <c r="D70" s="398">
        <f>VLOOKUP($B70,'[13]Div 9 forecast'!$D$590:$AF$671,18,FALSE)</f>
        <v>95362.664831322705</v>
      </c>
      <c r="E70" s="398">
        <f>VLOOKUP($B70,'[13]Div 9 forecast'!$D$590:$AF$671,19,FALSE)</f>
        <v>82927.419859492045</v>
      </c>
      <c r="F70" s="398">
        <f>VLOOKUP($B70,'[13]Div 9 forecast'!$D$590:$AF$671,20,FALSE)</f>
        <v>81808.727122496901</v>
      </c>
      <c r="G70" s="398">
        <f>VLOOKUP($B70,'[13]Div 9 forecast'!$D$590:$AF$671,21,FALSE)</f>
        <v>87702.01702641265</v>
      </c>
      <c r="H70" s="398">
        <f>VLOOKUP($B70,'[13]Div 9 forecast'!$D$590:$AF$671,22,FALSE)</f>
        <v>87419.454205177288</v>
      </c>
      <c r="I70" s="398">
        <f>VLOOKUP($B70,'[13]Div 9 forecast'!$D$590:$AF$671,23,FALSE)</f>
        <v>86666.676812004764</v>
      </c>
      <c r="J70" s="398">
        <f>VLOOKUP($B70,'[13]Div 9 forecast'!$D$590:$AF$671,24,FALSE)</f>
        <v>72470.83610548533</v>
      </c>
      <c r="K70" s="398">
        <f>VLOOKUP($B70,'[13]Div 9 forecast'!$D$590:$AF$671,25,FALSE)</f>
        <v>75616.907289316514</v>
      </c>
      <c r="L70" s="398">
        <f>VLOOKUP($B70,'[13]Div 9 forecast'!$D$590:$AF$671,26,FALSE)</f>
        <v>68885.833588217647</v>
      </c>
      <c r="M70" s="398">
        <f>VLOOKUP($B70,'[13]Div 9 forecast'!$D$590:$AF$671,27,FALSE)</f>
        <v>81362.444686435338</v>
      </c>
      <c r="N70" s="398">
        <f>VLOOKUP($B70,'[13]Div 9 forecast'!$D$590:$AF$671,28,FALSE)</f>
        <v>57660.624687492906</v>
      </c>
      <c r="O70" s="398">
        <f>VLOOKUP($B70,'[13]Div 9 forecast'!$D$590:$AF$671,29,FALSE)</f>
        <v>85526.990095071276</v>
      </c>
      <c r="P70" s="81">
        <f t="shared" si="4"/>
        <v>963410.59630892519</v>
      </c>
      <c r="Q70" s="81"/>
      <c r="R70" s="898"/>
      <c r="S70" s="81"/>
      <c r="Y70" s="897"/>
    </row>
    <row r="71" spans="1:25">
      <c r="A71" s="1179">
        <f t="shared" si="0"/>
        <v>60</v>
      </c>
      <c r="B71" s="707">
        <v>8710</v>
      </c>
      <c r="C71" s="81" t="s">
        <v>914</v>
      </c>
      <c r="D71" s="398">
        <f>VLOOKUP($B71,'[13]Div 9 forecast'!$D$590:$AF$671,18,FALSE)</f>
        <v>56.498602451254364</v>
      </c>
      <c r="E71" s="398">
        <f>VLOOKUP($B71,'[13]Div 9 forecast'!$D$590:$AF$671,19,FALSE)</f>
        <v>54.872718454529398</v>
      </c>
      <c r="F71" s="398">
        <f>VLOOKUP($B71,'[13]Div 9 forecast'!$D$590:$AF$671,20,FALSE)</f>
        <v>53.960827074840132</v>
      </c>
      <c r="G71" s="398">
        <f>VLOOKUP($B71,'[13]Div 9 forecast'!$D$590:$AF$671,21,FALSE)</f>
        <v>48.735408191791471</v>
      </c>
      <c r="H71" s="398">
        <f>VLOOKUP($B71,'[13]Div 9 forecast'!$D$590:$AF$671,22,FALSE)</f>
        <v>54.32705279900204</v>
      </c>
      <c r="I71" s="398">
        <f>VLOOKUP($B71,'[13]Div 9 forecast'!$D$590:$AF$671,23,FALSE)</f>
        <v>51.109063211106566</v>
      </c>
      <c r="J71" s="398">
        <f>VLOOKUP($B71,'[13]Div 9 forecast'!$D$590:$AF$671,24,FALSE)</f>
        <v>52.204663911710924</v>
      </c>
      <c r="K71" s="398">
        <f>VLOOKUP($B71,'[13]Div 9 forecast'!$D$590:$AF$671,25,FALSE)</f>
        <v>57.640726940921645</v>
      </c>
      <c r="L71" s="398">
        <f>VLOOKUP($B71,'[13]Div 9 forecast'!$D$590:$AF$671,26,FALSE)</f>
        <v>57.682918555294485</v>
      </c>
      <c r="M71" s="398">
        <f>VLOOKUP($B71,'[13]Div 9 forecast'!$D$590:$AF$671,27,FALSE)</f>
        <v>62.577271392825281</v>
      </c>
      <c r="N71" s="398">
        <f>VLOOKUP($B71,'[13]Div 9 forecast'!$D$590:$AF$671,28,FALSE)</f>
        <v>54.900720627163764</v>
      </c>
      <c r="O71" s="398">
        <f>VLOOKUP($B71,'[13]Div 9 forecast'!$D$590:$AF$671,29,FALSE)</f>
        <v>58.245222273037328</v>
      </c>
      <c r="P71" s="81">
        <f t="shared" si="4"/>
        <v>662.75519588347731</v>
      </c>
      <c r="Q71" s="81"/>
      <c r="R71" s="898"/>
      <c r="S71" s="81"/>
      <c r="Y71" s="897"/>
    </row>
    <row r="72" spans="1:25">
      <c r="A72" s="1179">
        <f t="shared" si="0"/>
        <v>61</v>
      </c>
      <c r="B72" s="707">
        <v>8711</v>
      </c>
      <c r="C72" s="103" t="s">
        <v>189</v>
      </c>
      <c r="D72" s="398">
        <f>VLOOKUP($B72,'[13]Div 9 forecast'!$D$590:$AF$671,18,FALSE)</f>
        <v>2138.5315555132674</v>
      </c>
      <c r="E72" s="398">
        <f>VLOOKUP($B72,'[13]Div 9 forecast'!$D$590:$AF$671,19,FALSE)</f>
        <v>1517.3144743240869</v>
      </c>
      <c r="F72" s="398">
        <f>VLOOKUP($B72,'[13]Div 9 forecast'!$D$590:$AF$671,20,FALSE)</f>
        <v>1486.7244031668261</v>
      </c>
      <c r="G72" s="398">
        <f>VLOOKUP($B72,'[13]Div 9 forecast'!$D$590:$AF$671,21,FALSE)</f>
        <v>2006.6856696454702</v>
      </c>
      <c r="H72" s="398">
        <f>VLOOKUP($B72,'[13]Div 9 forecast'!$D$590:$AF$671,22,FALSE)</f>
        <v>1818.1943907149855</v>
      </c>
      <c r="I72" s="398">
        <f>VLOOKUP($B72,'[13]Div 9 forecast'!$D$590:$AF$671,23,FALSE)</f>
        <v>1333.7269246348826</v>
      </c>
      <c r="J72" s="398">
        <f>VLOOKUP($B72,'[13]Div 9 forecast'!$D$590:$AF$671,24,FALSE)</f>
        <v>1529.6692283964467</v>
      </c>
      <c r="K72" s="398">
        <f>VLOOKUP($B72,'[13]Div 9 forecast'!$D$590:$AF$671,25,FALSE)</f>
        <v>1594.009854733029</v>
      </c>
      <c r="L72" s="398">
        <f>VLOOKUP($B72,'[13]Div 9 forecast'!$D$590:$AF$671,26,FALSE)</f>
        <v>1193.8701720082422</v>
      </c>
      <c r="M72" s="398">
        <f>VLOOKUP($B72,'[13]Div 9 forecast'!$D$590:$AF$671,27,FALSE)</f>
        <v>1853.2003669668359</v>
      </c>
      <c r="N72" s="398">
        <f>VLOOKUP($B72,'[13]Div 9 forecast'!$D$590:$AF$671,28,FALSE)</f>
        <v>1659.3400587280564</v>
      </c>
      <c r="O72" s="398">
        <f>VLOOKUP($B72,'[13]Div 9 forecast'!$D$590:$AF$671,29,FALSE)</f>
        <v>1824.3769542168804</v>
      </c>
      <c r="P72" s="81">
        <f t="shared" si="4"/>
        <v>19955.644053049011</v>
      </c>
      <c r="Q72" s="81"/>
      <c r="R72" s="898"/>
      <c r="S72" s="81"/>
      <c r="Y72" s="897"/>
    </row>
    <row r="73" spans="1:25">
      <c r="A73" s="1179">
        <f t="shared" si="0"/>
        <v>62</v>
      </c>
      <c r="B73" s="707">
        <v>8720</v>
      </c>
      <c r="C73" s="103" t="s">
        <v>1345</v>
      </c>
      <c r="D73" s="398">
        <f>VLOOKUP($B73,'[13]Div 9 forecast'!$D$590:$AF$671,18,FALSE)</f>
        <v>0</v>
      </c>
      <c r="E73" s="398">
        <f>VLOOKUP($B73,'[13]Div 9 forecast'!$D$590:$AF$671,19,FALSE)</f>
        <v>0</v>
      </c>
      <c r="F73" s="398">
        <f>VLOOKUP($B73,'[13]Div 9 forecast'!$D$590:$AF$671,20,FALSE)</f>
        <v>0</v>
      </c>
      <c r="G73" s="398">
        <f>VLOOKUP($B73,'[13]Div 9 forecast'!$D$590:$AF$671,21,FALSE)</f>
        <v>0</v>
      </c>
      <c r="H73" s="398">
        <f>VLOOKUP($B73,'[13]Div 9 forecast'!$D$590:$AF$671,22,FALSE)</f>
        <v>0</v>
      </c>
      <c r="I73" s="398">
        <f>VLOOKUP($B73,'[13]Div 9 forecast'!$D$590:$AF$671,23,FALSE)</f>
        <v>0</v>
      </c>
      <c r="J73" s="398">
        <f>VLOOKUP($B73,'[13]Div 9 forecast'!$D$590:$AF$671,24,FALSE)</f>
        <v>0</v>
      </c>
      <c r="K73" s="398">
        <f>VLOOKUP($B73,'[13]Div 9 forecast'!$D$590:$AF$671,25,FALSE)</f>
        <v>0</v>
      </c>
      <c r="L73" s="398">
        <f>VLOOKUP($B73,'[13]Div 9 forecast'!$D$590:$AF$671,26,FALSE)</f>
        <v>0</v>
      </c>
      <c r="M73" s="398">
        <f>VLOOKUP($B73,'[13]Div 9 forecast'!$D$590:$AF$671,27,FALSE)</f>
        <v>0</v>
      </c>
      <c r="N73" s="398">
        <f>VLOOKUP($B73,'[13]Div 9 forecast'!$D$590:$AF$671,28,FALSE)</f>
        <v>0</v>
      </c>
      <c r="O73" s="398">
        <f>VLOOKUP($B73,'[13]Div 9 forecast'!$D$590:$AF$671,29,FALSE)</f>
        <v>0</v>
      </c>
      <c r="P73" s="81">
        <f t="shared" si="4"/>
        <v>0</v>
      </c>
      <c r="Q73" s="81"/>
      <c r="R73" s="898"/>
      <c r="S73" s="81"/>
      <c r="Y73" s="897"/>
    </row>
    <row r="74" spans="1:25">
      <c r="A74" s="1179">
        <f t="shared" si="0"/>
        <v>63</v>
      </c>
      <c r="B74" s="707">
        <v>8740</v>
      </c>
      <c r="C74" s="81" t="s">
        <v>915</v>
      </c>
      <c r="D74" s="398">
        <f>VLOOKUP($B74,'[13]Div 9 forecast'!$D$590:$AF$671,18,FALSE)</f>
        <v>405493.91350684268</v>
      </c>
      <c r="E74" s="398">
        <f>VLOOKUP($B74,'[13]Div 9 forecast'!$D$590:$AF$671,19,FALSE)</f>
        <v>363133.29580174095</v>
      </c>
      <c r="F74" s="398">
        <f>VLOOKUP($B74,'[13]Div 9 forecast'!$D$590:$AF$671,20,FALSE)</f>
        <v>367662.84730316885</v>
      </c>
      <c r="G74" s="398">
        <f>VLOOKUP($B74,'[13]Div 9 forecast'!$D$590:$AF$671,21,FALSE)</f>
        <v>384796.02005415817</v>
      </c>
      <c r="H74" s="398">
        <f>VLOOKUP($B74,'[13]Div 9 forecast'!$D$590:$AF$671,22,FALSE)</f>
        <v>387858.9641813768</v>
      </c>
      <c r="I74" s="398">
        <f>VLOOKUP($B74,'[13]Div 9 forecast'!$D$590:$AF$671,23,FALSE)</f>
        <v>354742.99998523906</v>
      </c>
      <c r="J74" s="398">
        <f>VLOOKUP($B74,'[13]Div 9 forecast'!$D$590:$AF$671,24,FALSE)</f>
        <v>339766.00333990849</v>
      </c>
      <c r="K74" s="398">
        <f>VLOOKUP($B74,'[13]Div 9 forecast'!$D$590:$AF$671,25,FALSE)</f>
        <v>343529.31180929585</v>
      </c>
      <c r="L74" s="398">
        <f>VLOOKUP($B74,'[13]Div 9 forecast'!$D$590:$AF$671,26,FALSE)</f>
        <v>318226.62367830612</v>
      </c>
      <c r="M74" s="398">
        <f>VLOOKUP($B74,'[13]Div 9 forecast'!$D$590:$AF$671,27,FALSE)</f>
        <v>355552.44993660448</v>
      </c>
      <c r="N74" s="398">
        <f>VLOOKUP($B74,'[13]Div 9 forecast'!$D$590:$AF$671,28,FALSE)</f>
        <v>320082.34320901847</v>
      </c>
      <c r="O74" s="398">
        <f>VLOOKUP($B74,'[13]Div 9 forecast'!$D$590:$AF$671,29,FALSE)</f>
        <v>379873.95676280337</v>
      </c>
      <c r="P74" s="81">
        <f t="shared" si="4"/>
        <v>4320718.7295684638</v>
      </c>
      <c r="Q74" s="81"/>
      <c r="R74" s="898"/>
      <c r="S74" s="81"/>
      <c r="Y74" s="897"/>
    </row>
    <row r="75" spans="1:25">
      <c r="A75" s="1179">
        <f t="shared" si="0"/>
        <v>64</v>
      </c>
      <c r="B75" s="707">
        <v>8750</v>
      </c>
      <c r="C75" s="81" t="s">
        <v>916</v>
      </c>
      <c r="D75" s="398">
        <f>VLOOKUP($B75,'[13]Div 9 forecast'!$D$590:$AF$671,18,FALSE)</f>
        <v>50709.104435721973</v>
      </c>
      <c r="E75" s="398">
        <f>VLOOKUP($B75,'[13]Div 9 forecast'!$D$590:$AF$671,19,FALSE)</f>
        <v>47612.493497728501</v>
      </c>
      <c r="F75" s="398">
        <f>VLOOKUP($B75,'[13]Div 9 forecast'!$D$590:$AF$671,20,FALSE)</f>
        <v>45168.462771338702</v>
      </c>
      <c r="G75" s="398">
        <f>VLOOKUP($B75,'[13]Div 9 forecast'!$D$590:$AF$671,21,FALSE)</f>
        <v>49809.093716609459</v>
      </c>
      <c r="H75" s="398">
        <f>VLOOKUP($B75,'[13]Div 9 forecast'!$D$590:$AF$671,22,FALSE)</f>
        <v>48525.304598772804</v>
      </c>
      <c r="I75" s="398">
        <f>VLOOKUP($B75,'[13]Div 9 forecast'!$D$590:$AF$671,23,FALSE)</f>
        <v>44745.213021639443</v>
      </c>
      <c r="J75" s="398">
        <f>VLOOKUP($B75,'[13]Div 9 forecast'!$D$590:$AF$671,24,FALSE)</f>
        <v>49053.669028923854</v>
      </c>
      <c r="K75" s="398">
        <f>VLOOKUP($B75,'[13]Div 9 forecast'!$D$590:$AF$671,25,FALSE)</f>
        <v>48932.714265957518</v>
      </c>
      <c r="L75" s="398">
        <f>VLOOKUP($B75,'[13]Div 9 forecast'!$D$590:$AF$671,26,FALSE)</f>
        <v>44962.288053381446</v>
      </c>
      <c r="M75" s="398">
        <f>VLOOKUP($B75,'[13]Div 9 forecast'!$D$590:$AF$671,27,FALSE)</f>
        <v>51454.721812408323</v>
      </c>
      <c r="N75" s="398">
        <f>VLOOKUP($B75,'[13]Div 9 forecast'!$D$590:$AF$671,28,FALSE)</f>
        <v>45285.861604719605</v>
      </c>
      <c r="O75" s="398">
        <f>VLOOKUP($B75,'[13]Div 9 forecast'!$D$590:$AF$671,29,FALSE)</f>
        <v>48454.619259690429</v>
      </c>
      <c r="P75" s="81">
        <f t="shared" si="4"/>
        <v>574713.5460668921</v>
      </c>
      <c r="Q75" s="81"/>
      <c r="R75" s="898"/>
      <c r="S75" s="81"/>
      <c r="Y75" s="897"/>
    </row>
    <row r="76" spans="1:25">
      <c r="A76" s="1179">
        <f t="shared" si="0"/>
        <v>65</v>
      </c>
      <c r="B76" s="707">
        <v>8760</v>
      </c>
      <c r="C76" s="81" t="s">
        <v>917</v>
      </c>
      <c r="D76" s="398">
        <f>VLOOKUP($B76,'[13]Div 9 forecast'!$D$590:$AF$671,18,FALSE)</f>
        <v>9932.5598861333401</v>
      </c>
      <c r="E76" s="398">
        <f>VLOOKUP($B76,'[13]Div 9 forecast'!$D$590:$AF$671,19,FALSE)</f>
        <v>10174.028530177808</v>
      </c>
      <c r="F76" s="398">
        <f>VLOOKUP($B76,'[13]Div 9 forecast'!$D$590:$AF$671,20,FALSE)</f>
        <v>9199.6938109190232</v>
      </c>
      <c r="G76" s="398">
        <f>VLOOKUP($B76,'[13]Div 9 forecast'!$D$590:$AF$671,21,FALSE)</f>
        <v>10184.310669729171</v>
      </c>
      <c r="H76" s="398">
        <f>VLOOKUP($B76,'[13]Div 9 forecast'!$D$590:$AF$671,22,FALSE)</f>
        <v>9761.9435905906648</v>
      </c>
      <c r="I76" s="398">
        <f>VLOOKUP($B76,'[13]Div 9 forecast'!$D$590:$AF$671,23,FALSE)</f>
        <v>9377.2321888095375</v>
      </c>
      <c r="J76" s="398">
        <f>VLOOKUP($B76,'[13]Div 9 forecast'!$D$590:$AF$671,24,FALSE)</f>
        <v>10749.380004939472</v>
      </c>
      <c r="K76" s="398">
        <f>VLOOKUP($B76,'[13]Div 9 forecast'!$D$590:$AF$671,25,FALSE)</f>
        <v>10538.612893297701</v>
      </c>
      <c r="L76" s="398">
        <f>VLOOKUP($B76,'[13]Div 9 forecast'!$D$590:$AF$671,26,FALSE)</f>
        <v>10192.642688358166</v>
      </c>
      <c r="M76" s="398">
        <f>VLOOKUP($B76,'[13]Div 9 forecast'!$D$590:$AF$671,27,FALSE)</f>
        <v>11171.249865042249</v>
      </c>
      <c r="N76" s="398">
        <f>VLOOKUP($B76,'[13]Div 9 forecast'!$D$590:$AF$671,28,FALSE)</f>
        <v>9741.3443045012409</v>
      </c>
      <c r="O76" s="398">
        <f>VLOOKUP($B76,'[13]Div 9 forecast'!$D$590:$AF$671,29,FALSE)</f>
        <v>9905.1830190837427</v>
      </c>
      <c r="P76" s="81">
        <f t="shared" si="4"/>
        <v>120928.18145158212</v>
      </c>
      <c r="Q76" s="81"/>
      <c r="R76" s="898"/>
      <c r="S76" s="81"/>
      <c r="Y76" s="897"/>
    </row>
    <row r="77" spans="1:25">
      <c r="A77" s="1179">
        <f t="shared" si="0"/>
        <v>66</v>
      </c>
      <c r="B77" s="707">
        <v>8770</v>
      </c>
      <c r="C77" s="81" t="s">
        <v>918</v>
      </c>
      <c r="D77" s="398">
        <f>VLOOKUP($B77,'[13]Div 9 forecast'!$D$590:$AF$671,18,FALSE)</f>
        <v>4039.58618615351</v>
      </c>
      <c r="E77" s="398">
        <f>VLOOKUP($B77,'[13]Div 9 forecast'!$D$590:$AF$671,19,FALSE)</f>
        <v>3055.9259714424929</v>
      </c>
      <c r="F77" s="398">
        <f>VLOOKUP($B77,'[13]Div 9 forecast'!$D$590:$AF$671,20,FALSE)</f>
        <v>3579.7737661378314</v>
      </c>
      <c r="G77" s="398">
        <f>VLOOKUP($B77,'[13]Div 9 forecast'!$D$590:$AF$671,21,FALSE)</f>
        <v>3697.2038369797224</v>
      </c>
      <c r="H77" s="398">
        <f>VLOOKUP($B77,'[13]Div 9 forecast'!$D$590:$AF$671,22,FALSE)</f>
        <v>3816.2739854644437</v>
      </c>
      <c r="I77" s="398">
        <f>VLOOKUP($B77,'[13]Div 9 forecast'!$D$590:$AF$671,23,FALSE)</f>
        <v>3008.7329579261705</v>
      </c>
      <c r="J77" s="398">
        <f>VLOOKUP($B77,'[13]Div 9 forecast'!$D$590:$AF$671,24,FALSE)</f>
        <v>2809.8196104786566</v>
      </c>
      <c r="K77" s="398">
        <f>VLOOKUP($B77,'[13]Div 9 forecast'!$D$590:$AF$671,25,FALSE)</f>
        <v>2860.7212723795883</v>
      </c>
      <c r="L77" s="398">
        <f>VLOOKUP($B77,'[13]Div 9 forecast'!$D$590:$AF$671,26,FALSE)</f>
        <v>2277.5577819320715</v>
      </c>
      <c r="M77" s="398">
        <f>VLOOKUP($B77,'[13]Div 9 forecast'!$D$590:$AF$671,27,FALSE)</f>
        <v>2941.1608014947833</v>
      </c>
      <c r="N77" s="398">
        <f>VLOOKUP($B77,'[13]Div 9 forecast'!$D$590:$AF$671,28,FALSE)</f>
        <v>2662.4599611011358</v>
      </c>
      <c r="O77" s="398">
        <f>VLOOKUP($B77,'[13]Div 9 forecast'!$D$590:$AF$671,29,FALSE)</f>
        <v>3536.5339552211976</v>
      </c>
      <c r="P77" s="81">
        <f t="shared" si="4"/>
        <v>38285.750086711603</v>
      </c>
      <c r="Q77" s="81"/>
      <c r="R77" s="898"/>
      <c r="S77" s="81"/>
      <c r="Y77" s="897"/>
    </row>
    <row r="78" spans="1:25">
      <c r="A78" s="1179">
        <f t="shared" si="0"/>
        <v>67</v>
      </c>
      <c r="B78" s="707">
        <v>8780</v>
      </c>
      <c r="C78" s="81" t="s">
        <v>919</v>
      </c>
      <c r="D78" s="398">
        <f>VLOOKUP($B78,'[13]Div 9 forecast'!$D$590:$AF$671,18,FALSE)</f>
        <v>68453.698252631511</v>
      </c>
      <c r="E78" s="398">
        <f>VLOOKUP($B78,'[13]Div 9 forecast'!$D$590:$AF$671,19,FALSE)</f>
        <v>68891.662741107066</v>
      </c>
      <c r="F78" s="398">
        <f>VLOOKUP($B78,'[13]Div 9 forecast'!$D$590:$AF$671,20,FALSE)</f>
        <v>62686.628535286276</v>
      </c>
      <c r="G78" s="398">
        <f>VLOOKUP($B78,'[13]Div 9 forecast'!$D$590:$AF$671,21,FALSE)</f>
        <v>68134.866551562576</v>
      </c>
      <c r="H78" s="398">
        <f>VLOOKUP($B78,'[13]Div 9 forecast'!$D$590:$AF$671,22,FALSE)</f>
        <v>66435.569454820215</v>
      </c>
      <c r="I78" s="398">
        <f>VLOOKUP($B78,'[13]Div 9 forecast'!$D$590:$AF$671,23,FALSE)</f>
        <v>64783.294933577141</v>
      </c>
      <c r="J78" s="398">
        <f>VLOOKUP($B78,'[13]Div 9 forecast'!$D$590:$AF$671,24,FALSE)</f>
        <v>72240.76468660211</v>
      </c>
      <c r="K78" s="398">
        <f>VLOOKUP($B78,'[13]Div 9 forecast'!$D$590:$AF$671,25,FALSE)</f>
        <v>71914.499521044549</v>
      </c>
      <c r="L78" s="398">
        <f>VLOOKUP($B78,'[13]Div 9 forecast'!$D$590:$AF$671,26,FALSE)</f>
        <v>68585.223797505867</v>
      </c>
      <c r="M78" s="398">
        <f>VLOOKUP($B78,'[13]Div 9 forecast'!$D$590:$AF$671,27,FALSE)</f>
        <v>75106.929945442374</v>
      </c>
      <c r="N78" s="398">
        <f>VLOOKUP($B78,'[13]Div 9 forecast'!$D$590:$AF$671,28,FALSE)</f>
        <v>65783.995596914232</v>
      </c>
      <c r="O78" s="398">
        <f>VLOOKUP($B78,'[13]Div 9 forecast'!$D$590:$AF$671,29,FALSE)</f>
        <v>67603.565167871173</v>
      </c>
      <c r="P78" s="81">
        <f t="shared" si="4"/>
        <v>820620.69918436499</v>
      </c>
      <c r="Q78" s="81"/>
      <c r="R78" s="898"/>
      <c r="S78" s="81"/>
      <c r="Y78" s="897"/>
    </row>
    <row r="79" spans="1:25">
      <c r="A79" s="1179">
        <f t="shared" si="0"/>
        <v>68</v>
      </c>
      <c r="B79" s="707">
        <v>8790</v>
      </c>
      <c r="C79" s="81" t="s">
        <v>920</v>
      </c>
      <c r="D79" s="398">
        <f>VLOOKUP($B79,'[13]Div 9 forecast'!$D$590:$AF$671,18,FALSE)</f>
        <v>240.72278379554564</v>
      </c>
      <c r="E79" s="398">
        <f>VLOOKUP($B79,'[13]Div 9 forecast'!$D$590:$AF$671,19,FALSE)</f>
        <v>170.79577956702408</v>
      </c>
      <c r="F79" s="398">
        <f>VLOOKUP($B79,'[13]Div 9 forecast'!$D$590:$AF$671,20,FALSE)</f>
        <v>167.35242280827273</v>
      </c>
      <c r="G79" s="398">
        <f>VLOOKUP($B79,'[13]Div 9 forecast'!$D$590:$AF$671,21,FALSE)</f>
        <v>225.8816145847091</v>
      </c>
      <c r="H79" s="398">
        <f>VLOOKUP($B79,'[13]Div 9 forecast'!$D$590:$AF$671,22,FALSE)</f>
        <v>204.66418374140375</v>
      </c>
      <c r="I79" s="398">
        <f>VLOOKUP($B79,'[13]Div 9 forecast'!$D$590:$AF$671,23,FALSE)</f>
        <v>150.13033466514543</v>
      </c>
      <c r="J79" s="398">
        <f>VLOOKUP($B79,'[13]Div 9 forecast'!$D$590:$AF$671,24,FALSE)</f>
        <v>172.18648656208362</v>
      </c>
      <c r="K79" s="398">
        <f>VLOOKUP($B79,'[13]Div 9 forecast'!$D$590:$AF$671,25,FALSE)</f>
        <v>179.42895845498668</v>
      </c>
      <c r="L79" s="398">
        <f>VLOOKUP($B79,'[13]Div 9 forecast'!$D$590:$AF$671,26,FALSE)</f>
        <v>134.38742606129762</v>
      </c>
      <c r="M79" s="398">
        <f>VLOOKUP($B79,'[13]Div 9 forecast'!$D$590:$AF$671,27,FALSE)</f>
        <v>208.60461474935477</v>
      </c>
      <c r="N79" s="398">
        <f>VLOOKUP($B79,'[13]Div 9 forecast'!$D$590:$AF$671,28,FALSE)</f>
        <v>186.78282168467345</v>
      </c>
      <c r="O79" s="398">
        <f>VLOOKUP($B79,'[13]Div 9 forecast'!$D$590:$AF$671,29,FALSE)</f>
        <v>205.36012105097114</v>
      </c>
      <c r="P79" s="81">
        <f t="shared" si="4"/>
        <v>2246.2975477254686</v>
      </c>
      <c r="Q79" s="81"/>
      <c r="R79" s="898"/>
      <c r="S79" s="81"/>
      <c r="Y79" s="897"/>
    </row>
    <row r="80" spans="1:25">
      <c r="A80" s="1179">
        <f t="shared" ref="A80:A111" si="5">A79+1</f>
        <v>69</v>
      </c>
      <c r="B80" s="707">
        <v>8800</v>
      </c>
      <c r="C80" s="81" t="s">
        <v>921</v>
      </c>
      <c r="D80" s="398">
        <f>VLOOKUP($B80,'[13]Div 9 forecast'!$D$590:$AF$671,18,FALSE)</f>
        <v>325.48982378775128</v>
      </c>
      <c r="E80" s="398">
        <f>VLOOKUP($B80,'[13]Div 9 forecast'!$D$590:$AF$671,19,FALSE)</f>
        <v>160.9145123217545</v>
      </c>
      <c r="F80" s="398">
        <f>VLOOKUP($B80,'[13]Div 9 forecast'!$D$590:$AF$671,20,FALSE)</f>
        <v>322.94909119891361</v>
      </c>
      <c r="G80" s="398">
        <f>VLOOKUP($B80,'[13]Div 9 forecast'!$D$590:$AF$671,21,FALSE)</f>
        <v>287.19076668936953</v>
      </c>
      <c r="H80" s="398">
        <f>VLOOKUP($B80,'[13]Div 9 forecast'!$D$590:$AF$671,22,FALSE)</f>
        <v>227.89088152966008</v>
      </c>
      <c r="I80" s="398">
        <f>VLOOKUP($B80,'[13]Div 9 forecast'!$D$590:$AF$671,23,FALSE)</f>
        <v>254.49499711105227</v>
      </c>
      <c r="J80" s="398">
        <f>VLOOKUP($B80,'[13]Div 9 forecast'!$D$590:$AF$671,24,FALSE)</f>
        <v>203.4600573209118</v>
      </c>
      <c r="K80" s="398">
        <f>VLOOKUP($B80,'[13]Div 9 forecast'!$D$590:$AF$671,25,FALSE)</f>
        <v>172.4930567824851</v>
      </c>
      <c r="L80" s="398">
        <f>VLOOKUP($B80,'[13]Div 9 forecast'!$D$590:$AF$671,26,FALSE)</f>
        <v>379.66884247692934</v>
      </c>
      <c r="M80" s="398">
        <f>VLOOKUP($B80,'[13]Div 9 forecast'!$D$590:$AF$671,27,FALSE)</f>
        <v>258.64088517215794</v>
      </c>
      <c r="N80" s="398">
        <f>VLOOKUP($B80,'[13]Div 9 forecast'!$D$590:$AF$671,28,FALSE)</f>
        <v>236.71303491108273</v>
      </c>
      <c r="O80" s="398">
        <f>VLOOKUP($B80,'[13]Div 9 forecast'!$D$590:$AF$671,29,FALSE)</f>
        <v>373.62434983512793</v>
      </c>
      <c r="P80" s="81">
        <f t="shared" si="4"/>
        <v>3203.5302991371959</v>
      </c>
      <c r="Q80" s="81"/>
      <c r="R80" s="81"/>
      <c r="S80" s="81"/>
      <c r="Y80" s="897"/>
    </row>
    <row r="81" spans="1:25">
      <c r="A81" s="1179">
        <f t="shared" si="5"/>
        <v>70</v>
      </c>
      <c r="B81" s="707">
        <v>8810</v>
      </c>
      <c r="C81" s="81" t="s">
        <v>922</v>
      </c>
      <c r="D81" s="398">
        <f>VLOOKUP($B81,'[13]Div 9 forecast'!$D$590:$AF$671,18,FALSE)</f>
        <v>31417.247383143338</v>
      </c>
      <c r="E81" s="398">
        <f>VLOOKUP($B81,'[13]Div 9 forecast'!$D$590:$AF$671,19,FALSE)</f>
        <v>30348.488952938951</v>
      </c>
      <c r="F81" s="398">
        <f>VLOOKUP($B81,'[13]Div 9 forecast'!$D$590:$AF$671,20,FALSE)</f>
        <v>30403.186567200759</v>
      </c>
      <c r="G81" s="398">
        <f>VLOOKUP($B81,'[13]Div 9 forecast'!$D$590:$AF$671,21,FALSE)</f>
        <v>27253.044448482113</v>
      </c>
      <c r="H81" s="398">
        <f>VLOOKUP($B81,'[13]Div 9 forecast'!$D$590:$AF$671,22,FALSE)</f>
        <v>30119.732721703032</v>
      </c>
      <c r="I81" s="398">
        <f>VLOOKUP($B81,'[13]Div 9 forecast'!$D$590:$AF$671,23,FALSE)</f>
        <v>28504.335685575323</v>
      </c>
      <c r="J81" s="398">
        <f>VLOOKUP($B81,'[13]Div 9 forecast'!$D$590:$AF$671,24,FALSE)</f>
        <v>29057.488305308038</v>
      </c>
      <c r="K81" s="398">
        <f>VLOOKUP($B81,'[13]Div 9 forecast'!$D$590:$AF$671,25,FALSE)</f>
        <v>31809.136003741121</v>
      </c>
      <c r="L81" s="398">
        <f>VLOOKUP($B81,'[13]Div 9 forecast'!$D$590:$AF$671,26,FALSE)</f>
        <v>32705.070598880568</v>
      </c>
      <c r="M81" s="398">
        <f>VLOOKUP($B81,'[13]Div 9 forecast'!$D$590:$AF$671,27,FALSE)</f>
        <v>34779.000929762115</v>
      </c>
      <c r="N81" s="398">
        <f>VLOOKUP($B81,'[13]Div 9 forecast'!$D$590:$AF$671,28,FALSE)</f>
        <v>30653.625959270012</v>
      </c>
      <c r="O81" s="398">
        <f>VLOOKUP($B81,'[13]Div 9 forecast'!$D$590:$AF$671,29,FALSE)</f>
        <v>32717.625066194447</v>
      </c>
      <c r="P81" s="81">
        <f t="shared" si="4"/>
        <v>369767.98262219987</v>
      </c>
      <c r="Q81" s="81"/>
      <c r="R81" s="81"/>
      <c r="S81" s="81"/>
      <c r="Y81" s="897"/>
    </row>
    <row r="82" spans="1:25">
      <c r="A82" s="1179">
        <f t="shared" si="5"/>
        <v>71</v>
      </c>
      <c r="B82" s="707">
        <v>8850</v>
      </c>
      <c r="C82" s="81" t="s">
        <v>923</v>
      </c>
      <c r="D82" s="398">
        <f>VLOOKUP($B82,'[13]Div 9 forecast'!$D$590:$AF$671,18,FALSE)</f>
        <v>91.809005761366336</v>
      </c>
      <c r="E82" s="398">
        <f>VLOOKUP($B82,'[13]Div 9 forecast'!$D$590:$AF$671,19,FALSE)</f>
        <v>38.313796409868353</v>
      </c>
      <c r="F82" s="398">
        <f>VLOOKUP($B82,'[13]Div 9 forecast'!$D$590:$AF$671,20,FALSE)</f>
        <v>209.39576248637513</v>
      </c>
      <c r="G82" s="398">
        <f>VLOOKUP($B82,'[13]Div 9 forecast'!$D$590:$AF$671,21,FALSE)</f>
        <v>144.35837900447743</v>
      </c>
      <c r="H82" s="398">
        <f>VLOOKUP($B82,'[13]Div 9 forecast'!$D$590:$AF$671,22,FALSE)</f>
        <v>83.016275409155355</v>
      </c>
      <c r="I82" s="398">
        <f>VLOOKUP($B82,'[13]Div 9 forecast'!$D$590:$AF$671,23,FALSE)</f>
        <v>122.06546797101014</v>
      </c>
      <c r="J82" s="398">
        <f>VLOOKUP($B82,'[13]Div 9 forecast'!$D$590:$AF$671,24,FALSE)</f>
        <v>106.60156226182119</v>
      </c>
      <c r="K82" s="398">
        <f>VLOOKUP($B82,'[13]Div 9 forecast'!$D$590:$AF$671,25,FALSE)</f>
        <v>56.714711945342145</v>
      </c>
      <c r="L82" s="398">
        <f>VLOOKUP($B82,'[13]Div 9 forecast'!$D$590:$AF$671,26,FALSE)</f>
        <v>278.14672498149207</v>
      </c>
      <c r="M82" s="398">
        <f>VLOOKUP($B82,'[13]Div 9 forecast'!$D$590:$AF$671,27,FALSE)</f>
        <v>92.041175930655982</v>
      </c>
      <c r="N82" s="398">
        <f>VLOOKUP($B82,'[13]Div 9 forecast'!$D$590:$AF$671,28,FALSE)</f>
        <v>165.14961795776091</v>
      </c>
      <c r="O82" s="398">
        <f>VLOOKUP($B82,'[13]Div 9 forecast'!$D$590:$AF$671,29,FALSE)</f>
        <v>200.40746021816156</v>
      </c>
      <c r="P82" s="81">
        <f t="shared" si="4"/>
        <v>1588.0199403374866</v>
      </c>
      <c r="Q82" s="81"/>
      <c r="R82" s="81"/>
      <c r="S82" s="81"/>
      <c r="Y82" s="897"/>
    </row>
    <row r="83" spans="1:25">
      <c r="A83" s="1179">
        <f t="shared" si="5"/>
        <v>72</v>
      </c>
      <c r="B83" s="707">
        <v>8860</v>
      </c>
      <c r="C83" s="81" t="s">
        <v>924</v>
      </c>
      <c r="D83" s="398">
        <f>VLOOKUP($B83,'[13]Div 9 forecast'!$D$590:$AF$671,18,FALSE)</f>
        <v>10.51970051761605</v>
      </c>
      <c r="E83" s="398">
        <f>VLOOKUP($B83,'[13]Div 9 forecast'!$D$590:$AF$671,19,FALSE)</f>
        <v>7.4638570657436327</v>
      </c>
      <c r="F83" s="398">
        <f>VLOOKUP($B83,'[13]Div 9 forecast'!$D$590:$AF$671,20,FALSE)</f>
        <v>7.3133807323187963</v>
      </c>
      <c r="G83" s="398">
        <f>VLOOKUP($B83,'[13]Div 9 forecast'!$D$590:$AF$671,21,FALSE)</f>
        <v>9.8711343413380845</v>
      </c>
      <c r="H83" s="398">
        <f>VLOOKUP($B83,'[13]Div 9 forecast'!$D$590:$AF$671,22,FALSE)</f>
        <v>8.9439224891588793</v>
      </c>
      <c r="I83" s="398">
        <f>VLOOKUP($B83,'[13]Div 9 forecast'!$D$590:$AF$671,23,FALSE)</f>
        <v>6.5607672625960438</v>
      </c>
      <c r="J83" s="398">
        <f>VLOOKUP($B83,'[13]Div 9 forecast'!$D$590:$AF$671,24,FALSE)</f>
        <v>7.5246316250317378</v>
      </c>
      <c r="K83" s="398">
        <f>VLOOKUP($B83,'[13]Div 9 forecast'!$D$590:$AF$671,25,FALSE)</f>
        <v>7.8411311026437183</v>
      </c>
      <c r="L83" s="398">
        <f>VLOOKUP($B83,'[13]Div 9 forecast'!$D$590:$AF$671,26,FALSE)</f>
        <v>5.8727946445602743</v>
      </c>
      <c r="M83" s="398">
        <f>VLOOKUP($B83,'[13]Div 9 forecast'!$D$590:$AF$671,27,FALSE)</f>
        <v>9.1161212044627842</v>
      </c>
      <c r="N83" s="398">
        <f>VLOOKUP($B83,'[13]Div 9 forecast'!$D$590:$AF$671,28,FALSE)</f>
        <v>8.1624984348257801</v>
      </c>
      <c r="O83" s="398">
        <f>VLOOKUP($B83,'[13]Div 9 forecast'!$D$590:$AF$671,29,FALSE)</f>
        <v>8.974335281667555</v>
      </c>
      <c r="P83" s="81">
        <f t="shared" si="4"/>
        <v>98.164274701963336</v>
      </c>
      <c r="Q83" s="81"/>
      <c r="R83" s="81"/>
      <c r="S83" s="81"/>
      <c r="Y83" s="897"/>
    </row>
    <row r="84" spans="1:25">
      <c r="A84" s="1179">
        <f t="shared" si="5"/>
        <v>73</v>
      </c>
      <c r="B84" s="707">
        <v>8870</v>
      </c>
      <c r="C84" s="81" t="s">
        <v>925</v>
      </c>
      <c r="D84" s="398">
        <f>VLOOKUP($B84,'[13]Div 9 forecast'!$D$590:$AF$671,18,FALSE)</f>
        <v>2528.8387630086031</v>
      </c>
      <c r="E84" s="398">
        <f>VLOOKUP($B84,'[13]Div 9 forecast'!$D$590:$AF$671,19,FALSE)</f>
        <v>2424.7777058425445</v>
      </c>
      <c r="F84" s="398">
        <f>VLOOKUP($B84,'[13]Div 9 forecast'!$D$590:$AF$671,20,FALSE)</f>
        <v>2401.8107847534752</v>
      </c>
      <c r="G84" s="398">
        <f>VLOOKUP($B84,'[13]Div 9 forecast'!$D$590:$AF$671,21,FALSE)</f>
        <v>2509.0202698271655</v>
      </c>
      <c r="H84" s="398">
        <f>VLOOKUP($B84,'[13]Div 9 forecast'!$D$590:$AF$671,22,FALSE)</f>
        <v>2510.1647240013936</v>
      </c>
      <c r="I84" s="398">
        <f>VLOOKUP($B84,'[13]Div 9 forecast'!$D$590:$AF$671,23,FALSE)</f>
        <v>2304.1495914262241</v>
      </c>
      <c r="J84" s="398">
        <f>VLOOKUP($B84,'[13]Div 9 forecast'!$D$590:$AF$671,24,FALSE)</f>
        <v>2451.07150229329</v>
      </c>
      <c r="K84" s="398">
        <f>VLOOKUP($B84,'[13]Div 9 forecast'!$D$590:$AF$671,25,FALSE)</f>
        <v>2406.4915830647096</v>
      </c>
      <c r="L84" s="398">
        <f>VLOOKUP($B84,'[13]Div 9 forecast'!$D$590:$AF$671,26,FALSE)</f>
        <v>2237.582890117068</v>
      </c>
      <c r="M84" s="398">
        <f>VLOOKUP($B84,'[13]Div 9 forecast'!$D$590:$AF$671,27,FALSE)</f>
        <v>2475.8745311587495</v>
      </c>
      <c r="N84" s="398">
        <f>VLOOKUP($B84,'[13]Div 9 forecast'!$D$590:$AF$671,28,FALSE)</f>
        <v>2171.6002295944277</v>
      </c>
      <c r="O84" s="398">
        <f>VLOOKUP($B84,'[13]Div 9 forecast'!$D$590:$AF$671,29,FALSE)</f>
        <v>2430.7185175268528</v>
      </c>
      <c r="P84" s="81">
        <f t="shared" si="4"/>
        <v>28852.101092614503</v>
      </c>
      <c r="Q84" s="81"/>
      <c r="R84" s="153"/>
      <c r="S84" s="81"/>
      <c r="Y84" s="897"/>
    </row>
    <row r="85" spans="1:25">
      <c r="A85" s="1179">
        <f t="shared" si="5"/>
        <v>74</v>
      </c>
      <c r="B85" s="707">
        <v>8890</v>
      </c>
      <c r="C85" s="703" t="s">
        <v>926</v>
      </c>
      <c r="D85" s="398">
        <f>VLOOKUP($B85,'[13]Div 9 forecast'!$D$590:$AF$671,18,FALSE)</f>
        <v>5625.9179879620015</v>
      </c>
      <c r="E85" s="398">
        <f>VLOOKUP($B85,'[13]Div 9 forecast'!$D$590:$AF$671,19,FALSE)</f>
        <v>5457.6689069839194</v>
      </c>
      <c r="F85" s="398">
        <f>VLOOKUP($B85,'[13]Div 9 forecast'!$D$590:$AF$671,20,FALSE)</f>
        <v>4991.5630905332828</v>
      </c>
      <c r="G85" s="398">
        <f>VLOOKUP($B85,'[13]Div 9 forecast'!$D$590:$AF$671,21,FALSE)</f>
        <v>5593.6644483674327</v>
      </c>
      <c r="H85" s="398">
        <f>VLOOKUP($B85,'[13]Div 9 forecast'!$D$590:$AF$671,22,FALSE)</f>
        <v>5397.8511047554057</v>
      </c>
      <c r="I85" s="398">
        <f>VLOOKUP($B85,'[13]Div 9 forecast'!$D$590:$AF$671,23,FALSE)</f>
        <v>4992.0436985241413</v>
      </c>
      <c r="J85" s="398">
        <f>VLOOKUP($B85,'[13]Div 9 forecast'!$D$590:$AF$671,24,FALSE)</f>
        <v>5666.9948840909965</v>
      </c>
      <c r="K85" s="398">
        <f>VLOOKUP($B85,'[13]Div 9 forecast'!$D$590:$AF$671,25,FALSE)</f>
        <v>5665.6621402138844</v>
      </c>
      <c r="L85" s="398">
        <f>VLOOKUP($B85,'[13]Div 9 forecast'!$D$590:$AF$671,26,FALSE)</f>
        <v>5308.9422485996483</v>
      </c>
      <c r="M85" s="398">
        <f>VLOOKUP($B85,'[13]Div 9 forecast'!$D$590:$AF$671,27,FALSE)</f>
        <v>6083.610924889661</v>
      </c>
      <c r="N85" s="398">
        <f>VLOOKUP($B85,'[13]Div 9 forecast'!$D$590:$AF$671,28,FALSE)</f>
        <v>5311.4378469290477</v>
      </c>
      <c r="O85" s="398">
        <f>VLOOKUP($B85,'[13]Div 9 forecast'!$D$590:$AF$671,29,FALSE)</f>
        <v>5476.5097025062505</v>
      </c>
      <c r="P85" s="81">
        <f t="shared" si="4"/>
        <v>65571.866984355671</v>
      </c>
      <c r="Q85" s="81"/>
      <c r="R85" s="81"/>
      <c r="S85" s="81"/>
      <c r="Y85" s="897"/>
    </row>
    <row r="86" spans="1:25">
      <c r="A86" s="1179">
        <f t="shared" si="5"/>
        <v>75</v>
      </c>
      <c r="B86" s="707">
        <v>8900</v>
      </c>
      <c r="C86" s="81" t="s">
        <v>927</v>
      </c>
      <c r="D86" s="398">
        <f>VLOOKUP($B86,'[13]Div 9 forecast'!$D$590:$AF$671,18,FALSE)</f>
        <v>168.43859336191375</v>
      </c>
      <c r="E86" s="398">
        <f>VLOOKUP($B86,'[13]Div 9 forecast'!$D$590:$AF$671,19,FALSE)</f>
        <v>136.51089824231244</v>
      </c>
      <c r="F86" s="398">
        <f>VLOOKUP($B86,'[13]Div 9 forecast'!$D$590:$AF$671,20,FALSE)</f>
        <v>129.1847478630124</v>
      </c>
      <c r="G86" s="398">
        <f>VLOOKUP($B86,'[13]Div 9 forecast'!$D$590:$AF$671,21,FALSE)</f>
        <v>162.59712378352361</v>
      </c>
      <c r="H86" s="398">
        <f>VLOOKUP($B86,'[13]Div 9 forecast'!$D$590:$AF$671,22,FALSE)</f>
        <v>150.3314549857817</v>
      </c>
      <c r="I86" s="398">
        <f>VLOOKUP($B86,'[13]Div 9 forecast'!$D$590:$AF$671,23,FALSE)</f>
        <v>122.13660342697477</v>
      </c>
      <c r="J86" s="398">
        <f>VLOOKUP($B86,'[13]Div 9 forecast'!$D$590:$AF$671,24,FALSE)</f>
        <v>140.12944392798698</v>
      </c>
      <c r="K86" s="398">
        <f>VLOOKUP($B86,'[13]Div 9 forecast'!$D$590:$AF$671,25,FALSE)</f>
        <v>142.5612521467956</v>
      </c>
      <c r="L86" s="398">
        <f>VLOOKUP($B86,'[13]Div 9 forecast'!$D$590:$AF$671,26,FALSE)</f>
        <v>118.6731354829858</v>
      </c>
      <c r="M86" s="398">
        <f>VLOOKUP($B86,'[13]Div 9 forecast'!$D$590:$AF$671,27,FALSE)</f>
        <v>159.82450306749433</v>
      </c>
      <c r="N86" s="398">
        <f>VLOOKUP($B86,'[13]Div 9 forecast'!$D$590:$AF$671,28,FALSE)</f>
        <v>141.49406816701401</v>
      </c>
      <c r="O86" s="398">
        <f>VLOOKUP($B86,'[13]Div 9 forecast'!$D$590:$AF$671,29,FALSE)</f>
        <v>151.16140975095274</v>
      </c>
      <c r="P86" s="81">
        <f t="shared" si="4"/>
        <v>1723.0432342067479</v>
      </c>
      <c r="Q86" s="81"/>
      <c r="R86" s="81"/>
      <c r="S86" s="81"/>
      <c r="Y86" s="897"/>
    </row>
    <row r="87" spans="1:25">
      <c r="A87" s="1179">
        <f t="shared" si="5"/>
        <v>76</v>
      </c>
      <c r="B87" s="707">
        <v>8910</v>
      </c>
      <c r="C87" s="81" t="s">
        <v>928</v>
      </c>
      <c r="D87" s="398">
        <f>VLOOKUP($B87,'[13]Div 9 forecast'!$D$590:$AF$671,18,FALSE)</f>
        <v>67.787670593269155</v>
      </c>
      <c r="E87" s="398">
        <f>VLOOKUP($B87,'[13]Div 9 forecast'!$D$590:$AF$671,19,FALSE)</f>
        <v>65.83691634429546</v>
      </c>
      <c r="F87" s="398">
        <f>VLOOKUP($B87,'[13]Div 9 forecast'!$D$590:$AF$671,20,FALSE)</f>
        <v>64.742818618311006</v>
      </c>
      <c r="G87" s="398">
        <f>VLOOKUP($B87,'[13]Div 9 forecast'!$D$590:$AF$671,21,FALSE)</f>
        <v>58.473301168537567</v>
      </c>
      <c r="H87" s="398">
        <f>VLOOKUP($B87,'[13]Div 9 forecast'!$D$590:$AF$671,22,FALSE)</f>
        <v>65.182220438447843</v>
      </c>
      <c r="I87" s="398">
        <f>VLOOKUP($B87,'[13]Div 9 forecast'!$D$590:$AF$671,23,FALSE)</f>
        <v>61.321239658524398</v>
      </c>
      <c r="J87" s="398">
        <f>VLOOKUP($B87,'[13]Div 9 forecast'!$D$590:$AF$671,24,FALSE)</f>
        <v>62.635753932720831</v>
      </c>
      <c r="K87" s="398">
        <f>VLOOKUP($B87,'[13]Div 9 forecast'!$D$590:$AF$671,25,FALSE)</f>
        <v>69.158004642662135</v>
      </c>
      <c r="L87" s="398">
        <f>VLOOKUP($B87,'[13]Div 9 forecast'!$D$590:$AF$671,26,FALSE)</f>
        <v>69.208626625026596</v>
      </c>
      <c r="M87" s="398">
        <f>VLOOKUP($B87,'[13]Div 9 forecast'!$D$590:$AF$671,27,FALSE)</f>
        <v>75.080927239966911</v>
      </c>
      <c r="N87" s="398">
        <f>VLOOKUP($B87,'[13]Div 9 forecast'!$D$590:$AF$671,28,FALSE)</f>
        <v>65.870513671876651</v>
      </c>
      <c r="O87" s="398">
        <f>VLOOKUP($B87,'[13]Div 9 forecast'!$D$590:$AF$671,29,FALSE)</f>
        <v>69.883285068562586</v>
      </c>
      <c r="P87" s="81">
        <f t="shared" si="4"/>
        <v>795.18127800220111</v>
      </c>
      <c r="Q87" s="81"/>
      <c r="R87" s="81"/>
      <c r="S87" s="81"/>
      <c r="Y87" s="897"/>
    </row>
    <row r="88" spans="1:25">
      <c r="A88" s="1179">
        <f t="shared" si="5"/>
        <v>77</v>
      </c>
      <c r="B88" s="707">
        <v>8920</v>
      </c>
      <c r="C88" s="81" t="s">
        <v>929</v>
      </c>
      <c r="D88" s="398">
        <f>VLOOKUP($B88,'[13]Div 9 forecast'!$D$590:$AF$671,18,FALSE)</f>
        <v>536.5064941738882</v>
      </c>
      <c r="E88" s="398">
        <f>VLOOKUP($B88,'[13]Div 9 forecast'!$D$590:$AF$671,19,FALSE)</f>
        <v>552.19025274869819</v>
      </c>
      <c r="F88" s="398">
        <f>VLOOKUP($B88,'[13]Div 9 forecast'!$D$590:$AF$671,20,FALSE)</f>
        <v>494.90991399459926</v>
      </c>
      <c r="G88" s="398">
        <f>VLOOKUP($B88,'[13]Div 9 forecast'!$D$590:$AF$671,21,FALSE)</f>
        <v>549.26654460093937</v>
      </c>
      <c r="H88" s="398">
        <f>VLOOKUP($B88,'[13]Div 9 forecast'!$D$590:$AF$671,22,FALSE)</f>
        <v>528.01463122189625</v>
      </c>
      <c r="I88" s="398">
        <f>VLOOKUP($B88,'[13]Div 9 forecast'!$D$590:$AF$671,23,FALSE)</f>
        <v>506.99750844813644</v>
      </c>
      <c r="J88" s="398">
        <f>VLOOKUP($B88,'[13]Div 9 forecast'!$D$590:$AF$671,24,FALSE)</f>
        <v>581.98003239705145</v>
      </c>
      <c r="K88" s="398">
        <f>VLOOKUP($B88,'[13]Div 9 forecast'!$D$590:$AF$671,25,FALSE)</f>
        <v>571.52758584275932</v>
      </c>
      <c r="L88" s="398">
        <f>VLOOKUP($B88,'[13]Div 9 forecast'!$D$590:$AF$671,26,FALSE)</f>
        <v>548.10577258553008</v>
      </c>
      <c r="M88" s="398">
        <f>VLOOKUP($B88,'[13]Div 9 forecast'!$D$590:$AF$671,27,FALSE)</f>
        <v>604.75585305191919</v>
      </c>
      <c r="N88" s="398">
        <f>VLOOKUP($B88,'[13]Div 9 forecast'!$D$590:$AF$671,28,FALSE)</f>
        <v>525.23513104503434</v>
      </c>
      <c r="O88" s="398">
        <f>VLOOKUP($B88,'[13]Div 9 forecast'!$D$590:$AF$671,29,FALSE)</f>
        <v>533.02620383166732</v>
      </c>
      <c r="P88" s="81">
        <f t="shared" si="4"/>
        <v>6532.5159239421191</v>
      </c>
      <c r="Q88" s="81"/>
      <c r="R88" s="81"/>
      <c r="S88" s="81"/>
      <c r="Y88" s="897"/>
    </row>
    <row r="89" spans="1:25">
      <c r="A89" s="1179">
        <f t="shared" si="5"/>
        <v>78</v>
      </c>
      <c r="B89" s="707">
        <v>8930</v>
      </c>
      <c r="C89" s="81" t="s">
        <v>930</v>
      </c>
      <c r="D89" s="398">
        <f>VLOOKUP($B89,'[13]Div 9 forecast'!$D$590:$AF$671,18,FALSE)</f>
        <v>0</v>
      </c>
      <c r="E89" s="398">
        <f>VLOOKUP($B89,'[13]Div 9 forecast'!$D$590:$AF$671,19,FALSE)</f>
        <v>0</v>
      </c>
      <c r="F89" s="398">
        <f>VLOOKUP($B89,'[13]Div 9 forecast'!$D$590:$AF$671,20,FALSE)</f>
        <v>0</v>
      </c>
      <c r="G89" s="398">
        <f>VLOOKUP($B89,'[13]Div 9 forecast'!$D$590:$AF$671,21,FALSE)</f>
        <v>0</v>
      </c>
      <c r="H89" s="398">
        <f>VLOOKUP($B89,'[13]Div 9 forecast'!$D$590:$AF$671,22,FALSE)</f>
        <v>0</v>
      </c>
      <c r="I89" s="398">
        <f>VLOOKUP($B89,'[13]Div 9 forecast'!$D$590:$AF$671,23,FALSE)</f>
        <v>0</v>
      </c>
      <c r="J89" s="398">
        <f>VLOOKUP($B89,'[13]Div 9 forecast'!$D$590:$AF$671,24,FALSE)</f>
        <v>0</v>
      </c>
      <c r="K89" s="398">
        <f>VLOOKUP($B89,'[13]Div 9 forecast'!$D$590:$AF$671,25,FALSE)</f>
        <v>0</v>
      </c>
      <c r="L89" s="398">
        <f>VLOOKUP($B89,'[13]Div 9 forecast'!$D$590:$AF$671,26,FALSE)</f>
        <v>0</v>
      </c>
      <c r="M89" s="398">
        <f>VLOOKUP($B89,'[13]Div 9 forecast'!$D$590:$AF$671,27,FALSE)</f>
        <v>0</v>
      </c>
      <c r="N89" s="398">
        <f>VLOOKUP($B89,'[13]Div 9 forecast'!$D$590:$AF$671,28,FALSE)</f>
        <v>0</v>
      </c>
      <c r="O89" s="398">
        <f>VLOOKUP($B89,'[13]Div 9 forecast'!$D$590:$AF$671,29,FALSE)</f>
        <v>0</v>
      </c>
      <c r="P89" s="81">
        <f t="shared" si="4"/>
        <v>0</v>
      </c>
      <c r="Q89" s="81"/>
      <c r="R89" s="81"/>
      <c r="S89" s="81"/>
      <c r="Y89" s="897"/>
    </row>
    <row r="90" spans="1:25">
      <c r="A90" s="1179">
        <f t="shared" si="5"/>
        <v>79</v>
      </c>
      <c r="B90" s="707">
        <v>8940</v>
      </c>
      <c r="C90" s="81" t="s">
        <v>931</v>
      </c>
      <c r="D90" s="398">
        <f>VLOOKUP($B90,'[13]Div 9 forecast'!$D$590:$AF$671,18,FALSE)</f>
        <v>627.93268145907905</v>
      </c>
      <c r="E90" s="398">
        <f>VLOOKUP($B90,'[13]Div 9 forecast'!$D$590:$AF$671,19,FALSE)</f>
        <v>446.53426664328902</v>
      </c>
      <c r="F90" s="398">
        <f>VLOOKUP($B90,'[13]Div 9 forecast'!$D$590:$AF$671,20,FALSE)</f>
        <v>437.24166655118466</v>
      </c>
      <c r="G90" s="398">
        <f>VLOOKUP($B90,'[13]Div 9 forecast'!$D$590:$AF$671,21,FALSE)</f>
        <v>590.0485575262901</v>
      </c>
      <c r="H90" s="398">
        <f>VLOOKUP($B90,'[13]Div 9 forecast'!$D$590:$AF$671,22,FALSE)</f>
        <v>534.31122055344485</v>
      </c>
      <c r="I90" s="398">
        <f>VLOOKUP($B90,'[13]Div 9 forecast'!$D$590:$AF$671,23,FALSE)</f>
        <v>392.88386392035517</v>
      </c>
      <c r="J90" s="398">
        <f>VLOOKUP($B90,'[13]Div 9 forecast'!$D$590:$AF$671,24,FALSE)</f>
        <v>449.47611862145368</v>
      </c>
      <c r="K90" s="398">
        <f>VLOOKUP($B90,'[13]Div 9 forecast'!$D$590:$AF$671,25,FALSE)</f>
        <v>468.26758060475908</v>
      </c>
      <c r="L90" s="398">
        <f>VLOOKUP($B90,'[13]Div 9 forecast'!$D$590:$AF$671,26,FALSE)</f>
        <v>351.43612554071899</v>
      </c>
      <c r="M90" s="398">
        <f>VLOOKUP($B90,'[13]Div 9 forecast'!$D$590:$AF$671,27,FALSE)</f>
        <v>544.54803945907895</v>
      </c>
      <c r="N90" s="398">
        <f>VLOOKUP($B90,'[13]Div 9 forecast'!$D$590:$AF$671,28,FALSE)</f>
        <v>487.59362115175389</v>
      </c>
      <c r="O90" s="398">
        <f>VLOOKUP($B90,'[13]Div 9 forecast'!$D$590:$AF$671,29,FALSE)</f>
        <v>535.92201480345989</v>
      </c>
      <c r="P90" s="81">
        <f t="shared" si="4"/>
        <v>5866.1957568348671</v>
      </c>
      <c r="Q90" s="81"/>
      <c r="R90" s="81"/>
      <c r="S90" s="81"/>
      <c r="Y90" s="897"/>
    </row>
    <row r="91" spans="1:25">
      <c r="A91" s="1179">
        <f t="shared" si="5"/>
        <v>80</v>
      </c>
      <c r="B91" s="830">
        <v>9010</v>
      </c>
      <c r="C91" s="80" t="s">
        <v>181</v>
      </c>
      <c r="D91" s="398">
        <f>VLOOKUP($B91,'[13]Div 9 forecast'!$D$590:$AF$671,18,FALSE)</f>
        <v>0</v>
      </c>
      <c r="E91" s="398">
        <f>VLOOKUP($B91,'[13]Div 9 forecast'!$D$590:$AF$671,19,FALSE)</f>
        <v>0</v>
      </c>
      <c r="F91" s="398">
        <f>VLOOKUP($B91,'[13]Div 9 forecast'!$D$590:$AF$671,20,FALSE)</f>
        <v>0</v>
      </c>
      <c r="G91" s="398">
        <f>VLOOKUP($B91,'[13]Div 9 forecast'!$D$590:$AF$671,21,FALSE)</f>
        <v>0</v>
      </c>
      <c r="H91" s="398">
        <f>VLOOKUP($B91,'[13]Div 9 forecast'!$D$590:$AF$671,22,FALSE)</f>
        <v>0</v>
      </c>
      <c r="I91" s="398">
        <f>VLOOKUP($B91,'[13]Div 9 forecast'!$D$590:$AF$671,23,FALSE)</f>
        <v>0</v>
      </c>
      <c r="J91" s="398">
        <f>VLOOKUP($B91,'[13]Div 9 forecast'!$D$590:$AF$671,24,FALSE)</f>
        <v>0</v>
      </c>
      <c r="K91" s="398">
        <f>VLOOKUP($B91,'[13]Div 9 forecast'!$D$590:$AF$671,25,FALSE)</f>
        <v>0</v>
      </c>
      <c r="L91" s="398">
        <f>VLOOKUP($B91,'[13]Div 9 forecast'!$D$590:$AF$671,26,FALSE)</f>
        <v>0</v>
      </c>
      <c r="M91" s="398">
        <f>VLOOKUP($B91,'[13]Div 9 forecast'!$D$590:$AF$671,27,FALSE)</f>
        <v>0</v>
      </c>
      <c r="N91" s="398">
        <f>VLOOKUP($B91,'[13]Div 9 forecast'!$D$590:$AF$671,28,FALSE)</f>
        <v>0</v>
      </c>
      <c r="O91" s="398">
        <f>VLOOKUP($B91,'[13]Div 9 forecast'!$D$590:$AF$671,29,FALSE)</f>
        <v>0</v>
      </c>
      <c r="P91" s="81">
        <f t="shared" si="4"/>
        <v>0</v>
      </c>
      <c r="Q91" s="81"/>
      <c r="R91" s="81"/>
      <c r="S91" s="81"/>
      <c r="Y91" s="897"/>
    </row>
    <row r="92" spans="1:25">
      <c r="A92" s="1179">
        <f t="shared" si="5"/>
        <v>81</v>
      </c>
      <c r="B92" s="707">
        <v>9020</v>
      </c>
      <c r="C92" s="81" t="s">
        <v>932</v>
      </c>
      <c r="D92" s="398">
        <f>VLOOKUP($B92,'[13]Div 9 forecast'!$D$590:$AF$671,18,FALSE)</f>
        <v>101859.78509519991</v>
      </c>
      <c r="E92" s="398">
        <f>VLOOKUP($B92,'[13]Div 9 forecast'!$D$590:$AF$671,19,FALSE)</f>
        <v>91690.377144539612</v>
      </c>
      <c r="F92" s="398">
        <f>VLOOKUP($B92,'[13]Div 9 forecast'!$D$590:$AF$671,20,FALSE)</f>
        <v>100423.06798900189</v>
      </c>
      <c r="G92" s="398">
        <f>VLOOKUP($B92,'[13]Div 9 forecast'!$D$590:$AF$671,21,FALSE)</f>
        <v>100349.535599981</v>
      </c>
      <c r="H92" s="398">
        <f>VLOOKUP($B92,'[13]Div 9 forecast'!$D$590:$AF$671,22,FALSE)</f>
        <v>102527.29425071836</v>
      </c>
      <c r="I92" s="398">
        <f>VLOOKUP($B92,'[13]Div 9 forecast'!$D$590:$AF$671,23,FALSE)</f>
        <v>91806.436020106325</v>
      </c>
      <c r="J92" s="398">
        <f>VLOOKUP($B92,'[13]Div 9 forecast'!$D$590:$AF$671,24,FALSE)</f>
        <v>84755.203338700405</v>
      </c>
      <c r="K92" s="398">
        <f>VLOOKUP($B92,'[13]Div 9 forecast'!$D$590:$AF$671,25,FALSE)</f>
        <v>83287.36758478827</v>
      </c>
      <c r="L92" s="398">
        <f>VLOOKUP($B92,'[13]Div 9 forecast'!$D$590:$AF$671,26,FALSE)</f>
        <v>75580.466890275464</v>
      </c>
      <c r="M92" s="398">
        <f>VLOOKUP($B92,'[13]Div 9 forecast'!$D$590:$AF$671,27,FALSE)</f>
        <v>83720.806079031201</v>
      </c>
      <c r="N92" s="398">
        <f>VLOOKUP($B92,'[13]Div 9 forecast'!$D$590:$AF$671,28,FALSE)</f>
        <v>74772.96958736307</v>
      </c>
      <c r="O92" s="398">
        <f>VLOOKUP($B92,'[13]Div 9 forecast'!$D$590:$AF$671,29,FALSE)</f>
        <v>94273.742139012145</v>
      </c>
      <c r="P92" s="81">
        <f t="shared" si="4"/>
        <v>1085047.0517187177</v>
      </c>
      <c r="Q92" s="81"/>
      <c r="R92" s="81"/>
      <c r="S92" s="81"/>
      <c r="Y92" s="897"/>
    </row>
    <row r="93" spans="1:25">
      <c r="A93" s="1179">
        <f t="shared" si="5"/>
        <v>82</v>
      </c>
      <c r="B93" s="707">
        <v>9030</v>
      </c>
      <c r="C93" s="81" t="s">
        <v>937</v>
      </c>
      <c r="D93" s="398">
        <f>VLOOKUP($B93,'[13]Div 9 forecast'!$D$590:$AF$671,18,FALSE)</f>
        <v>120600.1394719446</v>
      </c>
      <c r="E93" s="398">
        <f>VLOOKUP($B93,'[13]Div 9 forecast'!$D$590:$AF$671,19,FALSE)</f>
        <v>101158.86803638944</v>
      </c>
      <c r="F93" s="398">
        <f>VLOOKUP($B93,'[13]Div 9 forecast'!$D$590:$AF$671,20,FALSE)</f>
        <v>119240.77716597277</v>
      </c>
      <c r="G93" s="398">
        <f>VLOOKUP($B93,'[13]Div 9 forecast'!$D$590:$AF$671,21,FALSE)</f>
        <v>113238.38009706803</v>
      </c>
      <c r="H93" s="398">
        <f>VLOOKUP($B93,'[13]Div 9 forecast'!$D$590:$AF$671,22,FALSE)</f>
        <v>120905.0446199939</v>
      </c>
      <c r="I93" s="398">
        <f>VLOOKUP($B93,'[13]Div 9 forecast'!$D$590:$AF$671,23,FALSE)</f>
        <v>102644.3210688199</v>
      </c>
      <c r="J93" s="398">
        <f>VLOOKUP($B93,'[13]Div 9 forecast'!$D$590:$AF$671,24,FALSE)</f>
        <v>93659.604197432709</v>
      </c>
      <c r="K93" s="398">
        <f>VLOOKUP($B93,'[13]Div 9 forecast'!$D$590:$AF$671,25,FALSE)</f>
        <v>92058.885239787283</v>
      </c>
      <c r="L93" s="398">
        <f>VLOOKUP($B93,'[13]Div 9 forecast'!$D$590:$AF$671,26,FALSE)</f>
        <v>79267.756718906196</v>
      </c>
      <c r="M93" s="398">
        <f>VLOOKUP($B93,'[13]Div 9 forecast'!$D$590:$AF$671,27,FALSE)</f>
        <v>88775.480957141117</v>
      </c>
      <c r="N93" s="398">
        <f>VLOOKUP($B93,'[13]Div 9 forecast'!$D$590:$AF$671,28,FALSE)</f>
        <v>79887.838424148766</v>
      </c>
      <c r="O93" s="398">
        <f>VLOOKUP($B93,'[13]Div 9 forecast'!$D$590:$AF$671,29,FALSE)</f>
        <v>109365.28232193019</v>
      </c>
      <c r="P93" s="81">
        <f t="shared" si="4"/>
        <v>1220802.3783195349</v>
      </c>
      <c r="Q93" s="81"/>
      <c r="R93" s="81"/>
      <c r="S93" s="81"/>
      <c r="Y93" s="897"/>
    </row>
    <row r="94" spans="1:25">
      <c r="A94" s="1179">
        <f t="shared" si="5"/>
        <v>83</v>
      </c>
      <c r="B94" s="707">
        <v>9040</v>
      </c>
      <c r="C94" s="81" t="s">
        <v>938</v>
      </c>
      <c r="D94" s="96">
        <f>-0.005*SUM(D17,D19,D23,D36,D37,D39)</f>
        <v>22446.144671567305</v>
      </c>
      <c r="E94" s="96">
        <f t="shared" ref="E94:O94" si="6">-0.005*SUM(E17,E19,E23,E36,E37,E39)</f>
        <v>10897.304399513381</v>
      </c>
      <c r="F94" s="96">
        <f t="shared" si="6"/>
        <v>20881.730796149128</v>
      </c>
      <c r="G94" s="96">
        <f t="shared" si="6"/>
        <v>20241.315176979591</v>
      </c>
      <c r="H94" s="96">
        <f t="shared" si="6"/>
        <v>20816.930032673255</v>
      </c>
      <c r="I94" s="96">
        <f t="shared" si="6"/>
        <v>20056.097031136065</v>
      </c>
      <c r="J94" s="96">
        <f t="shared" si="6"/>
        <v>28171.769013900826</v>
      </c>
      <c r="K94" s="96">
        <f t="shared" si="6"/>
        <v>39072.93150881098</v>
      </c>
      <c r="L94" s="96">
        <f t="shared" si="6"/>
        <v>52614.781445328168</v>
      </c>
      <c r="M94" s="96">
        <f t="shared" si="6"/>
        <v>41448.822759268696</v>
      </c>
      <c r="N94" s="96">
        <f t="shared" si="6"/>
        <v>20234.089506611788</v>
      </c>
      <c r="O94" s="96">
        <f t="shared" si="6"/>
        <v>44168.570429893996</v>
      </c>
      <c r="P94" s="81">
        <f t="shared" si="4"/>
        <v>341050.48677183327</v>
      </c>
      <c r="Q94" s="81"/>
      <c r="R94" s="81"/>
      <c r="S94" s="81"/>
      <c r="Y94" s="897"/>
    </row>
    <row r="95" spans="1:25">
      <c r="A95" s="1179">
        <f t="shared" si="5"/>
        <v>84</v>
      </c>
      <c r="B95" s="707">
        <v>9090</v>
      </c>
      <c r="C95" s="81" t="s">
        <v>939</v>
      </c>
      <c r="D95" s="398">
        <f>VLOOKUP($B95,'[13]Div 9 forecast'!$D$590:$AF$671,18,FALSE)</f>
        <v>11052.016017664386</v>
      </c>
      <c r="E95" s="398">
        <f>VLOOKUP($B95,'[13]Div 9 forecast'!$D$590:$AF$671,19,FALSE)</f>
        <v>10664.148717079641</v>
      </c>
      <c r="F95" s="398">
        <f>VLOOKUP($B95,'[13]Div 9 forecast'!$D$590:$AF$671,20,FALSE)</f>
        <v>9743.7281625809137</v>
      </c>
      <c r="G95" s="398">
        <f>VLOOKUP($B95,'[13]Div 9 forecast'!$D$590:$AF$671,21,FALSE)</f>
        <v>10252.038011112754</v>
      </c>
      <c r="H95" s="398">
        <f>VLOOKUP($B95,'[13]Div 9 forecast'!$D$590:$AF$671,22,FALSE)</f>
        <v>10267.8330438024</v>
      </c>
      <c r="I95" s="398">
        <f>VLOOKUP($B95,'[13]Div 9 forecast'!$D$590:$AF$671,23,FALSE)</f>
        <v>10558.422302570356</v>
      </c>
      <c r="J95" s="398">
        <f>VLOOKUP($B95,'[13]Div 9 forecast'!$D$590:$AF$671,24,FALSE)</f>
        <v>11078.006373192482</v>
      </c>
      <c r="K95" s="398">
        <f>VLOOKUP($B95,'[13]Div 9 forecast'!$D$590:$AF$671,25,FALSE)</f>
        <v>11384.008483182321</v>
      </c>
      <c r="L95" s="398">
        <f>VLOOKUP($B95,'[13]Div 9 forecast'!$D$590:$AF$671,26,FALSE)</f>
        <v>10700.555109925566</v>
      </c>
      <c r="M95" s="398">
        <f>VLOOKUP($B95,'[13]Div 9 forecast'!$D$590:$AF$671,27,FALSE)</f>
        <v>11583.989546511093</v>
      </c>
      <c r="N95" s="398">
        <f>VLOOKUP($B95,'[13]Div 9 forecast'!$D$590:$AF$671,28,FALSE)</f>
        <v>10284.814593716295</v>
      </c>
      <c r="O95" s="398">
        <f>VLOOKUP($B95,'[13]Div 9 forecast'!$D$590:$AF$671,29,FALSE)</f>
        <v>10702.086818566921</v>
      </c>
      <c r="P95" s="81">
        <f t="shared" si="4"/>
        <v>128271.64717990512</v>
      </c>
      <c r="Q95" s="81"/>
      <c r="R95" s="153"/>
      <c r="S95" s="81"/>
      <c r="Y95" s="897"/>
    </row>
    <row r="96" spans="1:25">
      <c r="A96" s="1179">
        <f t="shared" si="5"/>
        <v>85</v>
      </c>
      <c r="B96" s="707">
        <v>9100</v>
      </c>
      <c r="C96" s="210" t="s">
        <v>940</v>
      </c>
      <c r="D96" s="398">
        <f>VLOOKUP($B96,'[13]Div 9 forecast'!$D$590:$AF$671,18,FALSE)</f>
        <v>0</v>
      </c>
      <c r="E96" s="398">
        <f>VLOOKUP($B96,'[13]Div 9 forecast'!$D$590:$AF$671,19,FALSE)</f>
        <v>0</v>
      </c>
      <c r="F96" s="398">
        <f>VLOOKUP($B96,'[13]Div 9 forecast'!$D$590:$AF$671,20,FALSE)</f>
        <v>0</v>
      </c>
      <c r="G96" s="398">
        <f>VLOOKUP($B96,'[13]Div 9 forecast'!$D$590:$AF$671,21,FALSE)</f>
        <v>0</v>
      </c>
      <c r="H96" s="398">
        <f>VLOOKUP($B96,'[13]Div 9 forecast'!$D$590:$AF$671,22,FALSE)</f>
        <v>0</v>
      </c>
      <c r="I96" s="398">
        <f>VLOOKUP($B96,'[13]Div 9 forecast'!$D$590:$AF$671,23,FALSE)</f>
        <v>0</v>
      </c>
      <c r="J96" s="398">
        <f>VLOOKUP($B96,'[13]Div 9 forecast'!$D$590:$AF$671,24,FALSE)</f>
        <v>0</v>
      </c>
      <c r="K96" s="398">
        <f>VLOOKUP($B96,'[13]Div 9 forecast'!$D$590:$AF$671,25,FALSE)</f>
        <v>0</v>
      </c>
      <c r="L96" s="398">
        <f>VLOOKUP($B96,'[13]Div 9 forecast'!$D$590:$AF$671,26,FALSE)</f>
        <v>0</v>
      </c>
      <c r="M96" s="398">
        <f>VLOOKUP($B96,'[13]Div 9 forecast'!$D$590:$AF$671,27,FALSE)</f>
        <v>0</v>
      </c>
      <c r="N96" s="398">
        <f>VLOOKUP($B96,'[13]Div 9 forecast'!$D$590:$AF$671,28,FALSE)</f>
        <v>0</v>
      </c>
      <c r="O96" s="398">
        <f>VLOOKUP($B96,'[13]Div 9 forecast'!$D$590:$AF$671,29,FALSE)</f>
        <v>0</v>
      </c>
      <c r="P96" s="81">
        <f t="shared" si="4"/>
        <v>0</v>
      </c>
      <c r="Q96" s="81"/>
      <c r="R96" s="153"/>
      <c r="S96" s="81"/>
      <c r="Y96" s="897"/>
    </row>
    <row r="97" spans="1:25">
      <c r="A97" s="1179">
        <f t="shared" si="5"/>
        <v>86</v>
      </c>
      <c r="B97" s="707">
        <v>9110</v>
      </c>
      <c r="C97" s="81" t="s">
        <v>941</v>
      </c>
      <c r="D97" s="398">
        <f>VLOOKUP($B97,'[13]Div 9 forecast'!$D$590:$AF$671,18,FALSE)</f>
        <v>22226.641995740141</v>
      </c>
      <c r="E97" s="398">
        <f>VLOOKUP($B97,'[13]Div 9 forecast'!$D$590:$AF$671,19,FALSE)</f>
        <v>20874.140705008635</v>
      </c>
      <c r="F97" s="398">
        <f>VLOOKUP($B97,'[13]Div 9 forecast'!$D$590:$AF$671,20,FALSE)</f>
        <v>19322.081171672951</v>
      </c>
      <c r="G97" s="398">
        <f>VLOOKUP($B97,'[13]Div 9 forecast'!$D$590:$AF$671,21,FALSE)</f>
        <v>19908.703436700289</v>
      </c>
      <c r="H97" s="398">
        <f>VLOOKUP($B97,'[13]Div 9 forecast'!$D$590:$AF$671,22,FALSE)</f>
        <v>20207.949243528958</v>
      </c>
      <c r="I97" s="398">
        <f>VLOOKUP($B97,'[13]Div 9 forecast'!$D$590:$AF$671,23,FALSE)</f>
        <v>21279.059187564515</v>
      </c>
      <c r="J97" s="398">
        <f>VLOOKUP($B97,'[13]Div 9 forecast'!$D$590:$AF$671,24,FALSE)</f>
        <v>21599.418925239894</v>
      </c>
      <c r="K97" s="398">
        <f>VLOOKUP($B97,'[13]Div 9 forecast'!$D$590:$AF$671,25,FALSE)</f>
        <v>22552.214663542552</v>
      </c>
      <c r="L97" s="398">
        <f>VLOOKUP($B97,'[13]Div 9 forecast'!$D$590:$AF$671,26,FALSE)</f>
        <v>21145.598173492974</v>
      </c>
      <c r="M97" s="398">
        <f>VLOOKUP($B97,'[13]Div 9 forecast'!$D$590:$AF$671,27,FALSE)</f>
        <v>22648.7971082527</v>
      </c>
      <c r="N97" s="398">
        <f>VLOOKUP($B97,'[13]Div 9 forecast'!$D$590:$AF$671,28,FALSE)</f>
        <v>20329.000470720599</v>
      </c>
      <c r="O97" s="398">
        <f>VLOOKUP($B97,'[13]Div 9 forecast'!$D$590:$AF$671,29,FALSE)</f>
        <v>21373.9190132119</v>
      </c>
      <c r="P97" s="81">
        <f t="shared" ref="P97:P110" si="7">SUM(D97:O97)</f>
        <v>253467.52409467613</v>
      </c>
      <c r="Q97" s="81"/>
      <c r="R97" s="153"/>
      <c r="S97" s="81"/>
      <c r="Y97" s="897"/>
    </row>
    <row r="98" spans="1:25">
      <c r="A98" s="1179">
        <f t="shared" si="5"/>
        <v>87</v>
      </c>
      <c r="B98" s="707">
        <v>9120</v>
      </c>
      <c r="C98" s="81" t="s">
        <v>942</v>
      </c>
      <c r="D98" s="398">
        <f>VLOOKUP($B98,'[13]Div 9 forecast'!$D$590:$AF$671,18,FALSE)</f>
        <v>7941.2110120172902</v>
      </c>
      <c r="E98" s="398">
        <f>VLOOKUP($B98,'[13]Div 9 forecast'!$D$590:$AF$671,19,FALSE)</f>
        <v>6528.9205242625667</v>
      </c>
      <c r="F98" s="398">
        <f>VLOOKUP($B98,'[13]Div 9 forecast'!$D$590:$AF$671,20,FALSE)</f>
        <v>6575.1248555887514</v>
      </c>
      <c r="G98" s="398">
        <f>VLOOKUP($B98,'[13]Div 9 forecast'!$D$590:$AF$671,21,FALSE)</f>
        <v>8469.7385143690008</v>
      </c>
      <c r="H98" s="398">
        <f>VLOOKUP($B98,'[13]Div 9 forecast'!$D$590:$AF$671,22,FALSE)</f>
        <v>12396.292655319152</v>
      </c>
      <c r="I98" s="398">
        <f>VLOOKUP($B98,'[13]Div 9 forecast'!$D$590:$AF$671,23,FALSE)</f>
        <v>8211.1315166293243</v>
      </c>
      <c r="J98" s="398">
        <f>VLOOKUP($B98,'[13]Div 9 forecast'!$D$590:$AF$671,24,FALSE)</f>
        <v>9828.3327678697533</v>
      </c>
      <c r="K98" s="398">
        <f>VLOOKUP($B98,'[13]Div 9 forecast'!$D$590:$AF$671,25,FALSE)</f>
        <v>17667.391076124215</v>
      </c>
      <c r="L98" s="398">
        <f>VLOOKUP($B98,'[13]Div 9 forecast'!$D$590:$AF$671,26,FALSE)</f>
        <v>6972.8745914273049</v>
      </c>
      <c r="M98" s="398">
        <f>VLOOKUP($B98,'[13]Div 9 forecast'!$D$590:$AF$671,27,FALSE)</f>
        <v>10652.900814263137</v>
      </c>
      <c r="N98" s="398">
        <f>VLOOKUP($B98,'[13]Div 9 forecast'!$D$590:$AF$671,28,FALSE)</f>
        <v>10029.964663511593</v>
      </c>
      <c r="O98" s="398">
        <f>VLOOKUP($B98,'[13]Div 9 forecast'!$D$590:$AF$671,29,FALSE)</f>
        <v>10663.375484900555</v>
      </c>
      <c r="P98" s="81">
        <f t="shared" si="7"/>
        <v>115937.25847628263</v>
      </c>
      <c r="Q98" s="81"/>
      <c r="R98" s="153"/>
      <c r="S98" s="81"/>
      <c r="Y98" s="897"/>
    </row>
    <row r="99" spans="1:25">
      <c r="A99" s="1179">
        <f t="shared" si="5"/>
        <v>88</v>
      </c>
      <c r="B99" s="707">
        <v>9130</v>
      </c>
      <c r="C99" s="81" t="s">
        <v>943</v>
      </c>
      <c r="D99" s="398">
        <f>VLOOKUP($B99,'[13]Div 9 forecast'!$D$590:$AF$671,18,FALSE)</f>
        <v>2260.9419507947459</v>
      </c>
      <c r="E99" s="398">
        <f>VLOOKUP($B99,'[13]Div 9 forecast'!$D$590:$AF$671,19,FALSE)</f>
        <v>2033.97895389003</v>
      </c>
      <c r="F99" s="398">
        <f>VLOOKUP($B99,'[13]Div 9 forecast'!$D$590:$AF$671,20,FALSE)</f>
        <v>1925.9205788816989</v>
      </c>
      <c r="G99" s="398">
        <f>VLOOKUP($B99,'[13]Div 9 forecast'!$D$590:$AF$671,21,FALSE)</f>
        <v>2650.323132471035</v>
      </c>
      <c r="H99" s="398">
        <f>VLOOKUP($B99,'[13]Div 9 forecast'!$D$590:$AF$671,22,FALSE)</f>
        <v>3937.7845772201345</v>
      </c>
      <c r="I99" s="398">
        <f>VLOOKUP($B99,'[13]Div 9 forecast'!$D$590:$AF$671,23,FALSE)</f>
        <v>2582.7292483930714</v>
      </c>
      <c r="J99" s="398">
        <f>VLOOKUP($B99,'[13]Div 9 forecast'!$D$590:$AF$671,24,FALSE)</f>
        <v>2786.2639846615257</v>
      </c>
      <c r="K99" s="398">
        <f>VLOOKUP($B99,'[13]Div 9 forecast'!$D$590:$AF$671,25,FALSE)</f>
        <v>5444.1087735265628</v>
      </c>
      <c r="L99" s="398">
        <f>VLOOKUP($B99,'[13]Div 9 forecast'!$D$590:$AF$671,26,FALSE)</f>
        <v>2060.0705605021894</v>
      </c>
      <c r="M99" s="398">
        <f>VLOOKUP($B99,'[13]Div 9 forecast'!$D$590:$AF$671,27,FALSE)</f>
        <v>3034.1388394528612</v>
      </c>
      <c r="N99" s="398">
        <f>VLOOKUP($B99,'[13]Div 9 forecast'!$D$590:$AF$671,28,FALSE)</f>
        <v>3127.1998214313944</v>
      </c>
      <c r="O99" s="398">
        <f>VLOOKUP($B99,'[13]Div 9 forecast'!$D$590:$AF$671,29,FALSE)</f>
        <v>3326.8864819622586</v>
      </c>
      <c r="P99" s="81">
        <f t="shared" si="7"/>
        <v>35170.346903187507</v>
      </c>
      <c r="Q99" s="81"/>
      <c r="R99" s="153"/>
      <c r="S99" s="81"/>
      <c r="Y99" s="897"/>
    </row>
    <row r="100" spans="1:25">
      <c r="A100" s="1179">
        <f t="shared" si="5"/>
        <v>89</v>
      </c>
      <c r="B100" s="707">
        <v>9200</v>
      </c>
      <c r="C100" s="103" t="s">
        <v>1309</v>
      </c>
      <c r="D100" s="398">
        <f>VLOOKUP($B100,'[13]Div 9 forecast'!$D$590:$AF$671,18,FALSE)</f>
        <v>10495.99645685502</v>
      </c>
      <c r="E100" s="398">
        <f>VLOOKUP($B100,'[13]Div 9 forecast'!$D$590:$AF$671,19,FALSE)</f>
        <v>10874.844475303278</v>
      </c>
      <c r="F100" s="398">
        <f>VLOOKUP($B100,'[13]Div 9 forecast'!$D$590:$AF$671,20,FALSE)</f>
        <v>9733.40811945102</v>
      </c>
      <c r="G100" s="398">
        <f>VLOOKUP($B100,'[13]Div 9 forecast'!$D$590:$AF$671,21,FALSE)</f>
        <v>10764.873468270023</v>
      </c>
      <c r="H100" s="398">
        <f>VLOOKUP($B100,'[13]Div 9 forecast'!$D$590:$AF$671,22,FALSE)</f>
        <v>10360.04076789287</v>
      </c>
      <c r="I100" s="398">
        <f>VLOOKUP($B100,'[13]Div 9 forecast'!$D$590:$AF$671,23,FALSE)</f>
        <v>9991.0750330254195</v>
      </c>
      <c r="J100" s="398">
        <f>VLOOKUP($B100,'[13]Div 9 forecast'!$D$590:$AF$671,24,FALSE)</f>
        <v>11468.845523308475</v>
      </c>
      <c r="K100" s="398">
        <f>VLOOKUP($B100,'[13]Div 9 forecast'!$D$590:$AF$671,25,FALSE)</f>
        <v>11253.192681862054</v>
      </c>
      <c r="L100" s="398">
        <f>VLOOKUP($B100,'[13]Div 9 forecast'!$D$590:$AF$671,26,FALSE)</f>
        <v>10827.290743269277</v>
      </c>
      <c r="M100" s="398">
        <f>VLOOKUP($B100,'[13]Div 9 forecast'!$D$590:$AF$671,27,FALSE)</f>
        <v>11889.907449489072</v>
      </c>
      <c r="N100" s="398">
        <f>VLOOKUP($B100,'[13]Div 9 forecast'!$D$590:$AF$671,28,FALSE)</f>
        <v>10321.228840533104</v>
      </c>
      <c r="O100" s="398">
        <f>VLOOKUP($B100,'[13]Div 9 forecast'!$D$590:$AF$671,29,FALSE)</f>
        <v>10459.538037677838</v>
      </c>
      <c r="P100" s="81">
        <f t="shared" ref="P100" si="8">SUM(D100:O100)</f>
        <v>128440.24159693743</v>
      </c>
      <c r="Q100" s="81"/>
      <c r="R100" s="153"/>
      <c r="S100" s="81"/>
      <c r="Y100" s="897"/>
    </row>
    <row r="101" spans="1:25">
      <c r="A101" s="1179">
        <f t="shared" si="5"/>
        <v>90</v>
      </c>
      <c r="B101" s="707">
        <v>9210</v>
      </c>
      <c r="C101" s="81" t="s">
        <v>944</v>
      </c>
      <c r="D101" s="398">
        <f>VLOOKUP($B101,'[13]Div 9 forecast'!$D$590:$AF$671,18,FALSE)</f>
        <v>1622.1108938094217</v>
      </c>
      <c r="E101" s="398">
        <f>VLOOKUP($B101,'[13]Div 9 forecast'!$D$590:$AF$671,19,FALSE)</f>
        <v>1262.2694986401309</v>
      </c>
      <c r="F101" s="398">
        <f>VLOOKUP($B101,'[13]Div 9 forecast'!$D$590:$AF$671,20,FALSE)</f>
        <v>1289.8107532380222</v>
      </c>
      <c r="G101" s="398">
        <f>VLOOKUP($B101,'[13]Div 9 forecast'!$D$590:$AF$671,21,FALSE)</f>
        <v>1210.663115080057</v>
      </c>
      <c r="H101" s="398">
        <f>VLOOKUP($B101,'[13]Div 9 forecast'!$D$590:$AF$671,22,FALSE)</f>
        <v>1509.0468052231272</v>
      </c>
      <c r="I101" s="398">
        <f>VLOOKUP($B101,'[13]Div 9 forecast'!$D$590:$AF$671,23,FALSE)</f>
        <v>1612.2599910633589</v>
      </c>
      <c r="J101" s="398">
        <f>VLOOKUP($B101,'[13]Div 9 forecast'!$D$590:$AF$671,24,FALSE)</f>
        <v>1353.0439578959063</v>
      </c>
      <c r="K101" s="398">
        <f>VLOOKUP($B101,'[13]Div 9 forecast'!$D$590:$AF$671,25,FALSE)</f>
        <v>1810.3147078657089</v>
      </c>
      <c r="L101" s="398">
        <f>VLOOKUP($B101,'[13]Div 9 forecast'!$D$590:$AF$671,26,FALSE)</f>
        <v>1455.547228047757</v>
      </c>
      <c r="M101" s="398">
        <f>VLOOKUP($B101,'[13]Div 9 forecast'!$D$590:$AF$671,27,FALSE)</f>
        <v>1416.7375389740018</v>
      </c>
      <c r="N101" s="398">
        <f>VLOOKUP($B101,'[13]Div 9 forecast'!$D$590:$AF$671,28,FALSE)</f>
        <v>1479.5838119037444</v>
      </c>
      <c r="O101" s="398">
        <f>VLOOKUP($B101,'[13]Div 9 forecast'!$D$590:$AF$671,29,FALSE)</f>
        <v>1594.114425751643</v>
      </c>
      <c r="P101" s="81">
        <f t="shared" si="7"/>
        <v>17615.50272749288</v>
      </c>
      <c r="Q101" s="81"/>
      <c r="R101" s="153"/>
      <c r="S101" s="81"/>
      <c r="Y101" s="897"/>
    </row>
    <row r="102" spans="1:25">
      <c r="A102" s="1179">
        <f t="shared" si="5"/>
        <v>91</v>
      </c>
      <c r="B102" s="707">
        <v>9220</v>
      </c>
      <c r="C102" s="81" t="s">
        <v>945</v>
      </c>
      <c r="D102" s="96">
        <f>-('C.2.2-F 02'!D42+'C.2.2-F 12'!D34+'C.2.2-F 91'!D55)</f>
        <v>1200011.5301120463</v>
      </c>
      <c r="E102" s="96">
        <f>-('C.2.2-F 02'!E42+'C.2.2-F 12'!E34+'C.2.2-F 91'!E55)</f>
        <v>1410253.2645451846</v>
      </c>
      <c r="F102" s="96">
        <f>-('C.2.2-F 02'!F42+'C.2.2-F 12'!F34+'C.2.2-F 91'!F55)</f>
        <v>1126526.7414845759</v>
      </c>
      <c r="G102" s="96">
        <f>-('C.2.2-F 02'!G42+'C.2.2-F 12'!G34+'C.2.2-F 91'!G55)</f>
        <v>1355807.8697768361</v>
      </c>
      <c r="H102" s="96">
        <f>-('C.2.2-F 02'!H42+'C.2.2-F 12'!H34+'C.2.2-F 91'!H55)</f>
        <v>1074750.5181910533</v>
      </c>
      <c r="I102" s="96">
        <f>-('C.2.2-F 02'!I42+'C.2.2-F 12'!I34+'C.2.2-F 91'!I55)</f>
        <v>1114811.8593864108</v>
      </c>
      <c r="J102" s="96">
        <f>-('C.2.2-F 02'!J42+'C.2.2-F 12'!J34+'C.2.2-F 91'!J55)</f>
        <v>1150349.2560369882</v>
      </c>
      <c r="K102" s="96">
        <f>-('C.2.2-F 02'!K42+'C.2.2-F 12'!K34+'C.2.2-F 91'!K55)</f>
        <v>1177100.9850388966</v>
      </c>
      <c r="L102" s="96">
        <f>-('C.2.2-F 02'!L42+'C.2.2-F 12'!L34+'C.2.2-F 91'!L55)</f>
        <v>1160595.8205116659</v>
      </c>
      <c r="M102" s="96">
        <f>-('C.2.2-F 02'!M42+'C.2.2-F 12'!M34+'C.2.2-F 91'!M55)</f>
        <v>1258872.5589267863</v>
      </c>
      <c r="N102" s="96">
        <f>-('C.2.2-F 02'!N42+'C.2.2-F 12'!N34+'C.2.2-F 91'!N55)</f>
        <v>1168001.163356307</v>
      </c>
      <c r="O102" s="96">
        <f>-('C.2.2-F 02'!O42+'C.2.2-F 12'!O34+'C.2.2-F 91'!O55)</f>
        <v>1301682.621618873</v>
      </c>
      <c r="P102" s="81">
        <f>SUM(D102:O102)</f>
        <v>14498764.188985625</v>
      </c>
      <c r="Q102" s="671"/>
      <c r="R102" s="153"/>
      <c r="S102" s="81"/>
      <c r="Y102" s="897"/>
    </row>
    <row r="103" spans="1:25">
      <c r="A103" s="1179">
        <f t="shared" si="5"/>
        <v>92</v>
      </c>
      <c r="B103" s="707">
        <v>9230</v>
      </c>
      <c r="C103" s="81" t="s">
        <v>946</v>
      </c>
      <c r="D103" s="398">
        <f>VLOOKUP($B103,'[13]Div 9 forecast'!$D$590:$AF$671,18,FALSE)</f>
        <v>36621.493900856345</v>
      </c>
      <c r="E103" s="398">
        <f>VLOOKUP($B103,'[13]Div 9 forecast'!$D$590:$AF$671,19,FALSE)</f>
        <v>27876.109478638467</v>
      </c>
      <c r="F103" s="398">
        <f>VLOOKUP($B103,'[13]Div 9 forecast'!$D$590:$AF$671,20,FALSE)</f>
        <v>37172.17396502231</v>
      </c>
      <c r="G103" s="398">
        <f>VLOOKUP($B103,'[13]Div 9 forecast'!$D$590:$AF$671,21,FALSE)</f>
        <v>33168.178831622856</v>
      </c>
      <c r="H103" s="398">
        <f>VLOOKUP($B103,'[13]Div 9 forecast'!$D$590:$AF$671,22,FALSE)</f>
        <v>37018.925037827052</v>
      </c>
      <c r="I103" s="398">
        <f>VLOOKUP($B103,'[13]Div 9 forecast'!$D$590:$AF$671,23,FALSE)</f>
        <v>29689.538922027255</v>
      </c>
      <c r="J103" s="398">
        <f>VLOOKUP($B103,'[13]Div 9 forecast'!$D$590:$AF$671,24,FALSE)</f>
        <v>23807.814955074704</v>
      </c>
      <c r="K103" s="398">
        <f>VLOOKUP($B103,'[13]Div 9 forecast'!$D$590:$AF$671,25,FALSE)</f>
        <v>23387.523992428542</v>
      </c>
      <c r="L103" s="398">
        <f>VLOOKUP($B103,'[13]Div 9 forecast'!$D$590:$AF$671,26,FALSE)</f>
        <v>18508.708988949806</v>
      </c>
      <c r="M103" s="398">
        <f>VLOOKUP($B103,'[13]Div 9 forecast'!$D$590:$AF$671,27,FALSE)</f>
        <v>21093.650444435956</v>
      </c>
      <c r="N103" s="398">
        <f>VLOOKUP($B103,'[13]Div 9 forecast'!$D$590:$AF$671,28,FALSE)</f>
        <v>19475.764776741209</v>
      </c>
      <c r="O103" s="398">
        <f>VLOOKUP($B103,'[13]Div 9 forecast'!$D$590:$AF$671,29,FALSE)</f>
        <v>31876.957570230814</v>
      </c>
      <c r="P103" s="81">
        <f t="shared" si="7"/>
        <v>339696.84086385532</v>
      </c>
      <c r="Q103" s="81"/>
      <c r="R103" s="153"/>
      <c r="S103" s="81"/>
      <c r="Y103" s="897"/>
    </row>
    <row r="104" spans="1:25">
      <c r="A104" s="1179">
        <f t="shared" si="5"/>
        <v>93</v>
      </c>
      <c r="B104" s="707">
        <v>9240</v>
      </c>
      <c r="C104" s="81" t="s">
        <v>947</v>
      </c>
      <c r="D104" s="398">
        <f>VLOOKUP($B104,'[13]Div 9 forecast'!$D$590:$AF$671,18,FALSE)</f>
        <v>147.03313745777109</v>
      </c>
      <c r="E104" s="398">
        <f>VLOOKUP($B104,'[13]Div 9 forecast'!$D$590:$AF$671,19,FALSE)</f>
        <v>0</v>
      </c>
      <c r="F104" s="398">
        <f>VLOOKUP($B104,'[13]Div 9 forecast'!$D$590:$AF$671,20,FALSE)</f>
        <v>0</v>
      </c>
      <c r="G104" s="398">
        <f>VLOOKUP($B104,'[13]Div 9 forecast'!$D$590:$AF$671,21,FALSE)</f>
        <v>0</v>
      </c>
      <c r="H104" s="398">
        <f>VLOOKUP($B104,'[13]Div 9 forecast'!$D$590:$AF$671,22,FALSE)</f>
        <v>968.19933910871873</v>
      </c>
      <c r="I104" s="398">
        <f>VLOOKUP($B104,'[13]Div 9 forecast'!$D$590:$AF$671,23,FALSE)</f>
        <v>0</v>
      </c>
      <c r="J104" s="398">
        <f>VLOOKUP($B104,'[13]Div 9 forecast'!$D$590:$AF$671,24,FALSE)</f>
        <v>126.68892975921156</v>
      </c>
      <c r="K104" s="398">
        <f>VLOOKUP($B104,'[13]Div 9 forecast'!$D$590:$AF$671,25,FALSE)</f>
        <v>0</v>
      </c>
      <c r="L104" s="398">
        <f>VLOOKUP($B104,'[13]Div 9 forecast'!$D$590:$AF$671,26,FALSE)</f>
        <v>2476.444918942836</v>
      </c>
      <c r="M104" s="398">
        <f>VLOOKUP($B104,'[13]Div 9 forecast'!$D$590:$AF$671,27,FALSE)</f>
        <v>0</v>
      </c>
      <c r="N104" s="398">
        <f>VLOOKUP($B104,'[13]Div 9 forecast'!$D$590:$AF$671,28,FALSE)</f>
        <v>0</v>
      </c>
      <c r="O104" s="398">
        <f>VLOOKUP($B104,'[13]Div 9 forecast'!$D$590:$AF$671,29,FALSE)</f>
        <v>0</v>
      </c>
      <c r="P104" s="81">
        <f t="shared" si="7"/>
        <v>3718.3663252685374</v>
      </c>
      <c r="Q104" s="81"/>
      <c r="R104" s="153"/>
      <c r="S104" s="81"/>
      <c r="Y104" s="897"/>
    </row>
    <row r="105" spans="1:25">
      <c r="A105" s="1179">
        <f t="shared" si="5"/>
        <v>94</v>
      </c>
      <c r="B105" s="707">
        <v>9250</v>
      </c>
      <c r="C105" s="81" t="s">
        <v>948</v>
      </c>
      <c r="D105" s="398">
        <f>VLOOKUP($B105,'[13]Div 9 forecast'!$D$590:$AF$671,18,FALSE)</f>
        <v>7588.9297907719947</v>
      </c>
      <c r="E105" s="398">
        <f>VLOOKUP($B105,'[13]Div 9 forecast'!$D$590:$AF$671,19,FALSE)</f>
        <v>5960.6171929656284</v>
      </c>
      <c r="F105" s="398">
        <f>VLOOKUP($B105,'[13]Div 9 forecast'!$D$590:$AF$671,20,FALSE)</f>
        <v>7748.6647722328926</v>
      </c>
      <c r="G105" s="398">
        <f>VLOOKUP($B105,'[13]Div 9 forecast'!$D$590:$AF$671,21,FALSE)</f>
        <v>6930.1521337933791</v>
      </c>
      <c r="H105" s="398">
        <f>VLOOKUP($B105,'[13]Div 9 forecast'!$D$590:$AF$671,22,FALSE)</f>
        <v>7850.2891542125553</v>
      </c>
      <c r="I105" s="398">
        <f>VLOOKUP($B105,'[13]Div 9 forecast'!$D$590:$AF$671,23,FALSE)</f>
        <v>6361.8282209824947</v>
      </c>
      <c r="J105" s="398">
        <f>VLOOKUP($B105,'[13]Div 9 forecast'!$D$590:$AF$671,24,FALSE)</f>
        <v>5379.7349987209454</v>
      </c>
      <c r="K105" s="398">
        <f>VLOOKUP($B105,'[13]Div 9 forecast'!$D$590:$AF$671,25,FALSE)</f>
        <v>5618.4472624900245</v>
      </c>
      <c r="L105" s="398">
        <f>VLOOKUP($B105,'[13]Div 9 forecast'!$D$590:$AF$671,26,FALSE)</f>
        <v>4333.3296955949236</v>
      </c>
      <c r="M105" s="398">
        <f>VLOOKUP($B105,'[13]Div 9 forecast'!$D$590:$AF$671,27,FALSE)</f>
        <v>4930.0294875630989</v>
      </c>
      <c r="N105" s="398">
        <f>VLOOKUP($B105,'[13]Div 9 forecast'!$D$590:$AF$671,28,FALSE)</f>
        <v>4514.7158433292407</v>
      </c>
      <c r="O105" s="398">
        <f>VLOOKUP($B105,'[13]Div 9 forecast'!$D$590:$AF$671,29,FALSE)</f>
        <v>6793.7186889724762</v>
      </c>
      <c r="P105" s="81">
        <f t="shared" si="7"/>
        <v>74010.457241629658</v>
      </c>
      <c r="Q105" s="81"/>
      <c r="R105" s="153"/>
      <c r="S105" s="81"/>
      <c r="Y105" s="897"/>
    </row>
    <row r="106" spans="1:25">
      <c r="A106" s="1179">
        <f t="shared" si="5"/>
        <v>95</v>
      </c>
      <c r="B106" s="707">
        <v>9260</v>
      </c>
      <c r="C106" s="81" t="s">
        <v>949</v>
      </c>
      <c r="D106" s="398">
        <f>VLOOKUP($B106,'[13]Div 9 forecast'!$D$590:$AF$671,18,FALSE)</f>
        <v>153584.72863040134</v>
      </c>
      <c r="E106" s="398">
        <f>VLOOKUP($B106,'[13]Div 9 forecast'!$D$590:$AF$671,19,FALSE)</f>
        <v>160208.48834016835</v>
      </c>
      <c r="F106" s="398">
        <f>VLOOKUP($B106,'[13]Div 9 forecast'!$D$590:$AF$671,20,FALSE)</f>
        <v>144233.03359378109</v>
      </c>
      <c r="G106" s="398">
        <f>VLOOKUP($B106,'[13]Div 9 forecast'!$D$590:$AF$671,21,FALSE)</f>
        <v>156545.95432717403</v>
      </c>
      <c r="H106" s="398">
        <f>VLOOKUP($B106,'[13]Div 9 forecast'!$D$590:$AF$671,22,FALSE)</f>
        <v>151617.92255381163</v>
      </c>
      <c r="I106" s="398">
        <f>VLOOKUP($B106,'[13]Div 9 forecast'!$D$590:$AF$671,23,FALSE)</f>
        <v>147825.0214022877</v>
      </c>
      <c r="J106" s="398">
        <f>VLOOKUP($B106,'[13]Div 9 forecast'!$D$590:$AF$671,24,FALSE)</f>
        <v>151847.84280729818</v>
      </c>
      <c r="K106" s="398">
        <f>VLOOKUP($B106,'[13]Div 9 forecast'!$D$590:$AF$671,25,FALSE)</f>
        <v>150003.77802668931</v>
      </c>
      <c r="L106" s="398">
        <f>VLOOKUP($B106,'[13]Div 9 forecast'!$D$590:$AF$671,26,FALSE)</f>
        <v>144873.6122520956</v>
      </c>
      <c r="M106" s="398">
        <f>VLOOKUP($B106,'[13]Div 9 forecast'!$D$590:$AF$671,27,FALSE)</f>
        <v>157963.572382774</v>
      </c>
      <c r="N106" s="398">
        <f>VLOOKUP($B106,'[13]Div 9 forecast'!$D$590:$AF$671,28,FALSE)</f>
        <v>136688.40963723435</v>
      </c>
      <c r="O106" s="398">
        <f>VLOOKUP($B106,'[13]Div 9 forecast'!$D$590:$AF$671,29,FALSE)</f>
        <v>135888.81683686195</v>
      </c>
      <c r="P106" s="81">
        <f t="shared" si="7"/>
        <v>1791281.1807905775</v>
      </c>
      <c r="Q106" s="81"/>
      <c r="R106" s="153"/>
      <c r="S106" s="81"/>
      <c r="Y106" s="897"/>
    </row>
    <row r="107" spans="1:25">
      <c r="A107" s="1179">
        <f t="shared" si="5"/>
        <v>96</v>
      </c>
      <c r="B107" s="707">
        <v>9270</v>
      </c>
      <c r="C107" s="81" t="s">
        <v>950</v>
      </c>
      <c r="D107" s="398">
        <f>VLOOKUP($B107,'[13]Div 9 forecast'!$D$590:$AF$671,18,FALSE)</f>
        <v>41.555271571279107</v>
      </c>
      <c r="E107" s="398">
        <f>VLOOKUP($B107,'[13]Div 9 forecast'!$D$590:$AF$671,19,FALSE)</f>
        <v>37.383776159956597</v>
      </c>
      <c r="F107" s="398">
        <f>VLOOKUP($B107,'[13]Div 9 forecast'!$D$590:$AF$671,20,FALSE)</f>
        <v>35.397703444801799</v>
      </c>
      <c r="G107" s="398">
        <f>VLOOKUP($B107,'[13]Div 9 forecast'!$D$590:$AF$671,21,FALSE)</f>
        <v>48.711952769403652</v>
      </c>
      <c r="H107" s="398">
        <f>VLOOKUP($B107,'[13]Div 9 forecast'!$D$590:$AF$671,22,FALSE)</f>
        <v>72.375014952532254</v>
      </c>
      <c r="I107" s="398">
        <f>VLOOKUP($B107,'[13]Div 9 forecast'!$D$590:$AF$671,23,FALSE)</f>
        <v>47.469602337350324</v>
      </c>
      <c r="J107" s="398">
        <f>VLOOKUP($B107,'[13]Div 9 forecast'!$D$590:$AF$671,24,FALSE)</f>
        <v>51.210495037780447</v>
      </c>
      <c r="K107" s="398">
        <f>VLOOKUP($B107,'[13]Div 9 forecast'!$D$590:$AF$671,25,FALSE)</f>
        <v>100.06069305227264</v>
      </c>
      <c r="L107" s="398">
        <f>VLOOKUP($B107,'[13]Div 9 forecast'!$D$590:$AF$671,26,FALSE)</f>
        <v>37.863330178633703</v>
      </c>
      <c r="M107" s="398">
        <f>VLOOKUP($B107,'[13]Div 9 forecast'!$D$590:$AF$671,27,FALSE)</f>
        <v>55.766342614019443</v>
      </c>
      <c r="N107" s="398">
        <f>VLOOKUP($B107,'[13]Div 9 forecast'!$D$590:$AF$671,28,FALSE)</f>
        <v>57.476768827062422</v>
      </c>
      <c r="O107" s="398">
        <f>VLOOKUP($B107,'[13]Div 9 forecast'!$D$590:$AF$671,29,FALSE)</f>
        <v>61.146935327624284</v>
      </c>
      <c r="P107" s="81">
        <f t="shared" si="7"/>
        <v>646.41788627271671</v>
      </c>
      <c r="Q107" s="81"/>
      <c r="R107" s="153"/>
      <c r="S107" s="81"/>
      <c r="Y107" s="897"/>
    </row>
    <row r="108" spans="1:25">
      <c r="A108" s="1179">
        <f t="shared" si="5"/>
        <v>97</v>
      </c>
      <c r="B108" s="707">
        <v>9280</v>
      </c>
      <c r="C108" s="81" t="s">
        <v>951</v>
      </c>
      <c r="D108" s="398">
        <f>VLOOKUP($B108,'[13]Div 9 forecast'!$D$590:$AF$671,18,FALSE)</f>
        <v>57069.915861025533</v>
      </c>
      <c r="E108" s="398">
        <f>VLOOKUP($B108,'[13]Div 9 forecast'!$D$590:$AF$671,19,FALSE)</f>
        <v>55063.874278121664</v>
      </c>
      <c r="F108" s="398">
        <f>VLOOKUP($B108,'[13]Div 9 forecast'!$D$590:$AF$671,20,FALSE)</f>
        <v>54778.87593226727</v>
      </c>
      <c r="G108" s="398">
        <f>VLOOKUP($B108,'[13]Div 9 forecast'!$D$590:$AF$671,21,FALSE)</f>
        <v>55372.095229208346</v>
      </c>
      <c r="H108" s="398">
        <f>VLOOKUP($B108,'[13]Div 9 forecast'!$D$590:$AF$671,22,FALSE)</f>
        <v>54701.37542373906</v>
      </c>
      <c r="I108" s="398">
        <f>VLOOKUP($B108,'[13]Div 9 forecast'!$D$590:$AF$671,23,FALSE)</f>
        <v>54257.696484614949</v>
      </c>
      <c r="J108" s="398">
        <f>VLOOKUP($B108,'[13]Div 9 forecast'!$D$590:$AF$671,24,FALSE)</f>
        <v>54210.260063492547</v>
      </c>
      <c r="K108" s="398">
        <f>VLOOKUP($B108,'[13]Div 9 forecast'!$D$590:$AF$671,25,FALSE)</f>
        <v>56040.102290235074</v>
      </c>
      <c r="L108" s="398">
        <f>VLOOKUP($B108,'[13]Div 9 forecast'!$D$590:$AF$671,26,FALSE)</f>
        <v>52179.31832828898</v>
      </c>
      <c r="M108" s="398">
        <f>VLOOKUP($B108,'[13]Div 9 forecast'!$D$590:$AF$671,27,FALSE)</f>
        <v>55262.022310455795</v>
      </c>
      <c r="N108" s="398">
        <f>VLOOKUP($B108,'[13]Div 9 forecast'!$D$590:$AF$671,28,FALSE)</f>
        <v>69770.378177371196</v>
      </c>
      <c r="O108" s="398">
        <f>VLOOKUP($B108,'[13]Div 9 forecast'!$D$590:$AF$671,29,FALSE)</f>
        <v>53288.026979286478</v>
      </c>
      <c r="P108" s="81">
        <f t="shared" si="7"/>
        <v>671993.94135810703</v>
      </c>
      <c r="Q108" s="81"/>
      <c r="R108" s="153"/>
      <c r="S108" s="81"/>
      <c r="Y108" s="897"/>
    </row>
    <row r="109" spans="1:25">
      <c r="A109" s="1179">
        <f t="shared" si="5"/>
        <v>98</v>
      </c>
      <c r="B109" s="707">
        <v>9302</v>
      </c>
      <c r="C109" s="81" t="s">
        <v>857</v>
      </c>
      <c r="D109" s="398">
        <f>VLOOKUP($B109,'[13]Div 9 forecast'!$D$590:$AF$671,18,FALSE)</f>
        <v>8306.6053891686279</v>
      </c>
      <c r="E109" s="398">
        <f>VLOOKUP($B109,'[13]Div 9 forecast'!$D$590:$AF$671,19,FALSE)</f>
        <v>1083.3367879544439</v>
      </c>
      <c r="F109" s="398">
        <f>VLOOKUP($B109,'[13]Div 9 forecast'!$D$590:$AF$671,20,FALSE)</f>
        <v>2344.0681136748958</v>
      </c>
      <c r="G109" s="398">
        <f>VLOOKUP($B109,'[13]Div 9 forecast'!$D$590:$AF$671,21,FALSE)</f>
        <v>-494.00988001737431</v>
      </c>
      <c r="H109" s="398">
        <f>VLOOKUP($B109,'[13]Div 9 forecast'!$D$590:$AF$671,22,FALSE)</f>
        <v>-4.5491377878158801</v>
      </c>
      <c r="I109" s="398">
        <f>VLOOKUP($B109,'[13]Div 9 forecast'!$D$590:$AF$671,23,FALSE)</f>
        <v>-633.06967350841796</v>
      </c>
      <c r="J109" s="398">
        <f>VLOOKUP($B109,'[13]Div 9 forecast'!$D$590:$AF$671,24,FALSE)</f>
        <v>11122.560093088243</v>
      </c>
      <c r="K109" s="398">
        <f>VLOOKUP($B109,'[13]Div 9 forecast'!$D$590:$AF$671,25,FALSE)</f>
        <v>7550.7980645098341</v>
      </c>
      <c r="L109" s="398">
        <f>VLOOKUP($B109,'[13]Div 9 forecast'!$D$590:$AF$671,26,FALSE)</f>
        <v>913.21355825836713</v>
      </c>
      <c r="M109" s="398">
        <f>VLOOKUP($B109,'[13]Div 9 forecast'!$D$590:$AF$671,27,FALSE)</f>
        <v>12042.876288747966</v>
      </c>
      <c r="N109" s="398">
        <f>VLOOKUP($B109,'[13]Div 9 forecast'!$D$590:$AF$671,28,FALSE)</f>
        <v>-146.15228579140671</v>
      </c>
      <c r="O109" s="398">
        <f>VLOOKUP($B109,'[13]Div 9 forecast'!$D$590:$AF$671,29,FALSE)</f>
        <v>-328.25965705839042</v>
      </c>
      <c r="P109" s="81">
        <f t="shared" si="7"/>
        <v>41757.417661238971</v>
      </c>
      <c r="Q109" s="81"/>
      <c r="R109" s="74"/>
      <c r="S109" s="81"/>
      <c r="Y109" s="897"/>
    </row>
    <row r="110" spans="1:25">
      <c r="A110" s="1179">
        <f t="shared" si="5"/>
        <v>99</v>
      </c>
      <c r="B110" s="707">
        <v>9310</v>
      </c>
      <c r="C110" s="103" t="s">
        <v>184</v>
      </c>
      <c r="D110" s="398">
        <f>VLOOKUP($B110,'[13]Div 9 forecast'!$D$590:$AF$671,18,FALSE)</f>
        <v>946.2698827055633</v>
      </c>
      <c r="E110" s="398">
        <f>VLOOKUP($B110,'[13]Div 9 forecast'!$D$590:$AF$671,19,FALSE)</f>
        <v>919.03867711598809</v>
      </c>
      <c r="F110" s="398">
        <f>VLOOKUP($B110,'[13]Div 9 forecast'!$D$590:$AF$671,20,FALSE)</f>
        <v>903.76581528470194</v>
      </c>
      <c r="G110" s="398">
        <f>VLOOKUP($B110,'[13]Div 9 forecast'!$D$590:$AF$671,21,FALSE)</f>
        <v>816.24760600127718</v>
      </c>
      <c r="H110" s="398">
        <f>VLOOKUP($B110,'[13]Div 9 forecast'!$D$590:$AF$671,22,FALSE)</f>
        <v>909.89956652829142</v>
      </c>
      <c r="I110" s="398">
        <f>VLOOKUP($B110,'[13]Div 9 forecast'!$D$590:$AF$671,23,FALSE)</f>
        <v>856.00289479180367</v>
      </c>
      <c r="J110" s="398">
        <f>VLOOKUP($B110,'[13]Div 9 forecast'!$D$590:$AF$671,24,FALSE)</f>
        <v>874.3526220677569</v>
      </c>
      <c r="K110" s="398">
        <f>VLOOKUP($B110,'[13]Div 9 forecast'!$D$590:$AF$671,25,FALSE)</f>
        <v>965.39881616555567</v>
      </c>
      <c r="L110" s="398">
        <f>VLOOKUP($B110,'[13]Div 9 forecast'!$D$590:$AF$671,26,FALSE)</f>
        <v>966.10546468873281</v>
      </c>
      <c r="M110" s="398">
        <f>VLOOKUP($B110,'[13]Div 9 forecast'!$D$590:$AF$671,27,FALSE)</f>
        <v>1048.0787964978824</v>
      </c>
      <c r="N110" s="398">
        <f>VLOOKUP($B110,'[13]Div 9 forecast'!$D$590:$AF$671,28,FALSE)</f>
        <v>919.50767301083488</v>
      </c>
      <c r="O110" s="398">
        <f>VLOOKUP($B110,'[13]Div 9 forecast'!$D$590:$AF$671,29,FALSE)</f>
        <v>975.52323875655145</v>
      </c>
      <c r="P110" s="81">
        <f t="shared" si="7"/>
        <v>11100.191053614941</v>
      </c>
      <c r="Q110" s="81"/>
      <c r="R110" s="74"/>
      <c r="S110" s="81"/>
      <c r="Y110" s="897"/>
    </row>
    <row r="111" spans="1:25">
      <c r="A111" s="1179">
        <f t="shared" si="5"/>
        <v>100</v>
      </c>
      <c r="B111" s="830">
        <v>9320</v>
      </c>
      <c r="C111" s="80" t="s">
        <v>185</v>
      </c>
      <c r="D111" s="398">
        <f>VLOOKUP($B111,'[13]Div 9 forecast'!$D$590:$AF$671,18,FALSE)</f>
        <v>2048.6740041517201</v>
      </c>
      <c r="E111" s="398">
        <f>VLOOKUP($B111,'[13]Div 9 forecast'!$D$590:$AF$671,19,FALSE)</f>
        <v>448.38463996173198</v>
      </c>
      <c r="F111" s="398">
        <f>VLOOKUP($B111,'[13]Div 9 forecast'!$D$590:$AF$671,20,FALSE)</f>
        <v>731.73928352919199</v>
      </c>
      <c r="G111" s="398">
        <f>VLOOKUP($B111,'[13]Div 9 forecast'!$D$590:$AF$671,21,FALSE)</f>
        <v>107.27946323576926</v>
      </c>
      <c r="H111" s="398">
        <f>VLOOKUP($B111,'[13]Div 9 forecast'!$D$590:$AF$671,22,FALSE)</f>
        <v>209.14429494733034</v>
      </c>
      <c r="I111" s="398">
        <f>VLOOKUP($B111,'[13]Div 9 forecast'!$D$590:$AF$671,23,FALSE)</f>
        <v>70.655958601170838</v>
      </c>
      <c r="J111" s="398">
        <f>VLOOKUP($B111,'[13]Div 9 forecast'!$D$590:$AF$671,24,FALSE)</f>
        <v>2658.4844225913034</v>
      </c>
      <c r="K111" s="398">
        <f>VLOOKUP($B111,'[13]Div 9 forecast'!$D$590:$AF$671,25,FALSE)</f>
        <v>1876.5518370186846</v>
      </c>
      <c r="L111" s="398">
        <f>VLOOKUP($B111,'[13]Div 9 forecast'!$D$590:$AF$671,26,FALSE)</f>
        <v>410.21647050581043</v>
      </c>
      <c r="M111" s="398">
        <f>VLOOKUP($B111,'[13]Div 9 forecast'!$D$590:$AF$671,27,FALSE)</f>
        <v>2864.6058250926035</v>
      </c>
      <c r="N111" s="398">
        <f>VLOOKUP($B111,'[13]Div 9 forecast'!$D$590:$AF$671,28,FALSE)</f>
        <v>240.20368436533442</v>
      </c>
      <c r="O111" s="398">
        <f>VLOOKUP($B111,'[13]Div 9 forecast'!$D$590:$AF$671,29,FALSE)</f>
        <v>137.85718297830701</v>
      </c>
      <c r="P111" s="81">
        <f>SUM(D111:O111)</f>
        <v>11803.797066978957</v>
      </c>
      <c r="Q111" s="81"/>
      <c r="R111" s="81"/>
      <c r="S111" s="81"/>
      <c r="Y111" s="897"/>
    </row>
    <row r="112" spans="1:25" ht="15.75" thickBot="1">
      <c r="A112" s="851">
        <f t="shared" ref="A112" si="9">A111+1</f>
        <v>101</v>
      </c>
      <c r="B112" s="81"/>
      <c r="C112" s="81" t="s">
        <v>734</v>
      </c>
      <c r="D112" s="899">
        <f t="shared" ref="D112:O112" si="10">SUM(D14:D111)</f>
        <v>-3518284.177060971</v>
      </c>
      <c r="E112" s="899">
        <f t="shared" si="10"/>
        <v>-1752631.9967738225</v>
      </c>
      <c r="F112" s="899">
        <f t="shared" si="10"/>
        <v>-1369305.4804268067</v>
      </c>
      <c r="G112" s="899">
        <f t="shared" si="10"/>
        <v>-825314.17407188762</v>
      </c>
      <c r="H112" s="899">
        <f t="shared" si="10"/>
        <v>-1217609.5519846359</v>
      </c>
      <c r="I112" s="899">
        <f t="shared" si="10"/>
        <v>-1207429.1360262197</v>
      </c>
      <c r="J112" s="899">
        <f t="shared" si="10"/>
        <v>-1854844.0080271091</v>
      </c>
      <c r="K112" s="899">
        <f t="shared" si="10"/>
        <v>-3364283.8706758614</v>
      </c>
      <c r="L112" s="899">
        <f t="shared" si="10"/>
        <v>-5441670.6174375713</v>
      </c>
      <c r="M112" s="899">
        <f t="shared" si="10"/>
        <v>-6770295.7621235196</v>
      </c>
      <c r="N112" s="899">
        <f t="shared" si="10"/>
        <v>-6744044.0990584455</v>
      </c>
      <c r="O112" s="899">
        <f t="shared" si="10"/>
        <v>-4993470.965442216</v>
      </c>
      <c r="P112" s="899">
        <f>SUM(P12:P111)</f>
        <v>-31204085.970459294</v>
      </c>
      <c r="Q112" s="900"/>
      <c r="R112" s="81"/>
      <c r="S112" s="81"/>
      <c r="Y112" s="897"/>
    </row>
    <row r="113" spans="1:19" ht="15.75" thickTop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>
      <c r="A114" s="81"/>
      <c r="B114" s="81"/>
      <c r="C114" s="81" t="s">
        <v>197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1:19">
      <c r="A115" s="81"/>
      <c r="B115" s="81"/>
      <c r="C115" s="216" t="s">
        <v>1215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1:19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103"/>
      <c r="Q116" s="81">
        <f>SUM(P30:P111)</f>
        <v>107397487.35044111</v>
      </c>
      <c r="R116" s="81"/>
      <c r="S116" s="81"/>
    </row>
    <row r="117" spans="1:19">
      <c r="A117" s="81"/>
      <c r="B117" s="81"/>
      <c r="C117" s="81"/>
      <c r="D117" s="80">
        <f>SUM(D47:D111)+D31+D30</f>
        <v>2530743.7414836134</v>
      </c>
      <c r="E117" s="80">
        <f t="shared" ref="E117:P117" si="11">SUM(E47:E111)+E31+E30</f>
        <v>2609607.9267446976</v>
      </c>
      <c r="F117" s="80">
        <f t="shared" si="11"/>
        <v>2356407.9796807249</v>
      </c>
      <c r="G117" s="80">
        <f t="shared" si="11"/>
        <v>2620605.9406538159</v>
      </c>
      <c r="H117" s="80">
        <f t="shared" si="11"/>
        <v>2361033.5525237266</v>
      </c>
      <c r="I117" s="80">
        <f t="shared" si="11"/>
        <v>2297390.6685175477</v>
      </c>
      <c r="J117" s="80">
        <f t="shared" si="11"/>
        <v>2323966.6173823229</v>
      </c>
      <c r="K117" s="80">
        <f t="shared" si="11"/>
        <v>2374448.8972396725</v>
      </c>
      <c r="L117" s="80">
        <f t="shared" si="11"/>
        <v>2264852.947306341</v>
      </c>
      <c r="M117" s="80">
        <f t="shared" si="11"/>
        <v>2485472.7456265064</v>
      </c>
      <c r="N117" s="80">
        <f t="shared" si="11"/>
        <v>2235704.080501725</v>
      </c>
      <c r="O117" s="80">
        <f t="shared" si="11"/>
        <v>2554898.0995245348</v>
      </c>
      <c r="P117" s="80">
        <f t="shared" si="11"/>
        <v>29015133.19718523</v>
      </c>
      <c r="Q117" s="81"/>
      <c r="R117" s="81"/>
      <c r="S117" s="81"/>
    </row>
    <row r="118" spans="1:19">
      <c r="A118" s="81"/>
      <c r="B118" s="81" t="s">
        <v>953</v>
      </c>
      <c r="C118" s="81"/>
      <c r="D118" s="81">
        <f>D117-D102</f>
        <v>1330732.2113715671</v>
      </c>
      <c r="E118" s="81">
        <f t="shared" ref="E118:P118" si="12">E117-E102</f>
        <v>1199354.6621995131</v>
      </c>
      <c r="F118" s="81">
        <f t="shared" si="12"/>
        <v>1229881.238196149</v>
      </c>
      <c r="G118" s="81">
        <f t="shared" si="12"/>
        <v>1264798.0708769797</v>
      </c>
      <c r="H118" s="81">
        <f t="shared" si="12"/>
        <v>1286283.0343326733</v>
      </c>
      <c r="I118" s="81">
        <f t="shared" si="12"/>
        <v>1182578.8091311369</v>
      </c>
      <c r="J118" s="81">
        <f t="shared" si="12"/>
        <v>1173617.3613453347</v>
      </c>
      <c r="K118" s="81">
        <f t="shared" si="12"/>
        <v>1197347.9122007759</v>
      </c>
      <c r="L118" s="81">
        <f t="shared" si="12"/>
        <v>1104257.1267946751</v>
      </c>
      <c r="M118" s="81">
        <f t="shared" si="12"/>
        <v>1226600.1866997201</v>
      </c>
      <c r="N118" s="81">
        <f t="shared" si="12"/>
        <v>1067702.917145418</v>
      </c>
      <c r="O118" s="81">
        <f t="shared" si="12"/>
        <v>1253215.4779056618</v>
      </c>
      <c r="P118" s="81">
        <f t="shared" si="12"/>
        <v>14516369.008199604</v>
      </c>
      <c r="Q118" s="81"/>
      <c r="R118" s="81"/>
      <c r="S118" s="81"/>
    </row>
    <row r="119" spans="1:19">
      <c r="A119" s="81"/>
      <c r="B119" s="81" t="s">
        <v>1624</v>
      </c>
      <c r="C119" s="81"/>
      <c r="D119" s="825"/>
      <c r="E119" s="825"/>
      <c r="F119" s="825"/>
      <c r="G119" s="81"/>
      <c r="H119" s="81"/>
      <c r="I119" s="81"/>
      <c r="J119" s="81"/>
      <c r="K119" s="81"/>
      <c r="L119" s="81"/>
      <c r="M119" s="81"/>
      <c r="N119" s="81"/>
      <c r="O119" s="81"/>
      <c r="P119" s="81">
        <f>-'C.2.1 F'!D177</f>
        <v>-31204085.970459312</v>
      </c>
      <c r="Q119" s="81">
        <f>P112-P119</f>
        <v>0</v>
      </c>
      <c r="R119" s="81"/>
      <c r="S119" s="81"/>
    </row>
    <row r="120" spans="1:19">
      <c r="A120" s="81"/>
      <c r="B120" s="81" t="s">
        <v>1680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1:19">
      <c r="A121" s="81"/>
      <c r="B121" s="81" t="s">
        <v>1681</v>
      </c>
      <c r="C121" s="81"/>
      <c r="D121" s="80">
        <f>SUM(D47:D111)+D31+D30-D102</f>
        <v>1330732.2113715671</v>
      </c>
      <c r="E121" s="80">
        <f t="shared" ref="E121:P121" si="13">SUM(E47:E111)+E31+E30-E102</f>
        <v>1199354.6621995131</v>
      </c>
      <c r="F121" s="80">
        <f t="shared" si="13"/>
        <v>1229881.238196149</v>
      </c>
      <c r="G121" s="80">
        <f t="shared" si="13"/>
        <v>1264798.0708769797</v>
      </c>
      <c r="H121" s="80">
        <f t="shared" si="13"/>
        <v>1286283.0343326733</v>
      </c>
      <c r="I121" s="80">
        <f t="shared" si="13"/>
        <v>1182578.8091311369</v>
      </c>
      <c r="J121" s="80">
        <f t="shared" si="13"/>
        <v>1173617.3613453347</v>
      </c>
      <c r="K121" s="80">
        <f t="shared" si="13"/>
        <v>1197347.9122007759</v>
      </c>
      <c r="L121" s="80">
        <f t="shared" si="13"/>
        <v>1104257.1267946751</v>
      </c>
      <c r="M121" s="80">
        <f t="shared" si="13"/>
        <v>1226600.1866997201</v>
      </c>
      <c r="N121" s="80">
        <f t="shared" si="13"/>
        <v>1067702.917145418</v>
      </c>
      <c r="O121" s="80">
        <f t="shared" si="13"/>
        <v>1253215.4779056618</v>
      </c>
      <c r="P121" s="80">
        <f t="shared" si="13"/>
        <v>14516369.008199604</v>
      </c>
      <c r="Q121" s="81" t="s">
        <v>114</v>
      </c>
      <c r="R121" s="81"/>
      <c r="S121" s="81"/>
    </row>
    <row r="122" spans="1:19">
      <c r="A122" s="81"/>
      <c r="B122" s="81"/>
      <c r="C122" s="81"/>
      <c r="D122" s="80">
        <f>'[13]Div 9 forecast'!U578</f>
        <v>1330732.2113715673</v>
      </c>
      <c r="E122" s="80">
        <f>'[13]Div 9 forecast'!V578</f>
        <v>1199354.6621995133</v>
      </c>
      <c r="F122" s="80">
        <f>'[13]Div 9 forecast'!W578</f>
        <v>1229881.2381961492</v>
      </c>
      <c r="G122" s="80">
        <f>'[13]Div 9 forecast'!X578</f>
        <v>1264798.0708769797</v>
      </c>
      <c r="H122" s="80">
        <f>'[13]Div 9 forecast'!Y578</f>
        <v>1286283.0343326733</v>
      </c>
      <c r="I122" s="80">
        <f>'[13]Div 9 forecast'!Z578</f>
        <v>1182578.8091311362</v>
      </c>
      <c r="J122" s="80">
        <f>'[13]Div 9 forecast'!AA578</f>
        <v>1173617.3613453335</v>
      </c>
      <c r="K122" s="80">
        <f>'[13]Div 9 forecast'!AB578</f>
        <v>1197347.9122007759</v>
      </c>
      <c r="L122" s="80">
        <f>'[13]Div 9 forecast'!AC578</f>
        <v>1104257.1267946758</v>
      </c>
      <c r="M122" s="80">
        <f>'[13]Div 9 forecast'!AD578</f>
        <v>1226600.1866997199</v>
      </c>
      <c r="N122" s="80">
        <f>'[13]Div 9 forecast'!AE578</f>
        <v>1067702.9171454182</v>
      </c>
      <c r="O122" s="80">
        <f>'[13]Div 9 forecast'!AF578</f>
        <v>1253215.4779056623</v>
      </c>
      <c r="P122" s="80">
        <f>'[13]Div 9 forecast'!$AI$578</f>
        <v>14516369.008199602</v>
      </c>
      <c r="Q122" s="81"/>
      <c r="R122" s="81"/>
      <c r="S122" s="81"/>
    </row>
    <row r="123" spans="1:19">
      <c r="A123" s="81"/>
      <c r="B123" s="81"/>
      <c r="C123" s="81"/>
      <c r="D123" s="81">
        <f>D121-D122</f>
        <v>0</v>
      </c>
      <c r="E123" s="81">
        <f t="shared" ref="E123:O123" si="14">E121-E122</f>
        <v>0</v>
      </c>
      <c r="F123" s="81">
        <f t="shared" si="14"/>
        <v>0</v>
      </c>
      <c r="G123" s="81">
        <f t="shared" si="14"/>
        <v>0</v>
      </c>
      <c r="H123" s="81">
        <f t="shared" si="14"/>
        <v>0</v>
      </c>
      <c r="I123" s="81">
        <f t="shared" si="14"/>
        <v>0</v>
      </c>
      <c r="J123" s="81">
        <f t="shared" si="14"/>
        <v>0</v>
      </c>
      <c r="K123" s="81">
        <f t="shared" si="14"/>
        <v>0</v>
      </c>
      <c r="L123" s="81">
        <f t="shared" si="14"/>
        <v>0</v>
      </c>
      <c r="M123" s="81">
        <f t="shared" si="14"/>
        <v>0</v>
      </c>
      <c r="N123" s="81">
        <f t="shared" si="14"/>
        <v>0</v>
      </c>
      <c r="O123" s="81">
        <f t="shared" si="14"/>
        <v>0</v>
      </c>
      <c r="P123" s="81"/>
      <c r="Q123" s="103"/>
      <c r="R123" s="81"/>
      <c r="S123" s="81"/>
    </row>
    <row r="124" spans="1:19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170"/>
      <c r="P124" s="81">
        <f>P102</f>
        <v>14498764.188985625</v>
      </c>
      <c r="Q124" s="103" t="s">
        <v>12</v>
      </c>
      <c r="R124" s="81"/>
      <c r="S124" s="81"/>
    </row>
    <row r="125" spans="1:19">
      <c r="A125" s="81"/>
      <c r="B125" s="81"/>
      <c r="C125" s="81"/>
      <c r="D125" s="81">
        <f>D121-D102</f>
        <v>130720.68125952082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170"/>
      <c r="P125" s="430">
        <f>P118+P124</f>
        <v>29015133.19718523</v>
      </c>
      <c r="Q125" s="81" t="s">
        <v>1671</v>
      </c>
      <c r="R125" s="81"/>
      <c r="S125" s="81"/>
    </row>
    <row r="126" spans="1:19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1:19">
      <c r="P127" s="671"/>
    </row>
    <row r="128" spans="1:19">
      <c r="P128" s="733"/>
    </row>
    <row r="129" spans="3:16">
      <c r="C129" s="901"/>
    </row>
    <row r="130" spans="3:16">
      <c r="P130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5"/>
  <sheetViews>
    <sheetView tabSelected="1" view="pageBreakPreview" zoomScale="90" zoomScaleNormal="90" zoomScaleSheetLayoutView="90" workbookViewId="0">
      <selection activeCell="C29" sqref="C29"/>
    </sheetView>
  </sheetViews>
  <sheetFormatPr defaultColWidth="9.6640625" defaultRowHeight="15"/>
  <cols>
    <col min="1" max="1" width="4.6640625" style="40" customWidth="1"/>
    <col min="2" max="2" width="40" style="40" customWidth="1"/>
    <col min="3" max="3" width="12.6640625" style="40" customWidth="1"/>
    <col min="4" max="4" width="1.77734375" style="40" customWidth="1"/>
    <col min="5" max="5" width="13.109375" style="40" bestFit="1" customWidth="1"/>
    <col min="6" max="6" width="3" style="40" customWidth="1"/>
    <col min="7" max="7" width="13.6640625" style="40" customWidth="1"/>
    <col min="8" max="8" width="3" style="40" customWidth="1"/>
    <col min="9" max="9" width="2.109375" style="40" customWidth="1"/>
    <col min="10" max="10" width="13.109375" style="40" bestFit="1" customWidth="1"/>
    <col min="11" max="11" width="2.21875" style="40" customWidth="1"/>
    <col min="12" max="12" width="12.44140625" style="40" customWidth="1"/>
    <col min="13" max="13" width="5.6640625" style="40" customWidth="1"/>
    <col min="14" max="14" width="11.44140625" style="40" customWidth="1"/>
    <col min="15" max="15" width="1.77734375" style="40" customWidth="1"/>
    <col min="16" max="16" width="12" style="40" customWidth="1"/>
    <col min="17" max="17" width="15.6640625" style="40" customWidth="1"/>
    <col min="18" max="18" width="18.6640625" style="40" customWidth="1"/>
    <col min="19" max="19" width="11.6640625" style="40" customWidth="1"/>
    <col min="20" max="20" width="9.6640625" style="40"/>
    <col min="21" max="21" width="23.6640625" style="40" customWidth="1"/>
    <col min="22" max="22" width="14.6640625" style="40" customWidth="1"/>
    <col min="23" max="23" width="18.6640625" style="40" customWidth="1"/>
    <col min="24" max="24" width="13.6640625" style="40" customWidth="1"/>
    <col min="25" max="25" width="29.6640625" style="40" customWidth="1"/>
    <col min="26" max="26" width="9.6640625" style="40"/>
    <col min="27" max="27" width="14.6640625" style="40" customWidth="1"/>
    <col min="28" max="28" width="13.6640625" style="40" customWidth="1"/>
    <col min="29" max="29" width="11.6640625" style="40" customWidth="1"/>
    <col min="30" max="30" width="9.6640625" style="40"/>
    <col min="31" max="31" width="4.6640625" style="40" customWidth="1"/>
    <col min="32" max="32" width="48.6640625" style="40" customWidth="1"/>
    <col min="33" max="33" width="9.6640625" style="40"/>
    <col min="34" max="37" width="10.6640625" style="40" customWidth="1"/>
    <col min="38" max="39" width="9.6640625" style="40"/>
    <col min="40" max="40" width="4.6640625" style="40" customWidth="1"/>
    <col min="41" max="41" width="50.6640625" style="40" customWidth="1"/>
    <col min="42" max="42" width="9.6640625" style="40"/>
    <col min="43" max="43" width="11.6640625" style="40" customWidth="1"/>
    <col min="44" max="44" width="9.6640625" style="40"/>
    <col min="45" max="46" width="4.6640625" style="40" customWidth="1"/>
    <col min="47" max="47" width="40.6640625" style="40" customWidth="1"/>
    <col min="48" max="48" width="1.6640625" style="40" customWidth="1"/>
    <col min="49" max="52" width="11.6640625" style="40" customWidth="1"/>
    <col min="53" max="54" width="9.6640625" style="40"/>
    <col min="55" max="55" width="4.6640625" style="40" customWidth="1"/>
    <col min="56" max="56" width="30.6640625" style="40" customWidth="1"/>
    <col min="57" max="65" width="9.6640625" style="40"/>
    <col min="66" max="66" width="14.6640625" style="40" customWidth="1"/>
    <col min="67" max="68" width="9.6640625" style="40"/>
    <col min="69" max="69" width="12.6640625" style="40" customWidth="1"/>
    <col min="70" max="70" width="10.6640625" style="40" customWidth="1"/>
    <col min="71" max="16384" width="9.6640625" style="40"/>
  </cols>
  <sheetData>
    <row r="1" spans="1:16" s="1" customFormat="1">
      <c r="A1" s="31" t="str">
        <f>'Table of Contents'!A1:C1</f>
        <v>Atmos Energy Corporation, Kentucky/Mid-States Division</v>
      </c>
      <c r="B1" s="30"/>
      <c r="C1" s="30"/>
      <c r="D1" s="30"/>
      <c r="E1" s="30"/>
      <c r="F1" s="30"/>
      <c r="G1" s="30"/>
      <c r="H1" s="30"/>
    </row>
    <row r="2" spans="1:16" s="1" customFormat="1">
      <c r="A2" s="31" t="str">
        <f>'Table of Contents'!A2:C2</f>
        <v>Kentucky Jurisdiction Case No. 2018-00281</v>
      </c>
      <c r="B2" s="30"/>
      <c r="C2" s="30"/>
      <c r="D2" s="30"/>
      <c r="E2" s="30"/>
      <c r="F2" s="30"/>
      <c r="G2" s="30"/>
      <c r="H2" s="30"/>
    </row>
    <row r="3" spans="1:16" s="1" customFormat="1">
      <c r="A3" s="31" t="s">
        <v>1000</v>
      </c>
      <c r="B3" s="30"/>
      <c r="C3" s="30"/>
      <c r="D3" s="30"/>
      <c r="E3" s="30"/>
      <c r="F3" s="30"/>
      <c r="G3" s="30"/>
      <c r="H3" s="30"/>
    </row>
    <row r="4" spans="1:16" s="1" customFormat="1">
      <c r="A4" s="31" t="str">
        <f>'Table of Contents'!A4:C4</f>
        <v>Forecasted Test Period: Twelve Months Ended March 31, 2020</v>
      </c>
      <c r="B4" s="30"/>
      <c r="C4" s="30"/>
      <c r="D4" s="30"/>
      <c r="E4" s="30"/>
      <c r="F4" s="30"/>
      <c r="G4" s="30"/>
      <c r="H4" s="30"/>
    </row>
    <row r="5" spans="1:16" s="1" customFormat="1">
      <c r="A5" s="31"/>
      <c r="B5" s="30"/>
      <c r="C5" s="30"/>
      <c r="D5" s="30"/>
      <c r="E5" s="30"/>
      <c r="F5" s="30"/>
      <c r="G5" s="30"/>
      <c r="H5" s="30"/>
    </row>
    <row r="6" spans="1:16" s="1" customFormat="1">
      <c r="D6" s="3"/>
      <c r="E6" s="3"/>
      <c r="F6" s="3"/>
    </row>
    <row r="7" spans="1:16" s="1" customFormat="1">
      <c r="A7" s="4" t="s">
        <v>410</v>
      </c>
      <c r="G7" s="376" t="s">
        <v>1405</v>
      </c>
      <c r="H7" s="4"/>
      <c r="I7" s="768"/>
    </row>
    <row r="8" spans="1:16" s="1" customFormat="1">
      <c r="A8" s="4" t="s">
        <v>615</v>
      </c>
      <c r="G8" s="489" t="s">
        <v>57</v>
      </c>
      <c r="H8" s="4"/>
      <c r="I8" s="768"/>
    </row>
    <row r="9" spans="1:16" s="1" customFormat="1">
      <c r="A9" s="5" t="s">
        <v>365</v>
      </c>
      <c r="B9" s="6"/>
      <c r="C9" s="6"/>
      <c r="D9" s="7"/>
      <c r="E9" s="7"/>
      <c r="F9" s="7"/>
      <c r="G9" s="550" t="s">
        <v>1195</v>
      </c>
      <c r="H9" s="5"/>
      <c r="I9" s="769"/>
    </row>
    <row r="10" spans="1:16" s="1" customFormat="1">
      <c r="D10" s="8"/>
      <c r="E10" s="2" t="s">
        <v>44</v>
      </c>
      <c r="F10" s="8"/>
      <c r="G10" s="2" t="s">
        <v>43</v>
      </c>
      <c r="I10" s="768"/>
    </row>
    <row r="11" spans="1:16" s="1" customFormat="1">
      <c r="C11" s="2" t="s">
        <v>1185</v>
      </c>
      <c r="D11" s="8"/>
      <c r="E11" s="2" t="s">
        <v>97</v>
      </c>
      <c r="F11" s="8"/>
      <c r="G11" s="2" t="s">
        <v>97</v>
      </c>
      <c r="I11" s="768"/>
    </row>
    <row r="12" spans="1:16" s="1" customFormat="1">
      <c r="A12" s="2" t="s">
        <v>93</v>
      </c>
      <c r="C12" s="2" t="s">
        <v>58</v>
      </c>
      <c r="D12" s="8"/>
      <c r="E12" s="2" t="s">
        <v>595</v>
      </c>
      <c r="F12" s="8"/>
      <c r="G12" s="2" t="s">
        <v>595</v>
      </c>
      <c r="I12" s="768"/>
      <c r="J12" s="736"/>
      <c r="K12" s="737"/>
      <c r="L12" s="736"/>
      <c r="M12" s="736"/>
      <c r="N12" s="736"/>
      <c r="O12" s="736"/>
      <c r="P12" s="736"/>
    </row>
    <row r="13" spans="1:16" s="1" customFormat="1">
      <c r="A13" s="9" t="s">
        <v>99</v>
      </c>
      <c r="B13" s="435" t="s">
        <v>985</v>
      </c>
      <c r="C13" s="435" t="s">
        <v>101</v>
      </c>
      <c r="D13" s="1023"/>
      <c r="E13" s="435" t="s">
        <v>991</v>
      </c>
      <c r="F13" s="1023"/>
      <c r="G13" s="435" t="s">
        <v>991</v>
      </c>
      <c r="H13" s="6"/>
      <c r="I13" s="769"/>
      <c r="J13" s="736"/>
      <c r="K13" s="736"/>
      <c r="L13" s="736"/>
      <c r="M13" s="736"/>
      <c r="N13" s="736"/>
      <c r="O13" s="736"/>
      <c r="P13" s="736"/>
    </row>
    <row r="14" spans="1:16" s="1" customFormat="1">
      <c r="B14" s="1024" t="s">
        <v>750</v>
      </c>
      <c r="C14" s="1024" t="s">
        <v>751</v>
      </c>
      <c r="D14" s="1025"/>
      <c r="E14" s="1024" t="s">
        <v>411</v>
      </c>
      <c r="F14" s="1025"/>
      <c r="G14" s="1024" t="s">
        <v>752</v>
      </c>
      <c r="I14" s="768"/>
      <c r="J14" s="738"/>
      <c r="K14" s="739"/>
      <c r="L14" s="738"/>
      <c r="M14" s="736"/>
      <c r="N14" s="738"/>
      <c r="O14" s="739"/>
      <c r="P14" s="738"/>
    </row>
    <row r="15" spans="1:16" s="1" customFormat="1">
      <c r="B15" s="81"/>
      <c r="C15" s="81"/>
      <c r="D15" s="1025"/>
      <c r="E15" s="1025"/>
      <c r="F15" s="1025"/>
      <c r="G15" s="73"/>
      <c r="H15" s="10"/>
      <c r="I15" s="770"/>
      <c r="J15" s="736"/>
      <c r="K15" s="736"/>
      <c r="L15" s="736"/>
      <c r="M15" s="736"/>
      <c r="N15" s="736"/>
      <c r="O15" s="736"/>
      <c r="P15" s="736"/>
    </row>
    <row r="16" spans="1:16" s="1" customFormat="1">
      <c r="A16" s="2">
        <v>1</v>
      </c>
      <c r="B16" s="88" t="s">
        <v>271</v>
      </c>
      <c r="C16" s="855" t="s">
        <v>367</v>
      </c>
      <c r="D16" s="81"/>
      <c r="E16" s="346">
        <f>'B.1 B'!F27</f>
        <v>414060907.81372249</v>
      </c>
      <c r="F16" s="81"/>
      <c r="G16" s="306">
        <f>'B.1 F '!F27</f>
        <v>499515227.74746406</v>
      </c>
      <c r="H16" s="10"/>
      <c r="I16" s="769"/>
      <c r="J16" s="736"/>
      <c r="K16" s="736"/>
      <c r="L16" s="736"/>
      <c r="M16" s="736"/>
      <c r="N16" s="736"/>
      <c r="O16" s="736"/>
      <c r="P16" s="736"/>
    </row>
    <row r="17" spans="1:17" s="1" customFormat="1">
      <c r="B17" s="81"/>
      <c r="C17" s="81"/>
      <c r="D17" s="81"/>
      <c r="E17" s="81"/>
      <c r="F17" s="81"/>
      <c r="G17" s="73"/>
      <c r="H17" s="10"/>
      <c r="I17" s="769"/>
      <c r="J17" s="736"/>
      <c r="K17" s="736"/>
      <c r="L17" s="736"/>
      <c r="M17" s="736"/>
      <c r="N17" s="736"/>
      <c r="O17" s="736"/>
      <c r="P17" s="736"/>
    </row>
    <row r="18" spans="1:17" s="1" customFormat="1">
      <c r="A18" s="2">
        <v>2</v>
      </c>
      <c r="B18" s="88" t="s">
        <v>124</v>
      </c>
      <c r="C18" s="855" t="s">
        <v>369</v>
      </c>
      <c r="D18" s="81"/>
      <c r="E18" s="306">
        <f>'C.1'!D26</f>
        <v>27501681.937349081</v>
      </c>
      <c r="F18" s="81"/>
      <c r="G18" s="306">
        <f>'C.1'!F26</f>
        <v>33060266.6975317</v>
      </c>
      <c r="H18" s="10"/>
      <c r="I18" s="771"/>
      <c r="J18" s="736"/>
      <c r="K18" s="736"/>
      <c r="L18" s="736"/>
      <c r="M18" s="736"/>
      <c r="N18" s="736"/>
      <c r="O18" s="736"/>
      <c r="P18" s="736"/>
    </row>
    <row r="19" spans="1:17" s="1" customFormat="1">
      <c r="B19" s="81"/>
      <c r="C19" s="81"/>
      <c r="D19" s="81"/>
      <c r="E19" s="81"/>
      <c r="F19" s="81"/>
      <c r="G19" s="73"/>
      <c r="H19" s="10"/>
      <c r="I19" s="769"/>
      <c r="J19" s="736"/>
      <c r="K19" s="736"/>
      <c r="L19" s="736"/>
      <c r="M19" s="736"/>
      <c r="N19" s="736"/>
      <c r="O19" s="736"/>
      <c r="P19" s="736"/>
    </row>
    <row r="20" spans="1:17" s="1" customFormat="1">
      <c r="A20" s="2">
        <v>3</v>
      </c>
      <c r="B20" s="88" t="s">
        <v>412</v>
      </c>
      <c r="C20" s="857" t="s">
        <v>142</v>
      </c>
      <c r="D20" s="81"/>
      <c r="E20" s="112">
        <f>ROUND(E18/E16,4)</f>
        <v>6.6400000000000001E-2</v>
      </c>
      <c r="F20" s="81"/>
      <c r="G20" s="112">
        <f>ROUND(G18/G16,4)</f>
        <v>6.6199999999999995E-2</v>
      </c>
      <c r="H20" s="11"/>
      <c r="I20" s="772"/>
      <c r="J20" s="736"/>
      <c r="K20" s="736"/>
      <c r="L20" s="736"/>
      <c r="M20" s="736"/>
      <c r="N20" s="736"/>
      <c r="O20" s="736"/>
      <c r="P20" s="736"/>
    </row>
    <row r="21" spans="1:17" s="1" customFormat="1">
      <c r="B21" s="81"/>
      <c r="C21" s="81"/>
      <c r="D21" s="81"/>
      <c r="E21" s="81"/>
      <c r="F21" s="81"/>
      <c r="G21" s="73"/>
      <c r="H21" s="10"/>
      <c r="I21" s="769"/>
      <c r="J21" s="736"/>
      <c r="K21" s="736"/>
      <c r="L21" s="736"/>
      <c r="M21" s="736"/>
      <c r="N21" s="736"/>
      <c r="O21" s="736"/>
      <c r="P21" s="736"/>
    </row>
    <row r="22" spans="1:17" s="1" customFormat="1">
      <c r="A22" s="2">
        <v>4</v>
      </c>
      <c r="B22" s="88" t="s">
        <v>287</v>
      </c>
      <c r="C22" s="855" t="s">
        <v>1134</v>
      </c>
      <c r="D22" s="81"/>
      <c r="E22" s="825">
        <f>'J-1 Base'!M27</f>
        <v>8.1499999999999989E-2</v>
      </c>
      <c r="F22" s="81"/>
      <c r="G22" s="112">
        <f>'J-1 F'!M28</f>
        <v>7.9500000000000001E-2</v>
      </c>
      <c r="H22" s="11"/>
      <c r="I22" s="773"/>
      <c r="J22" s="740"/>
      <c r="K22" s="736"/>
      <c r="L22" s="740"/>
      <c r="M22" s="736"/>
      <c r="N22" s="740"/>
      <c r="O22" s="736"/>
      <c r="P22" s="740"/>
      <c r="Q22" s="592"/>
    </row>
    <row r="23" spans="1:17" s="1" customFormat="1">
      <c r="B23" s="81"/>
      <c r="C23" s="81"/>
      <c r="D23" s="81"/>
      <c r="E23" s="81"/>
      <c r="F23" s="81"/>
      <c r="G23" s="73"/>
      <c r="H23" s="10"/>
      <c r="I23" s="769"/>
      <c r="J23" s="736"/>
      <c r="K23" s="736"/>
      <c r="L23" s="736"/>
      <c r="M23" s="736"/>
      <c r="N23" s="736"/>
      <c r="O23" s="736"/>
      <c r="P23" s="736"/>
    </row>
    <row r="24" spans="1:17" s="1" customFormat="1">
      <c r="A24" s="2">
        <v>5</v>
      </c>
      <c r="B24" s="88" t="s">
        <v>413</v>
      </c>
      <c r="C24" s="857" t="s">
        <v>369</v>
      </c>
      <c r="D24" s="81"/>
      <c r="E24" s="306">
        <f>ROUND(E16*E22,0)</f>
        <v>33745964</v>
      </c>
      <c r="F24" s="81"/>
      <c r="G24" s="306">
        <f>ROUND(G16*G22,0)</f>
        <v>39711461</v>
      </c>
      <c r="H24" s="10"/>
      <c r="I24" s="771"/>
      <c r="J24" s="736"/>
      <c r="K24" s="736"/>
      <c r="L24" s="736"/>
      <c r="M24" s="736"/>
      <c r="N24" s="736"/>
      <c r="O24" s="736"/>
      <c r="P24" s="736"/>
    </row>
    <row r="25" spans="1:17" s="1" customFormat="1">
      <c r="B25" s="81"/>
      <c r="C25" s="81"/>
      <c r="D25" s="81"/>
      <c r="E25" s="81"/>
      <c r="F25" s="81"/>
      <c r="G25" s="73"/>
      <c r="H25" s="10"/>
      <c r="I25" s="769"/>
      <c r="J25" s="736"/>
      <c r="K25" s="736"/>
      <c r="L25" s="736"/>
      <c r="M25" s="736"/>
      <c r="N25" s="736"/>
      <c r="O25" s="736"/>
      <c r="P25" s="736"/>
    </row>
    <row r="26" spans="1:17" s="1" customFormat="1">
      <c r="A26" s="2">
        <v>6</v>
      </c>
      <c r="B26" s="88" t="s">
        <v>414</v>
      </c>
      <c r="C26" s="857" t="s">
        <v>369</v>
      </c>
      <c r="D26" s="81"/>
      <c r="E26" s="306">
        <f>(E24-E18)</f>
        <v>6244282.062650919</v>
      </c>
      <c r="F26" s="81"/>
      <c r="G26" s="306">
        <f>(G24-G18)</f>
        <v>6651194.3024682999</v>
      </c>
      <c r="H26" s="10"/>
      <c r="I26" s="771"/>
      <c r="J26" s="736"/>
      <c r="K26" s="736"/>
      <c r="L26" s="736"/>
      <c r="M26" s="736"/>
      <c r="N26" s="736"/>
      <c r="O26" s="736"/>
      <c r="P26" s="736"/>
    </row>
    <row r="27" spans="1:17" s="1" customFormat="1">
      <c r="B27" s="81"/>
      <c r="C27" s="81"/>
      <c r="D27" s="81"/>
      <c r="E27" s="81"/>
      <c r="F27" s="81"/>
      <c r="G27" s="73"/>
      <c r="H27" s="10"/>
      <c r="I27" s="769"/>
      <c r="J27" s="736"/>
      <c r="K27" s="736"/>
      <c r="L27" s="736"/>
      <c r="M27" s="736"/>
      <c r="N27" s="736"/>
      <c r="O27" s="736"/>
      <c r="P27" s="736"/>
    </row>
    <row r="28" spans="1:17" s="1" customFormat="1">
      <c r="A28" s="2">
        <v>7</v>
      </c>
      <c r="B28" s="88" t="s">
        <v>126</v>
      </c>
      <c r="C28" s="855" t="s">
        <v>375</v>
      </c>
      <c r="D28" s="81"/>
      <c r="E28" s="488">
        <f>H.1!D34</f>
        <v>1.341839</v>
      </c>
      <c r="F28" s="81"/>
      <c r="G28" s="488">
        <f>H.1!E34</f>
        <v>1.341839</v>
      </c>
      <c r="H28" s="10"/>
      <c r="I28" s="774"/>
      <c r="J28" s="736"/>
      <c r="K28" s="736"/>
      <c r="L28" s="736"/>
      <c r="M28" s="736"/>
      <c r="N28" s="736"/>
      <c r="O28" s="736"/>
      <c r="P28" s="736"/>
    </row>
    <row r="29" spans="1:17" s="1" customFormat="1">
      <c r="E29" s="81"/>
      <c r="F29" s="81"/>
      <c r="G29" s="73"/>
      <c r="H29" s="10"/>
      <c r="I29" s="769"/>
      <c r="J29" s="736"/>
      <c r="K29" s="736"/>
      <c r="L29" s="736"/>
      <c r="M29" s="736"/>
      <c r="N29" s="736"/>
      <c r="O29" s="736"/>
      <c r="P29" s="736"/>
    </row>
    <row r="30" spans="1:17" ht="15.75">
      <c r="A30" s="2">
        <v>8</v>
      </c>
      <c r="B30" s="27" t="s">
        <v>415</v>
      </c>
      <c r="E30" s="395">
        <f>ROUND(E26*E28,0)</f>
        <v>8378821</v>
      </c>
      <c r="F30" s="195"/>
      <c r="G30" s="395">
        <f>ROUND(G26*G28,0)</f>
        <v>8924832</v>
      </c>
      <c r="I30" s="775"/>
      <c r="J30" s="1194"/>
      <c r="K30" s="736"/>
      <c r="L30" s="736"/>
      <c r="M30" s="741"/>
      <c r="N30" s="736"/>
      <c r="O30" s="736"/>
      <c r="P30" s="736"/>
    </row>
    <row r="31" spans="1:17">
      <c r="E31" s="195"/>
      <c r="F31" s="195"/>
      <c r="G31" s="223"/>
      <c r="H31" s="187"/>
      <c r="I31" s="776"/>
      <c r="J31" s="736"/>
      <c r="K31" s="736"/>
      <c r="L31" s="736"/>
      <c r="M31" s="736"/>
      <c r="N31" s="736"/>
      <c r="O31" s="736"/>
      <c r="P31" s="736"/>
    </row>
    <row r="32" spans="1:17">
      <c r="A32" s="1166">
        <v>9</v>
      </c>
      <c r="B32" s="40" t="s">
        <v>1662</v>
      </c>
      <c r="C32" s="78" t="s">
        <v>1663</v>
      </c>
      <c r="E32" s="195"/>
      <c r="F32" s="195"/>
      <c r="G32" s="223">
        <f>-'WP B.5 F1'!E23</f>
        <v>-1463766.1361715582</v>
      </c>
      <c r="H32" s="187"/>
      <c r="I32" s="776"/>
      <c r="J32" s="736"/>
      <c r="K32" s="736"/>
      <c r="L32" s="736"/>
      <c r="M32" s="736"/>
      <c r="N32" s="736"/>
      <c r="O32" s="736"/>
      <c r="P32" s="736"/>
    </row>
    <row r="33" spans="1:16">
      <c r="E33" s="195"/>
      <c r="F33" s="195"/>
      <c r="G33" s="223"/>
      <c r="H33" s="187"/>
      <c r="I33" s="776"/>
      <c r="J33" s="736"/>
      <c r="K33" s="736"/>
      <c r="L33" s="736"/>
      <c r="M33" s="736"/>
      <c r="N33" s="736"/>
      <c r="O33" s="736"/>
      <c r="P33" s="736"/>
    </row>
    <row r="34" spans="1:16" ht="15.75">
      <c r="A34" s="188">
        <v>10</v>
      </c>
      <c r="B34" s="1167" t="s">
        <v>1112</v>
      </c>
      <c r="C34" s="1168" t="s">
        <v>369</v>
      </c>
      <c r="D34" s="102"/>
      <c r="E34" s="942"/>
      <c r="F34" s="942"/>
      <c r="G34" s="1169">
        <f>G30+G32</f>
        <v>7461065.8638284421</v>
      </c>
      <c r="H34" s="187"/>
      <c r="I34" s="776"/>
      <c r="J34" s="1194"/>
      <c r="K34" s="736"/>
      <c r="L34" s="736"/>
      <c r="M34" s="736"/>
      <c r="N34" s="736"/>
      <c r="O34" s="736"/>
      <c r="P34" s="736"/>
    </row>
    <row r="35" spans="1:16">
      <c r="E35" s="195"/>
      <c r="F35" s="195"/>
      <c r="G35" s="223"/>
      <c r="H35" s="187"/>
      <c r="I35" s="776"/>
      <c r="J35" s="736"/>
      <c r="K35" s="736"/>
      <c r="L35" s="736"/>
      <c r="M35" s="736"/>
      <c r="N35" s="736"/>
      <c r="O35" s="736"/>
      <c r="P35" s="736"/>
    </row>
    <row r="36" spans="1:16">
      <c r="A36" s="188">
        <v>11</v>
      </c>
      <c r="B36" s="180" t="s">
        <v>1186</v>
      </c>
      <c r="C36" s="188" t="s">
        <v>369</v>
      </c>
      <c r="E36" s="195"/>
      <c r="F36" s="195"/>
      <c r="G36" s="307">
        <f>'C.1'!F15</f>
        <v>169717865.83695579</v>
      </c>
      <c r="H36" s="187"/>
      <c r="I36" s="776"/>
      <c r="J36" s="1194"/>
      <c r="K36" s="736"/>
      <c r="L36" s="736"/>
      <c r="M36" s="736"/>
      <c r="N36" s="736"/>
      <c r="O36" s="736"/>
      <c r="P36" s="736"/>
    </row>
    <row r="37" spans="1:16">
      <c r="E37" s="195"/>
      <c r="F37" s="195"/>
      <c r="G37" s="223"/>
      <c r="H37" s="187"/>
      <c r="I37" s="776"/>
      <c r="J37" s="736"/>
      <c r="K37" s="736"/>
      <c r="L37" s="736"/>
      <c r="M37" s="736"/>
      <c r="N37" s="736"/>
      <c r="O37" s="736"/>
      <c r="P37" s="736"/>
    </row>
    <row r="38" spans="1:16">
      <c r="A38" s="188">
        <v>12</v>
      </c>
      <c r="B38" s="180" t="s">
        <v>1719</v>
      </c>
      <c r="C38" s="188" t="s">
        <v>369</v>
      </c>
      <c r="E38" s="195"/>
      <c r="F38" s="195"/>
      <c r="G38" s="307">
        <f>G34+G36</f>
        <v>177178931.70078424</v>
      </c>
      <c r="H38" s="187"/>
      <c r="I38" s="776"/>
      <c r="J38" s="1194"/>
      <c r="K38" s="736"/>
      <c r="L38" s="736"/>
      <c r="M38" s="736"/>
      <c r="N38" s="736"/>
      <c r="O38" s="736"/>
      <c r="P38" s="736"/>
    </row>
    <row r="39" spans="1:16">
      <c r="G39" s="195"/>
      <c r="I39" s="191"/>
      <c r="J39" s="191"/>
      <c r="K39" s="194"/>
    </row>
    <row r="40" spans="1:16">
      <c r="I40" s="191"/>
      <c r="J40" s="191"/>
      <c r="K40" s="191"/>
    </row>
    <row r="41" spans="1:16">
      <c r="A41" s="191"/>
      <c r="B41" s="224"/>
      <c r="C41" s="225"/>
      <c r="G41" s="736"/>
      <c r="I41" s="191"/>
      <c r="J41" s="191"/>
      <c r="K41" s="191"/>
    </row>
    <row r="42" spans="1:16">
      <c r="A42" s="191"/>
      <c r="B42" s="191"/>
      <c r="C42" s="191"/>
      <c r="G42" s="736"/>
      <c r="H42" s="736"/>
      <c r="I42" s="191"/>
      <c r="J42" s="191"/>
      <c r="K42" s="191"/>
    </row>
    <row r="43" spans="1:16">
      <c r="A43" s="191"/>
      <c r="B43" s="191"/>
      <c r="C43" s="191"/>
      <c r="G43" s="736"/>
      <c r="H43" s="736"/>
    </row>
    <row r="44" spans="1:16">
      <c r="G44" s="736"/>
    </row>
    <row r="45" spans="1:16">
      <c r="G45" s="736"/>
    </row>
  </sheetData>
  <phoneticPr fontId="22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4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sqref="A1:P1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4" width="14.5546875" style="80" bestFit="1" customWidth="1"/>
    <col min="5" max="5" width="11.88671875" style="80" bestFit="1" customWidth="1"/>
    <col min="6" max="6" width="11.109375" style="80" customWidth="1"/>
    <col min="7" max="8" width="11.88671875" style="80" bestFit="1" customWidth="1"/>
    <col min="9" max="9" width="12.6640625" style="80" customWidth="1"/>
    <col min="10" max="10" width="13.109375" style="80" bestFit="1" customWidth="1"/>
    <col min="11" max="14" width="11.77734375" style="80" bestFit="1" customWidth="1"/>
    <col min="15" max="15" width="12.44140625" style="80" customWidth="1"/>
    <col min="16" max="16" width="12.44140625" style="80" bestFit="1" customWidth="1"/>
    <col min="17" max="17" width="9.6640625" style="80" customWidth="1"/>
    <col min="18" max="18" width="12.5546875" style="80" customWidth="1"/>
    <col min="19" max="16384" width="7.109375" style="80"/>
  </cols>
  <sheetData>
    <row r="1" spans="1:18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81"/>
    </row>
    <row r="2" spans="1:18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81"/>
    </row>
    <row r="3" spans="1:18" ht="15.75">
      <c r="A3" s="1210" t="s">
        <v>186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81"/>
    </row>
    <row r="4" spans="1:18">
      <c r="A4" s="1210" t="str">
        <f>'Table of Contents'!A4:C4</f>
        <v>Forecasted Test Period: Twelve Months Ended March 31, 2020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81"/>
    </row>
    <row r="5" spans="1:18">
      <c r="A5" s="81"/>
      <c r="B5" s="150"/>
      <c r="C5" s="150"/>
      <c r="D5" s="150"/>
      <c r="E5" s="150"/>
      <c r="F5" s="150"/>
      <c r="G5" s="870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 ht="15.75">
      <c r="A6" s="88" t="str">
        <f>'C.2.1 F'!A6</f>
        <v>Data:________Base Period___X____Forecasted Period</v>
      </c>
      <c r="B6" s="81"/>
      <c r="C6" s="88"/>
      <c r="D6" s="81"/>
      <c r="E6" s="81"/>
      <c r="F6" s="902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</row>
    <row r="7" spans="1:18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</row>
    <row r="8" spans="1:18">
      <c r="A8" s="391" t="str">
        <f>'C.2.1 F'!A8</f>
        <v>Workpaper Reference No(s).____________________</v>
      </c>
      <c r="B8" s="82"/>
      <c r="C8" s="433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0" t="str">
        <f>'C.1'!J9</f>
        <v>Witness: Waller, Densman</v>
      </c>
      <c r="Q8" s="81"/>
    </row>
    <row r="9" spans="1:18">
      <c r="A9" s="392" t="s">
        <v>93</v>
      </c>
      <c r="B9" s="827" t="s">
        <v>100</v>
      </c>
      <c r="C9" s="903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904"/>
      <c r="Q9" s="81"/>
    </row>
    <row r="10" spans="1:18">
      <c r="A10" s="393" t="s">
        <v>99</v>
      </c>
      <c r="B10" s="82" t="s">
        <v>99</v>
      </c>
      <c r="C10" s="905" t="s">
        <v>952</v>
      </c>
      <c r="D10" s="613">
        <f>'C.2.2-F 09'!D10</f>
        <v>43556</v>
      </c>
      <c r="E10" s="613">
        <f>'C.2.2-F 09'!F10</f>
        <v>43617</v>
      </c>
      <c r="F10" s="613">
        <f>'C.2.2-F 09'!F10</f>
        <v>43617</v>
      </c>
      <c r="G10" s="613">
        <f>'C.2.2-F 09'!G10</f>
        <v>43647</v>
      </c>
      <c r="H10" s="613">
        <f>'C.2.2-F 09'!H10</f>
        <v>43678</v>
      </c>
      <c r="I10" s="613">
        <f>'C.2.2-F 09'!I10</f>
        <v>43709</v>
      </c>
      <c r="J10" s="613">
        <f>'C.2.2-F 09'!J10</f>
        <v>43739</v>
      </c>
      <c r="K10" s="613">
        <f>'C.2.2-F 09'!K10</f>
        <v>43770</v>
      </c>
      <c r="L10" s="613">
        <f>'C.2.2-F 09'!L10</f>
        <v>43800</v>
      </c>
      <c r="M10" s="613">
        <f>'C.2.2-F 09'!M10</f>
        <v>43831</v>
      </c>
      <c r="N10" s="613">
        <f>'C.2.2-F 09'!N10</f>
        <v>43862</v>
      </c>
      <c r="O10" s="613">
        <f>'C.2.2-F 09'!O10</f>
        <v>43891</v>
      </c>
      <c r="P10" s="363" t="str">
        <f>'C.2.2 B 09'!P10</f>
        <v>Total</v>
      </c>
      <c r="Q10" s="81"/>
    </row>
    <row r="11" spans="1:18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1"/>
    </row>
    <row r="12" spans="1:18">
      <c r="A12" s="851">
        <v>1</v>
      </c>
      <c r="B12" s="707">
        <v>4030</v>
      </c>
      <c r="C12" s="81" t="s">
        <v>91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37" si="0">SUM(D12:O12)</f>
        <v>0</v>
      </c>
      <c r="Q12" s="81"/>
    </row>
    <row r="13" spans="1:18">
      <c r="A13" s="851">
        <f>A12+1</f>
        <v>2</v>
      </c>
      <c r="B13" s="707">
        <v>4081</v>
      </c>
      <c r="C13" s="81" t="s">
        <v>862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8">
      <c r="A14" s="851">
        <f>A13+1</f>
        <v>3</v>
      </c>
      <c r="B14" s="365">
        <v>8210</v>
      </c>
      <c r="C14" s="103" t="s">
        <v>891</v>
      </c>
      <c r="D14" s="597">
        <f>VLOOKUP($B14, '[13]Div 2 forecast'!$D$316:$AF$392,18,FALSE)</f>
        <v>0</v>
      </c>
      <c r="E14" s="597">
        <f>VLOOKUP($B14, '[13]Div 2 forecast'!$D$316:$AF$392,19,FALSE)</f>
        <v>0</v>
      </c>
      <c r="F14" s="597">
        <f>VLOOKUP($B14, '[13]Div 2 forecast'!$D$316:$AF$392,20,FALSE)</f>
        <v>0</v>
      </c>
      <c r="G14" s="597">
        <f>VLOOKUP($B14, '[13]Div 2 forecast'!$D$316:$AF$392,21,FALSE)</f>
        <v>0</v>
      </c>
      <c r="H14" s="597">
        <f>VLOOKUP($B14, '[13]Div 2 forecast'!$D$316:$AF$392,22,FALSE)</f>
        <v>0</v>
      </c>
      <c r="I14" s="597">
        <f>VLOOKUP($B14, '[13]Div 2 forecast'!$D$316:$AF$392,23,FALSE)</f>
        <v>0</v>
      </c>
      <c r="J14" s="597">
        <f>VLOOKUP($B14, '[13]Div 2 forecast'!$D$316:$AF$392,24,FALSE)</f>
        <v>0</v>
      </c>
      <c r="K14" s="597">
        <f>VLOOKUP($B14, '[13]Div 2 forecast'!$D$316:$AF$392,25,FALSE)</f>
        <v>0</v>
      </c>
      <c r="L14" s="597">
        <f>VLOOKUP($B14, '[13]Div 2 forecast'!$D$316:$AF$392,26,FALSE)</f>
        <v>0</v>
      </c>
      <c r="M14" s="597">
        <f>VLOOKUP($B14, '[13]Div 2 forecast'!$D$316:$AF$392,27,FALSE)</f>
        <v>0</v>
      </c>
      <c r="N14" s="597">
        <f>VLOOKUP($B14, '[13]Div 2 forecast'!$D$316:$AF$392,28,FALSE)</f>
        <v>0</v>
      </c>
      <c r="O14" s="597">
        <f>VLOOKUP($B14, '[13]Div 2 forecast'!$D$316:$AF$392,29,FALSE)</f>
        <v>0</v>
      </c>
      <c r="P14" s="81">
        <f t="shared" si="0"/>
        <v>0</v>
      </c>
      <c r="Q14" s="81"/>
    </row>
    <row r="15" spans="1:18">
      <c r="A15" s="851">
        <f t="shared" ref="A15:A20" si="1">A14+1</f>
        <v>4</v>
      </c>
      <c r="B15" s="707">
        <v>8560</v>
      </c>
      <c r="C15" s="81" t="s">
        <v>909</v>
      </c>
      <c r="D15" s="597">
        <f>VLOOKUP($B15, '[13]Div 2 forecast'!$D$316:$AF$392,18,FALSE)</f>
        <v>1290.6159433937373</v>
      </c>
      <c r="E15" s="597">
        <f>VLOOKUP($B15, '[13]Div 2 forecast'!$D$316:$AF$392,19,FALSE)</f>
        <v>1349.1734457064617</v>
      </c>
      <c r="F15" s="597">
        <f>VLOOKUP($B15, '[13]Div 2 forecast'!$D$316:$AF$392,20,FALSE)</f>
        <v>1173.5006288270752</v>
      </c>
      <c r="G15" s="597">
        <f>VLOOKUP($B15, '[13]Div 2 forecast'!$D$316:$AF$392,21,FALSE)</f>
        <v>1349.1734457064617</v>
      </c>
      <c r="H15" s="597">
        <f>VLOOKUP($B15, '[13]Div 2 forecast'!$D$316:$AF$392,22,FALSE)</f>
        <v>1290.6159433937373</v>
      </c>
      <c r="I15" s="597">
        <f>VLOOKUP($B15, '[13]Div 2 forecast'!$D$316:$AF$392,23,FALSE)</f>
        <v>1232.1450728683544</v>
      </c>
      <c r="J15" s="597">
        <f>VLOOKUP($B15, '[13]Div 2 forecast'!$D$316:$AF$392,24,FALSE)</f>
        <v>1396.0658987042982</v>
      </c>
      <c r="K15" s="597">
        <f>VLOOKUP($B15, '[13]Div 2 forecast'!$D$316:$AF$392,25,FALSE)</f>
        <v>1335.4726619787464</v>
      </c>
      <c r="L15" s="597">
        <f>VLOOKUP($B15, '[13]Div 2 forecast'!$D$316:$AF$392,26,FALSE)</f>
        <v>1274.8794255373275</v>
      </c>
      <c r="M15" s="597">
        <f>VLOOKUP($B15, '[13]Div 2 forecast'!$D$316:$AF$392,27,FALSE)</f>
        <v>1389.6486490776556</v>
      </c>
      <c r="N15" s="597">
        <f>VLOOKUP($B15, '[13]Div 2 forecast'!$D$316:$AF$392,28,FALSE)</f>
        <v>1208.7056476918874</v>
      </c>
      <c r="O15" s="597">
        <f>VLOOKUP($B15, '[13]Div 2 forecast'!$D$316:$AF$392,29,FALSE)</f>
        <v>1269.0201945975764</v>
      </c>
      <c r="P15" s="81">
        <f t="shared" si="0"/>
        <v>15559.01695748332</v>
      </c>
      <c r="Q15" s="81"/>
      <c r="R15" s="691"/>
    </row>
    <row r="16" spans="1:18">
      <c r="A16" s="851">
        <f t="shared" si="1"/>
        <v>5</v>
      </c>
      <c r="B16" s="707">
        <v>8700</v>
      </c>
      <c r="C16" s="81" t="s">
        <v>913</v>
      </c>
      <c r="D16" s="597">
        <f>VLOOKUP($B16, '[13]Div 2 forecast'!$D$316:$AF$392,18,FALSE)</f>
        <v>40289.426297724953</v>
      </c>
      <c r="E16" s="597">
        <f>VLOOKUP($B16, '[13]Div 2 forecast'!$D$316:$AF$392,19,FALSE)</f>
        <v>42175.929027634367</v>
      </c>
      <c r="F16" s="597">
        <f>VLOOKUP($B16, '[13]Div 2 forecast'!$D$316:$AF$392,20,FALSE)</f>
        <v>40147.8091295083</v>
      </c>
      <c r="G16" s="597">
        <f>VLOOKUP($B16, '[13]Div 2 forecast'!$D$316:$AF$392,21,FALSE)</f>
        <v>42878.108573457001</v>
      </c>
      <c r="H16" s="597">
        <f>VLOOKUP($B16, '[13]Div 2 forecast'!$D$316:$AF$392,22,FALSE)</f>
        <v>40507.934885857401</v>
      </c>
      <c r="I16" s="597">
        <f>VLOOKUP($B16, '[13]Div 2 forecast'!$D$316:$AF$392,23,FALSE)</f>
        <v>43399.814599081648</v>
      </c>
      <c r="J16" s="597">
        <f>VLOOKUP($B16, '[13]Div 2 forecast'!$D$316:$AF$392,24,FALSE)</f>
        <v>43509.859721459892</v>
      </c>
      <c r="K16" s="597">
        <f>VLOOKUP($B16, '[13]Div 2 forecast'!$D$316:$AF$392,25,FALSE)</f>
        <v>41949.649029056571</v>
      </c>
      <c r="L16" s="597">
        <f>VLOOKUP($B16, '[13]Div 2 forecast'!$D$316:$AF$392,26,FALSE)</f>
        <v>40366.188147058652</v>
      </c>
      <c r="M16" s="597">
        <f>VLOOKUP($B16, '[13]Div 2 forecast'!$D$316:$AF$392,27,FALSE)</f>
        <v>41069.80824986651</v>
      </c>
      <c r="N16" s="597">
        <f>VLOOKUP($B16, '[13]Div 2 forecast'!$D$316:$AF$392,28,FALSE)</f>
        <v>39694.442278933348</v>
      </c>
      <c r="O16" s="597">
        <f>VLOOKUP($B16, '[13]Div 2 forecast'!$D$316:$AF$392,29,FALSE)</f>
        <v>41179.643078960864</v>
      </c>
      <c r="P16" s="81">
        <f t="shared" si="0"/>
        <v>497168.61301859951</v>
      </c>
      <c r="Q16" s="81"/>
      <c r="R16" s="691"/>
    </row>
    <row r="17" spans="1:18">
      <c r="A17" s="851">
        <f t="shared" si="1"/>
        <v>6</v>
      </c>
      <c r="B17" s="707">
        <v>8740</v>
      </c>
      <c r="C17" s="81" t="s">
        <v>915</v>
      </c>
      <c r="D17" s="597">
        <f>VLOOKUP($B17, '[13]Div 2 forecast'!$D$316:$AF$392,18,FALSE)</f>
        <v>6227.4782322938163</v>
      </c>
      <c r="E17" s="597">
        <f>VLOOKUP($B17, '[13]Div 2 forecast'!$D$316:$AF$392,19,FALSE)</f>
        <v>6227.4782322938163</v>
      </c>
      <c r="F17" s="597">
        <f>VLOOKUP($B17, '[13]Div 2 forecast'!$D$316:$AF$392,20,FALSE)</f>
        <v>6227.4782322938163</v>
      </c>
      <c r="G17" s="597">
        <f>VLOOKUP($B17, '[13]Div 2 forecast'!$D$316:$AF$392,21,FALSE)</f>
        <v>6227.4782322938163</v>
      </c>
      <c r="H17" s="597">
        <f>VLOOKUP($B17, '[13]Div 2 forecast'!$D$316:$AF$392,22,FALSE)</f>
        <v>6227.4782322938163</v>
      </c>
      <c r="I17" s="597">
        <f>VLOOKUP($B17, '[13]Div 2 forecast'!$D$316:$AF$392,23,FALSE)</f>
        <v>6231.4587233339525</v>
      </c>
      <c r="J17" s="597">
        <f>VLOOKUP($B17, '[13]Div 2 forecast'!$D$316:$AF$392,24,FALSE)</f>
        <v>6227.4782322938163</v>
      </c>
      <c r="K17" s="597">
        <f>VLOOKUP($B17, '[13]Div 2 forecast'!$D$316:$AF$392,25,FALSE)</f>
        <v>6227.4782322938163</v>
      </c>
      <c r="L17" s="597">
        <f>VLOOKUP($B17, '[13]Div 2 forecast'!$D$316:$AF$392,26,FALSE)</f>
        <v>6227.4782322938163</v>
      </c>
      <c r="M17" s="597">
        <f>VLOOKUP($B17, '[13]Div 2 forecast'!$D$316:$AF$392,27,FALSE)</f>
        <v>6227.4782322938163</v>
      </c>
      <c r="N17" s="597">
        <f>VLOOKUP($B17, '[13]Div 2 forecast'!$D$316:$AF$392,28,FALSE)</f>
        <v>6227.4782322938163</v>
      </c>
      <c r="O17" s="597">
        <f>VLOOKUP($B17, '[13]Div 2 forecast'!$D$316:$AF$392,29,FALSE)</f>
        <v>6227.4782322938163</v>
      </c>
      <c r="P17" s="81">
        <f t="shared" si="0"/>
        <v>74733.719278565943</v>
      </c>
      <c r="Q17" s="81"/>
    </row>
    <row r="18" spans="1:18">
      <c r="A18" s="851">
        <f t="shared" si="1"/>
        <v>7</v>
      </c>
      <c r="B18" s="365">
        <v>8780</v>
      </c>
      <c r="C18" s="210" t="s">
        <v>919</v>
      </c>
      <c r="D18" s="597">
        <f>VLOOKUP($B18, '[13]Div 2 forecast'!$D$316:$AF$392,18,FALSE)</f>
        <v>0</v>
      </c>
      <c r="E18" s="597">
        <f>VLOOKUP($B18, '[13]Div 2 forecast'!$D$316:$AF$392,19,FALSE)</f>
        <v>0</v>
      </c>
      <c r="F18" s="597">
        <f>VLOOKUP($B18, '[13]Div 2 forecast'!$D$316:$AF$392,20,FALSE)</f>
        <v>0</v>
      </c>
      <c r="G18" s="597">
        <f>VLOOKUP($B18, '[13]Div 2 forecast'!$D$316:$AF$392,21,FALSE)</f>
        <v>0</v>
      </c>
      <c r="H18" s="597">
        <f>VLOOKUP($B18, '[13]Div 2 forecast'!$D$316:$AF$392,22,FALSE)</f>
        <v>0</v>
      </c>
      <c r="I18" s="597">
        <f>VLOOKUP($B18, '[13]Div 2 forecast'!$D$316:$AF$392,23,FALSE)</f>
        <v>0</v>
      </c>
      <c r="J18" s="597">
        <f>VLOOKUP($B18, '[13]Div 2 forecast'!$D$316:$AF$392,24,FALSE)</f>
        <v>0</v>
      </c>
      <c r="K18" s="597">
        <f>VLOOKUP($B18, '[13]Div 2 forecast'!$D$316:$AF$392,25,FALSE)</f>
        <v>0</v>
      </c>
      <c r="L18" s="597">
        <f>VLOOKUP($B18, '[13]Div 2 forecast'!$D$316:$AF$392,26,FALSE)</f>
        <v>0</v>
      </c>
      <c r="M18" s="597">
        <f>VLOOKUP($B18, '[13]Div 2 forecast'!$D$316:$AF$392,27,FALSE)</f>
        <v>0</v>
      </c>
      <c r="N18" s="597">
        <f>VLOOKUP($B18, '[13]Div 2 forecast'!$D$316:$AF$392,28,FALSE)</f>
        <v>0</v>
      </c>
      <c r="O18" s="597">
        <f>VLOOKUP($B18, '[13]Div 2 forecast'!$D$316:$AF$392,29,FALSE)</f>
        <v>0</v>
      </c>
      <c r="P18" s="81">
        <f t="shared" si="0"/>
        <v>0</v>
      </c>
      <c r="Q18" s="81"/>
    </row>
    <row r="19" spans="1:18">
      <c r="A19" s="851">
        <f t="shared" si="1"/>
        <v>8</v>
      </c>
      <c r="B19" s="707">
        <v>8800</v>
      </c>
      <c r="C19" s="81" t="s">
        <v>921</v>
      </c>
      <c r="D19" s="597">
        <f>VLOOKUP($B19, '[13]Div 2 forecast'!$D$316:$AF$392,18,FALSE)</f>
        <v>0</v>
      </c>
      <c r="E19" s="597">
        <f>VLOOKUP($B19, '[13]Div 2 forecast'!$D$316:$AF$392,19,FALSE)</f>
        <v>0</v>
      </c>
      <c r="F19" s="597">
        <f>VLOOKUP($B19, '[13]Div 2 forecast'!$D$316:$AF$392,20,FALSE)</f>
        <v>0</v>
      </c>
      <c r="G19" s="597">
        <f>VLOOKUP($B19, '[13]Div 2 forecast'!$D$316:$AF$392,21,FALSE)</f>
        <v>0</v>
      </c>
      <c r="H19" s="597">
        <f>VLOOKUP($B19, '[13]Div 2 forecast'!$D$316:$AF$392,22,FALSE)</f>
        <v>0</v>
      </c>
      <c r="I19" s="597">
        <f>VLOOKUP($B19, '[13]Div 2 forecast'!$D$316:$AF$392,23,FALSE)</f>
        <v>0</v>
      </c>
      <c r="J19" s="597">
        <f>VLOOKUP($B19, '[13]Div 2 forecast'!$D$316:$AF$392,24,FALSE)</f>
        <v>0</v>
      </c>
      <c r="K19" s="597">
        <f>VLOOKUP($B19, '[13]Div 2 forecast'!$D$316:$AF$392,25,FALSE)</f>
        <v>0</v>
      </c>
      <c r="L19" s="597">
        <f>VLOOKUP($B19, '[13]Div 2 forecast'!$D$316:$AF$392,26,FALSE)</f>
        <v>0</v>
      </c>
      <c r="M19" s="597">
        <f>VLOOKUP($B19, '[13]Div 2 forecast'!$D$316:$AF$392,27,FALSE)</f>
        <v>0</v>
      </c>
      <c r="N19" s="597">
        <f>VLOOKUP($B19, '[13]Div 2 forecast'!$D$316:$AF$392,28,FALSE)</f>
        <v>0</v>
      </c>
      <c r="O19" s="597">
        <f>VLOOKUP($B19, '[13]Div 2 forecast'!$D$316:$AF$392,29,FALSE)</f>
        <v>0</v>
      </c>
      <c r="P19" s="81">
        <f t="shared" si="0"/>
        <v>0</v>
      </c>
      <c r="Q19" s="81"/>
    </row>
    <row r="20" spans="1:18">
      <c r="A20" s="1155">
        <f t="shared" si="1"/>
        <v>9</v>
      </c>
      <c r="B20" s="707">
        <v>8850</v>
      </c>
      <c r="C20" s="103" t="s">
        <v>1674</v>
      </c>
      <c r="D20" s="597">
        <f>VLOOKUP($B20, '[13]Div 2 forecast'!$D$316:$AF$392,18,FALSE)</f>
        <v>16990315.082228947</v>
      </c>
      <c r="E20" s="597">
        <f>VLOOKUP($B20, '[13]Div 2 forecast'!$D$316:$AF$392,19,FALSE)</f>
        <v>21798984.801061392</v>
      </c>
      <c r="F20" s="597">
        <f>VLOOKUP($B20, '[13]Div 2 forecast'!$D$316:$AF$392,20,FALSE)</f>
        <v>16389216.032275878</v>
      </c>
      <c r="G20" s="597">
        <f>VLOOKUP($B20, '[13]Div 2 forecast'!$D$316:$AF$392,21,FALSE)</f>
        <v>20381248.888622656</v>
      </c>
      <c r="H20" s="597">
        <f>VLOOKUP($B20, '[13]Div 2 forecast'!$D$316:$AF$392,22,FALSE)</f>
        <v>15192472.588887028</v>
      </c>
      <c r="I20" s="597">
        <f>VLOOKUP($B20, '[13]Div 2 forecast'!$D$316:$AF$392,23,FALSE)</f>
        <v>15531582.211373955</v>
      </c>
      <c r="J20" s="597">
        <f>VLOOKUP($B20, '[13]Div 2 forecast'!$D$316:$AF$392,24,FALSE)</f>
        <v>16712709.838847796</v>
      </c>
      <c r="K20" s="597">
        <f>VLOOKUP($B20, '[13]Div 2 forecast'!$D$316:$AF$392,25,FALSE)</f>
        <v>16588628.948105497</v>
      </c>
      <c r="L20" s="597">
        <f>VLOOKUP($B20, '[13]Div 2 forecast'!$D$316:$AF$392,26,FALSE)</f>
        <v>16696240.615405273</v>
      </c>
      <c r="M20" s="597">
        <f>VLOOKUP($B20, '[13]Div 2 forecast'!$D$316:$AF$392,27,FALSE)</f>
        <v>17593151.365926098</v>
      </c>
      <c r="N20" s="597">
        <f>VLOOKUP($B20, '[13]Div 2 forecast'!$D$316:$AF$392,28,FALSE)</f>
        <v>16611592.710551493</v>
      </c>
      <c r="O20" s="597">
        <f>VLOOKUP($B20, '[13]Div 2 forecast'!$D$316:$AF$392,29,FALSE)</f>
        <v>19213246.06601375</v>
      </c>
      <c r="P20" s="81">
        <f t="shared" si="0"/>
        <v>209699389.14929977</v>
      </c>
      <c r="Q20" s="81"/>
    </row>
    <row r="21" spans="1:18">
      <c r="A21" s="851">
        <f>A19+1</f>
        <v>9</v>
      </c>
      <c r="B21" s="365">
        <v>8900</v>
      </c>
      <c r="C21" s="80" t="s">
        <v>927</v>
      </c>
      <c r="D21" s="597">
        <f>VLOOKUP($B21, '[13]Div 2 forecast'!$D$316:$AF$392,18,FALSE)</f>
        <v>0</v>
      </c>
      <c r="E21" s="597">
        <f>VLOOKUP($B21, '[13]Div 2 forecast'!$D$316:$AF$392,19,FALSE)</f>
        <v>0</v>
      </c>
      <c r="F21" s="597">
        <f>VLOOKUP($B21, '[13]Div 2 forecast'!$D$316:$AF$392,20,FALSE)</f>
        <v>0</v>
      </c>
      <c r="G21" s="597">
        <f>VLOOKUP($B21, '[13]Div 2 forecast'!$D$316:$AF$392,21,FALSE)</f>
        <v>0</v>
      </c>
      <c r="H21" s="597">
        <f>VLOOKUP($B21, '[13]Div 2 forecast'!$D$316:$AF$392,22,FALSE)</f>
        <v>0</v>
      </c>
      <c r="I21" s="597">
        <f>VLOOKUP($B21, '[13]Div 2 forecast'!$D$316:$AF$392,23,FALSE)</f>
        <v>0</v>
      </c>
      <c r="J21" s="597">
        <f>VLOOKUP($B21, '[13]Div 2 forecast'!$D$316:$AF$392,24,FALSE)</f>
        <v>0</v>
      </c>
      <c r="K21" s="597">
        <f>VLOOKUP($B21, '[13]Div 2 forecast'!$D$316:$AF$392,25,FALSE)</f>
        <v>0</v>
      </c>
      <c r="L21" s="597">
        <f>VLOOKUP($B21, '[13]Div 2 forecast'!$D$316:$AF$392,26,FALSE)</f>
        <v>0</v>
      </c>
      <c r="M21" s="597">
        <f>VLOOKUP($B21, '[13]Div 2 forecast'!$D$316:$AF$392,27,FALSE)</f>
        <v>0</v>
      </c>
      <c r="N21" s="597">
        <f>VLOOKUP($B21, '[13]Div 2 forecast'!$D$316:$AF$392,28,FALSE)</f>
        <v>0</v>
      </c>
      <c r="O21" s="597">
        <f>VLOOKUP($B21, '[13]Div 2 forecast'!$D$316:$AF$392,29,FALSE)</f>
        <v>0</v>
      </c>
      <c r="P21" s="81">
        <f t="shared" si="0"/>
        <v>0</v>
      </c>
      <c r="Q21" s="81"/>
    </row>
    <row r="22" spans="1:18">
      <c r="A22" s="851">
        <f t="shared" ref="A22:A42" si="2">A21+1</f>
        <v>10</v>
      </c>
      <c r="B22" s="707">
        <v>9010</v>
      </c>
      <c r="C22" s="81" t="s">
        <v>181</v>
      </c>
      <c r="D22" s="597">
        <f>VLOOKUP($B22, '[13]Div 2 forecast'!$D$316:$AF$392,18,FALSE)</f>
        <v>0</v>
      </c>
      <c r="E22" s="597">
        <f>VLOOKUP($B22, '[13]Div 2 forecast'!$D$316:$AF$392,19,FALSE)</f>
        <v>0</v>
      </c>
      <c r="F22" s="597">
        <f>VLOOKUP($B22, '[13]Div 2 forecast'!$D$316:$AF$392,20,FALSE)</f>
        <v>0</v>
      </c>
      <c r="G22" s="597">
        <f>VLOOKUP($B22, '[13]Div 2 forecast'!$D$316:$AF$392,21,FALSE)</f>
        <v>0</v>
      </c>
      <c r="H22" s="597">
        <f>VLOOKUP($B22, '[13]Div 2 forecast'!$D$316:$AF$392,22,FALSE)</f>
        <v>0</v>
      </c>
      <c r="I22" s="597">
        <f>VLOOKUP($B22, '[13]Div 2 forecast'!$D$316:$AF$392,23,FALSE)</f>
        <v>0</v>
      </c>
      <c r="J22" s="597">
        <f>VLOOKUP($B22, '[13]Div 2 forecast'!$D$316:$AF$392,24,FALSE)</f>
        <v>0</v>
      </c>
      <c r="K22" s="597">
        <f>VLOOKUP($B22, '[13]Div 2 forecast'!$D$316:$AF$392,25,FALSE)</f>
        <v>0</v>
      </c>
      <c r="L22" s="597">
        <f>VLOOKUP($B22, '[13]Div 2 forecast'!$D$316:$AF$392,26,FALSE)</f>
        <v>0</v>
      </c>
      <c r="M22" s="597">
        <f>VLOOKUP($B22, '[13]Div 2 forecast'!$D$316:$AF$392,27,FALSE)</f>
        <v>0</v>
      </c>
      <c r="N22" s="597">
        <f>VLOOKUP($B22, '[13]Div 2 forecast'!$D$316:$AF$392,28,FALSE)</f>
        <v>0</v>
      </c>
      <c r="O22" s="597">
        <f>VLOOKUP($B22, '[13]Div 2 forecast'!$D$316:$AF$392,29,FALSE)</f>
        <v>0</v>
      </c>
      <c r="P22" s="81">
        <f t="shared" si="0"/>
        <v>0</v>
      </c>
      <c r="Q22" s="81"/>
    </row>
    <row r="23" spans="1:18">
      <c r="A23" s="851">
        <f t="shared" si="2"/>
        <v>11</v>
      </c>
      <c r="B23" s="707">
        <v>9030</v>
      </c>
      <c r="C23" s="81" t="s">
        <v>937</v>
      </c>
      <c r="D23" s="597">
        <f>VLOOKUP($B23, '[13]Div 2 forecast'!$D$316:$AF$392,18,FALSE)</f>
        <v>9321.2297276054069</v>
      </c>
      <c r="E23" s="597">
        <f>VLOOKUP($B23, '[13]Div 2 forecast'!$D$316:$AF$392,19,FALSE)</f>
        <v>9741.2337841680583</v>
      </c>
      <c r="F23" s="597">
        <f>VLOOKUP($B23, '[13]Div 2 forecast'!$D$316:$AF$392,20,FALSE)</f>
        <v>8487.9423924360635</v>
      </c>
      <c r="G23" s="597">
        <f>VLOOKUP($B23, '[13]Div 2 forecast'!$D$316:$AF$392,21,FALSE)</f>
        <v>9741.5112018101463</v>
      </c>
      <c r="H23" s="597">
        <f>VLOOKUP($B23, '[13]Div 2 forecast'!$D$316:$AF$392,22,FALSE)</f>
        <v>9319.0161184232184</v>
      </c>
      <c r="I23" s="597">
        <f>VLOOKUP($B23, '[13]Div 2 forecast'!$D$316:$AF$392,23,FALSE)</f>
        <v>8906.9002666200031</v>
      </c>
      <c r="J23" s="597">
        <f>VLOOKUP($B23, '[13]Div 2 forecast'!$D$316:$AF$392,24,FALSE)</f>
        <v>10078.787663758831</v>
      </c>
      <c r="K23" s="597">
        <f>VLOOKUP($B23, '[13]Div 2 forecast'!$D$316:$AF$392,25,FALSE)</f>
        <v>9641.174847654358</v>
      </c>
      <c r="L23" s="597">
        <f>VLOOKUP($B23, '[13]Div 2 forecast'!$D$316:$AF$392,26,FALSE)</f>
        <v>9216.1846384146756</v>
      </c>
      <c r="M23" s="597">
        <f>VLOOKUP($B23, '[13]Div 2 forecast'!$D$316:$AF$392,27,FALSE)</f>
        <v>10037.724018548106</v>
      </c>
      <c r="N23" s="597">
        <f>VLOOKUP($B23, '[13]Div 2 forecast'!$D$316:$AF$392,28,FALSE)</f>
        <v>8732.5054900520663</v>
      </c>
      <c r="O23" s="597">
        <f>VLOOKUP($B23, '[13]Div 2 forecast'!$D$316:$AF$392,29,FALSE)</f>
        <v>9303.1195377180284</v>
      </c>
      <c r="P23" s="81">
        <f t="shared" si="0"/>
        <v>112527.32968720896</v>
      </c>
      <c r="Q23" s="81"/>
    </row>
    <row r="24" spans="1:18">
      <c r="A24" s="851">
        <f t="shared" si="2"/>
        <v>12</v>
      </c>
      <c r="B24" s="707">
        <v>9100</v>
      </c>
      <c r="C24" s="81" t="s">
        <v>940</v>
      </c>
      <c r="D24" s="597">
        <f>VLOOKUP($B24, '[13]Div 2 forecast'!$D$316:$AF$392,18,FALSE)</f>
        <v>0</v>
      </c>
      <c r="E24" s="597">
        <f>VLOOKUP($B24, '[13]Div 2 forecast'!$D$316:$AF$392,19,FALSE)</f>
        <v>0</v>
      </c>
      <c r="F24" s="597">
        <f>VLOOKUP($B24, '[13]Div 2 forecast'!$D$316:$AF$392,20,FALSE)</f>
        <v>0</v>
      </c>
      <c r="G24" s="597">
        <f>VLOOKUP($B24, '[13]Div 2 forecast'!$D$316:$AF$392,21,FALSE)</f>
        <v>0</v>
      </c>
      <c r="H24" s="597">
        <f>VLOOKUP($B24, '[13]Div 2 forecast'!$D$316:$AF$392,22,FALSE)</f>
        <v>0</v>
      </c>
      <c r="I24" s="597">
        <f>VLOOKUP($B24, '[13]Div 2 forecast'!$D$316:$AF$392,23,FALSE)</f>
        <v>0</v>
      </c>
      <c r="J24" s="597">
        <f>VLOOKUP($B24, '[13]Div 2 forecast'!$D$316:$AF$392,24,FALSE)</f>
        <v>0</v>
      </c>
      <c r="K24" s="597">
        <f>VLOOKUP($B24, '[13]Div 2 forecast'!$D$316:$AF$392,25,FALSE)</f>
        <v>0</v>
      </c>
      <c r="L24" s="597">
        <f>VLOOKUP($B24, '[13]Div 2 forecast'!$D$316:$AF$392,26,FALSE)</f>
        <v>0</v>
      </c>
      <c r="M24" s="597">
        <f>VLOOKUP($B24, '[13]Div 2 forecast'!$D$316:$AF$392,27,FALSE)</f>
        <v>0</v>
      </c>
      <c r="N24" s="597">
        <f>VLOOKUP($B24, '[13]Div 2 forecast'!$D$316:$AF$392,28,FALSE)</f>
        <v>0</v>
      </c>
      <c r="O24" s="597">
        <f>VLOOKUP($B24, '[13]Div 2 forecast'!$D$316:$AF$392,29,FALSE)</f>
        <v>0</v>
      </c>
      <c r="P24" s="81">
        <f t="shared" si="0"/>
        <v>0</v>
      </c>
      <c r="Q24" s="81"/>
    </row>
    <row r="25" spans="1:18">
      <c r="A25" s="851">
        <f t="shared" si="2"/>
        <v>13</v>
      </c>
      <c r="B25" s="707">
        <v>9120</v>
      </c>
      <c r="C25" s="103" t="s">
        <v>1225</v>
      </c>
      <c r="D25" s="597">
        <f>VLOOKUP($B25, '[13]Div 2 forecast'!$D$316:$AF$392,18,FALSE)</f>
        <v>1592.7679250798669</v>
      </c>
      <c r="E25" s="597">
        <f>VLOOKUP($B25, '[13]Div 2 forecast'!$D$316:$AF$392,19,FALSE)</f>
        <v>1798.6476527412945</v>
      </c>
      <c r="F25" s="597">
        <f>VLOOKUP($B25, '[13]Div 2 forecast'!$D$316:$AF$392,20,FALSE)</f>
        <v>1675.1198161444379</v>
      </c>
      <c r="G25" s="597">
        <f>VLOOKUP($B25, '[13]Div 2 forecast'!$D$316:$AF$392,21,FALSE)</f>
        <v>1592.7679250798669</v>
      </c>
      <c r="H25" s="597">
        <f>VLOOKUP($B25, '[13]Div 2 forecast'!$D$316:$AF$392,22,FALSE)</f>
        <v>2498.6387267901478</v>
      </c>
      <c r="I25" s="597">
        <f>VLOOKUP($B25, '[13]Div 2 forecast'!$D$316:$AF$392,23,FALSE)</f>
        <v>1674.1315934516631</v>
      </c>
      <c r="J25" s="597">
        <f>VLOOKUP($B25, '[13]Div 2 forecast'!$D$316:$AF$392,24,FALSE)</f>
        <v>2004.527380402722</v>
      </c>
      <c r="K25" s="597">
        <f>VLOOKUP($B25, '[13]Div 2 forecast'!$D$316:$AF$392,25,FALSE)</f>
        <v>1757.4717072090091</v>
      </c>
      <c r="L25" s="597">
        <f>VLOOKUP($B25, '[13]Div 2 forecast'!$D$316:$AF$392,26,FALSE)</f>
        <v>2642.7545361531475</v>
      </c>
      <c r="M25" s="597">
        <f>VLOOKUP($B25, '[13]Div 2 forecast'!$D$316:$AF$392,27,FALSE)</f>
        <v>1979.8218130833507</v>
      </c>
      <c r="N25" s="597">
        <f>VLOOKUP($B25, '[13]Div 2 forecast'!$D$316:$AF$392,28,FALSE)</f>
        <v>1753.3541126557807</v>
      </c>
      <c r="O25" s="597">
        <f>VLOOKUP($B25, '[13]Div 2 forecast'!$D$316:$AF$392,29,FALSE)</f>
        <v>1716.2957616767235</v>
      </c>
      <c r="P25" s="81">
        <f t="shared" si="0"/>
        <v>22686.298950468012</v>
      </c>
      <c r="Q25" s="81"/>
    </row>
    <row r="26" spans="1:18">
      <c r="A26" s="1155">
        <f t="shared" si="2"/>
        <v>14</v>
      </c>
      <c r="B26" s="707">
        <v>9160</v>
      </c>
      <c r="C26" s="103" t="s">
        <v>837</v>
      </c>
      <c r="D26" s="597">
        <f>VLOOKUP($B26, '[13]Div 2 forecast'!$D$316:$AF$392,18,FALSE)</f>
        <v>435.09010566608231</v>
      </c>
      <c r="E26" s="597">
        <f>VLOOKUP($B26, '[13]Div 2 forecast'!$D$316:$AF$392,19,FALSE)</f>
        <v>455.90141810643627</v>
      </c>
      <c r="F26" s="597">
        <f>VLOOKUP($B26, '[13]Div 2 forecast'!$D$316:$AF$392,20,FALSE)</f>
        <v>450.39684563639025</v>
      </c>
      <c r="G26" s="597">
        <f>VLOOKUP($B26, '[13]Div 2 forecast'!$D$316:$AF$392,21,FALSE)</f>
        <v>466.91056304652824</v>
      </c>
      <c r="H26" s="597">
        <f>VLOOKUP($B26, '[13]Div 2 forecast'!$D$316:$AF$392,22,FALSE)</f>
        <v>438.60088359080288</v>
      </c>
      <c r="I26" s="597">
        <f>VLOOKUP($B26, '[13]Div 2 forecast'!$D$316:$AF$392,23,FALSE)</f>
        <v>492.69613322782425</v>
      </c>
      <c r="J26" s="597">
        <f>VLOOKUP($B26, '[13]Div 2 forecast'!$D$316:$AF$392,24,FALSE)</f>
        <v>470.03580058955606</v>
      </c>
      <c r="K26" s="597">
        <f>VLOOKUP($B26, '[13]Div 2 forecast'!$D$316:$AF$392,25,FALSE)</f>
        <v>454.48042641391157</v>
      </c>
      <c r="L26" s="597">
        <f>VLOOKUP($B26, '[13]Div 2 forecast'!$D$316:$AF$392,26,FALSE)</f>
        <v>438.68271256977442</v>
      </c>
      <c r="M26" s="597">
        <f>VLOOKUP($B26, '[13]Div 2 forecast'!$D$316:$AF$392,27,FALSE)</f>
        <v>432.55812822059806</v>
      </c>
      <c r="N26" s="597">
        <f>VLOOKUP($B26, '[13]Div 2 forecast'!$D$316:$AF$392,28,FALSE)</f>
        <v>437.99660805378244</v>
      </c>
      <c r="O26" s="597">
        <f>VLOOKUP($B26, '[13]Div 2 forecast'!$D$316:$AF$392,29,FALSE)</f>
        <v>452.33084208169805</v>
      </c>
      <c r="P26" s="81">
        <f t="shared" ref="P26" si="3">SUM(D26:O26)</f>
        <v>5425.680467203385</v>
      </c>
      <c r="Q26" s="81"/>
    </row>
    <row r="27" spans="1:18">
      <c r="A27" s="1155">
        <f t="shared" si="2"/>
        <v>15</v>
      </c>
      <c r="B27" s="707">
        <v>9200</v>
      </c>
      <c r="C27" s="81" t="s">
        <v>182</v>
      </c>
      <c r="D27" s="597">
        <f>VLOOKUP($B27, '[13]Div 2 forecast'!$D$316:$AF$392,18,FALSE)</f>
        <v>-18260637.829005595</v>
      </c>
      <c r="E27" s="597">
        <f>VLOOKUP($B27, '[13]Div 2 forecast'!$D$316:$AF$392,19,FALSE)</f>
        <v>-24467023.112529147</v>
      </c>
      <c r="F27" s="597">
        <f>VLOOKUP($B27, '[13]Div 2 forecast'!$D$316:$AF$392,20,FALSE)</f>
        <v>-17831030.382756699</v>
      </c>
      <c r="G27" s="597">
        <f>VLOOKUP($B27, '[13]Div 2 forecast'!$D$316:$AF$392,21,FALSE)</f>
        <v>-22575206.610118631</v>
      </c>
      <c r="H27" s="597">
        <f>VLOOKUP($B27, '[13]Div 2 forecast'!$D$316:$AF$392,22,FALSE)</f>
        <v>-15870303.825682504</v>
      </c>
      <c r="I27" s="597">
        <f>VLOOKUP($B27, '[13]Div 2 forecast'!$D$316:$AF$392,23,FALSE)</f>
        <v>-16493102.772796918</v>
      </c>
      <c r="J27" s="597">
        <f>VLOOKUP($B27, '[13]Div 2 forecast'!$D$316:$AF$392,24,FALSE)</f>
        <v>-17553877.354137652</v>
      </c>
      <c r="K27" s="597">
        <f>VLOOKUP($B27, '[13]Div 2 forecast'!$D$316:$AF$392,25,FALSE)</f>
        <v>-17588997.432234794</v>
      </c>
      <c r="L27" s="597">
        <f>VLOOKUP($B27, '[13]Div 2 forecast'!$D$316:$AF$392,26,FALSE)</f>
        <v>-17922016.41240507</v>
      </c>
      <c r="M27" s="597">
        <f>VLOOKUP($B27, '[13]Div 2 forecast'!$D$316:$AF$392,27,FALSE)</f>
        <v>-18746427.987458277</v>
      </c>
      <c r="N27" s="597">
        <f>VLOOKUP($B27, '[13]Div 2 forecast'!$D$316:$AF$392,28,FALSE)</f>
        <v>-18020906.315728329</v>
      </c>
      <c r="O27" s="597">
        <f>VLOOKUP($B27, '[13]Div 2 forecast'!$D$316:$AF$392,29,FALSE)</f>
        <v>-21273611.319151603</v>
      </c>
      <c r="P27" s="81">
        <f t="shared" si="0"/>
        <v>-226603141.35400525</v>
      </c>
      <c r="Q27" s="81"/>
    </row>
    <row r="28" spans="1:18">
      <c r="A28" s="1155">
        <f t="shared" si="2"/>
        <v>16</v>
      </c>
      <c r="B28" s="707">
        <v>9210</v>
      </c>
      <c r="C28" s="81" t="s">
        <v>944</v>
      </c>
      <c r="D28" s="597">
        <f>VLOOKUP($B28, '[13]Div 2 forecast'!$D$316:$AF$392,18,FALSE)</f>
        <v>2961646.1162524079</v>
      </c>
      <c r="E28" s="597">
        <f>VLOOKUP($B28, '[13]Div 2 forecast'!$D$316:$AF$392,19,FALSE)</f>
        <v>2919576.2442315826</v>
      </c>
      <c r="F28" s="597">
        <f>VLOOKUP($B28, '[13]Div 2 forecast'!$D$316:$AF$392,20,FALSE)</f>
        <v>2878833.7252094275</v>
      </c>
      <c r="G28" s="597">
        <f>VLOOKUP($B28, '[13]Div 2 forecast'!$D$316:$AF$392,21,FALSE)</f>
        <v>3089374.5900166109</v>
      </c>
      <c r="H28" s="597">
        <f>VLOOKUP($B28, '[13]Div 2 forecast'!$D$316:$AF$392,22,FALSE)</f>
        <v>3095164.0861845738</v>
      </c>
      <c r="I28" s="597">
        <f>VLOOKUP($B28, '[13]Div 2 forecast'!$D$316:$AF$392,23,FALSE)</f>
        <v>3165939.175366187</v>
      </c>
      <c r="J28" s="597">
        <f>VLOOKUP($B28, '[13]Div 2 forecast'!$D$316:$AF$392,24,FALSE)</f>
        <v>2925306.7005633302</v>
      </c>
      <c r="K28" s="597">
        <f>VLOOKUP($B28, '[13]Div 2 forecast'!$D$316:$AF$392,25,FALSE)</f>
        <v>2709077.1102262349</v>
      </c>
      <c r="L28" s="597">
        <f>VLOOKUP($B28, '[13]Div 2 forecast'!$D$316:$AF$392,26,FALSE)</f>
        <v>2859362.9128975086</v>
      </c>
      <c r="M28" s="597">
        <f>VLOOKUP($B28, '[13]Div 2 forecast'!$D$316:$AF$392,27,FALSE)</f>
        <v>2807136.9017923241</v>
      </c>
      <c r="N28" s="597">
        <f>VLOOKUP($B28, '[13]Div 2 forecast'!$D$316:$AF$392,28,FALSE)</f>
        <v>2789646.7136545661</v>
      </c>
      <c r="O28" s="597">
        <f>VLOOKUP($B28, '[13]Div 2 forecast'!$D$316:$AF$392,29,FALSE)</f>
        <v>2896749.3328193137</v>
      </c>
      <c r="P28" s="81">
        <f t="shared" si="0"/>
        <v>35097813.609214075</v>
      </c>
      <c r="Q28" s="81"/>
    </row>
    <row r="29" spans="1:18">
      <c r="A29" s="1155">
        <f t="shared" si="2"/>
        <v>17</v>
      </c>
      <c r="B29" s="707">
        <v>9220</v>
      </c>
      <c r="C29" s="81" t="s">
        <v>945</v>
      </c>
      <c r="D29" s="96">
        <f t="shared" ref="D29:O29" si="4">-(SUM(D12:D28,D30:D37))</f>
        <v>-8659767.8420000058</v>
      </c>
      <c r="E29" s="96">
        <f t="shared" si="4"/>
        <v>-11774277.607500004</v>
      </c>
      <c r="F29" s="96">
        <f t="shared" si="4"/>
        <v>-8664345.881900005</v>
      </c>
      <c r="G29" s="96">
        <f t="shared" si="4"/>
        <v>-11298399.422400009</v>
      </c>
      <c r="H29" s="96">
        <f t="shared" si="4"/>
        <v>-8041712.6802000003</v>
      </c>
      <c r="I29" s="96">
        <f t="shared" si="4"/>
        <v>-7958612.8928000042</v>
      </c>
      <c r="J29" s="96">
        <f t="shared" si="4"/>
        <v>-9028379.4567189235</v>
      </c>
      <c r="K29" s="96">
        <f t="shared" si="4"/>
        <v>-9016519.9665654898</v>
      </c>
      <c r="L29" s="96">
        <f t="shared" si="4"/>
        <v>-9152629.8825470693</v>
      </c>
      <c r="M29" s="96">
        <f t="shared" si="4"/>
        <v>-9354525.3936645444</v>
      </c>
      <c r="N29" s="96">
        <f t="shared" si="4"/>
        <v>-8848780.1148692351</v>
      </c>
      <c r="O29" s="96">
        <f t="shared" si="4"/>
        <v>-11046378.697175987</v>
      </c>
      <c r="P29" s="81">
        <f t="shared" si="0"/>
        <v>-112844329.83834127</v>
      </c>
      <c r="Q29" s="81"/>
    </row>
    <row r="30" spans="1:18">
      <c r="A30" s="1155">
        <f t="shared" si="2"/>
        <v>18</v>
      </c>
      <c r="B30" s="707">
        <v>9230</v>
      </c>
      <c r="C30" s="81" t="s">
        <v>946</v>
      </c>
      <c r="D30" s="597">
        <f>VLOOKUP($B30, '[13]Div 2 forecast'!$D$316:$AF$392,18,FALSE)</f>
        <v>932826.26809255197</v>
      </c>
      <c r="E30" s="597">
        <f>VLOOKUP($B30, '[13]Div 2 forecast'!$D$316:$AF$392,19,FALSE)</f>
        <v>921309.41317626636</v>
      </c>
      <c r="F30" s="597">
        <f>VLOOKUP($B30, '[13]Div 2 forecast'!$D$316:$AF$392,20,FALSE)</f>
        <v>998989.40471776179</v>
      </c>
      <c r="G30" s="597">
        <f>VLOOKUP($B30, '[13]Div 2 forecast'!$D$316:$AF$392,21,FALSE)</f>
        <v>963270.54238017055</v>
      </c>
      <c r="H30" s="597">
        <f>VLOOKUP($B30, '[13]Div 2 forecast'!$D$316:$AF$392,22,FALSE)</f>
        <v>932153.32183036208</v>
      </c>
      <c r="I30" s="597">
        <f>VLOOKUP($B30, '[13]Div 2 forecast'!$D$316:$AF$392,23,FALSE)</f>
        <v>1040509.507270138</v>
      </c>
      <c r="J30" s="597">
        <f>VLOOKUP($B30, '[13]Div 2 forecast'!$D$316:$AF$392,24,FALSE)</f>
        <v>903706.85312850692</v>
      </c>
      <c r="K30" s="597">
        <f>VLOOKUP($B30, '[13]Div 2 forecast'!$D$316:$AF$392,25,FALSE)</f>
        <v>881820.04260078259</v>
      </c>
      <c r="L30" s="597">
        <f>VLOOKUP($B30, '[13]Div 2 forecast'!$D$316:$AF$392,26,FALSE)</f>
        <v>924837.86126786133</v>
      </c>
      <c r="M30" s="597">
        <f>VLOOKUP($B30, '[13]Div 2 forecast'!$D$316:$AF$392,27,FALSE)</f>
        <v>897384.72202411178</v>
      </c>
      <c r="N30" s="597">
        <f>VLOOKUP($B30, '[13]Div 2 forecast'!$D$316:$AF$392,28,FALSE)</f>
        <v>945742.11150782683</v>
      </c>
      <c r="O30" s="597">
        <f>VLOOKUP($B30, '[13]Div 2 forecast'!$D$316:$AF$392,29,FALSE)</f>
        <v>1016812.3957529952</v>
      </c>
      <c r="P30" s="81">
        <f t="shared" si="0"/>
        <v>11359362.443749333</v>
      </c>
      <c r="Q30" s="81"/>
    </row>
    <row r="31" spans="1:18">
      <c r="A31" s="1155">
        <f t="shared" si="2"/>
        <v>19</v>
      </c>
      <c r="B31" s="707">
        <v>9240</v>
      </c>
      <c r="C31" s="81" t="s">
        <v>947</v>
      </c>
      <c r="D31" s="597">
        <f>VLOOKUP($B31, '[13]Div 2 forecast'!$D$316:$AF$392,18,FALSE)</f>
        <v>11976.413042635611</v>
      </c>
      <c r="E31" s="597">
        <f>VLOOKUP($B31, '[13]Div 2 forecast'!$D$316:$AF$392,19,FALSE)</f>
        <v>11976.413042635611</v>
      </c>
      <c r="F31" s="597">
        <f>VLOOKUP($B31, '[13]Div 2 forecast'!$D$316:$AF$392,20,FALSE)</f>
        <v>11976.413042635611</v>
      </c>
      <c r="G31" s="597">
        <f>VLOOKUP($B31, '[13]Div 2 forecast'!$D$316:$AF$392,21,FALSE)</f>
        <v>11976.413042635611</v>
      </c>
      <c r="H31" s="597">
        <f>VLOOKUP($B31, '[13]Div 2 forecast'!$D$316:$AF$392,22,FALSE)</f>
        <v>12106.837649100213</v>
      </c>
      <c r="I31" s="597">
        <f>VLOOKUP($B31, '[13]Div 2 forecast'!$D$316:$AF$392,23,FALSE)</f>
        <v>11976.413042635611</v>
      </c>
      <c r="J31" s="597">
        <f>VLOOKUP($B31, '[13]Div 2 forecast'!$D$316:$AF$392,24,FALSE)</f>
        <v>11862.783070920941</v>
      </c>
      <c r="K31" s="597">
        <f>VLOOKUP($B31, '[13]Div 2 forecast'!$D$316:$AF$392,25,FALSE)</f>
        <v>11969.080473871165</v>
      </c>
      <c r="L31" s="597">
        <f>VLOOKUP($B31, '[13]Div 2 forecast'!$D$316:$AF$392,26,FALSE)</f>
        <v>11969.080473871165</v>
      </c>
      <c r="M31" s="597">
        <f>VLOOKUP($B31, '[13]Div 2 forecast'!$D$316:$AF$392,27,FALSE)</f>
        <v>11969.080473871165</v>
      </c>
      <c r="N31" s="597">
        <f>VLOOKUP($B31, '[13]Div 2 forecast'!$D$316:$AF$392,28,FALSE)</f>
        <v>11969.080473871165</v>
      </c>
      <c r="O31" s="597">
        <f>VLOOKUP($B31, '[13]Div 2 forecast'!$D$316:$AF$392,29,FALSE)</f>
        <v>11976.256879506069</v>
      </c>
      <c r="P31" s="81">
        <f t="shared" si="0"/>
        <v>143704.26470818993</v>
      </c>
      <c r="Q31" s="81"/>
    </row>
    <row r="32" spans="1:18">
      <c r="A32" s="1155">
        <f t="shared" si="2"/>
        <v>20</v>
      </c>
      <c r="B32" s="707">
        <v>9250</v>
      </c>
      <c r="C32" s="81" t="s">
        <v>948</v>
      </c>
      <c r="D32" s="597">
        <f>VLOOKUP($B32, '[13]Div 2 forecast'!$D$316:$AF$392,18,FALSE)</f>
        <v>1686725.7932429584</v>
      </c>
      <c r="E32" s="597">
        <f>VLOOKUP($B32, '[13]Div 2 forecast'!$D$316:$AF$392,19,FALSE)</f>
        <v>1687242.3679164215</v>
      </c>
      <c r="F32" s="597">
        <f>VLOOKUP($B32, '[13]Div 2 forecast'!$D$316:$AF$392,20,FALSE)</f>
        <v>1685692.6411583833</v>
      </c>
      <c r="G32" s="597">
        <f>VLOOKUP($B32, '[13]Div 2 forecast'!$D$316:$AF$392,21,FALSE)</f>
        <v>1687242.3679164215</v>
      </c>
      <c r="H32" s="597">
        <f>VLOOKUP($B32, '[13]Div 2 forecast'!$D$316:$AF$392,22,FALSE)</f>
        <v>1704969.2250897246</v>
      </c>
      <c r="I32" s="597">
        <f>VLOOKUP($B32, '[13]Div 2 forecast'!$D$316:$AF$392,23,FALSE)</f>
        <v>1686210.0080988137</v>
      </c>
      <c r="J32" s="597">
        <f>VLOOKUP($B32, '[13]Div 2 forecast'!$D$316:$AF$392,24,FALSE)</f>
        <v>1672097.1837121707</v>
      </c>
      <c r="K32" s="597">
        <f>VLOOKUP($B32, '[13]Div 2 forecast'!$D$316:$AF$392,25,FALSE)</f>
        <v>1686411.7743562721</v>
      </c>
      <c r="L32" s="597">
        <f>VLOOKUP($B32, '[13]Div 2 forecast'!$D$316:$AF$392,26,FALSE)</f>
        <v>1685857.7793980229</v>
      </c>
      <c r="M32" s="597">
        <f>VLOOKUP($B32, '[13]Div 2 forecast'!$D$316:$AF$392,27,FALSE)</f>
        <v>1686907.0973572144</v>
      </c>
      <c r="N32" s="597">
        <f>VLOOKUP($B32, '[13]Div 2 forecast'!$D$316:$AF$392,28,FALSE)</f>
        <v>1685252.7623788361</v>
      </c>
      <c r="O32" s="597">
        <f>VLOOKUP($B32, '[13]Div 2 forecast'!$D$316:$AF$392,29,FALSE)</f>
        <v>1686808.0250159993</v>
      </c>
      <c r="P32" s="81">
        <f t="shared" si="0"/>
        <v>20241417.025641236</v>
      </c>
      <c r="Q32" s="81"/>
      <c r="R32" s="691"/>
    </row>
    <row r="33" spans="1:17">
      <c r="A33" s="1155">
        <f t="shared" si="2"/>
        <v>21</v>
      </c>
      <c r="B33" s="707">
        <v>9260</v>
      </c>
      <c r="C33" s="81" t="s">
        <v>949</v>
      </c>
      <c r="D33" s="597">
        <f>VLOOKUP($B33, '[13]Div 2 forecast'!$D$316:$AF$392,18,FALSE)</f>
        <v>3402368.9567482574</v>
      </c>
      <c r="E33" s="597">
        <f>VLOOKUP($B33, '[13]Div 2 forecast'!$D$316:$AF$392,19,FALSE)</f>
        <v>8016561.5784550719</v>
      </c>
      <c r="F33" s="597">
        <f>VLOOKUP($B33, '[13]Div 2 forecast'!$D$316:$AF$392,20,FALSE)</f>
        <v>3349039.1885633888</v>
      </c>
      <c r="G33" s="597">
        <f>VLOOKUP($B33, '[13]Div 2 forecast'!$D$316:$AF$392,21,FALSE)</f>
        <v>6845160.0148082478</v>
      </c>
      <c r="H33" s="597">
        <f>VLOOKUP($B33, '[13]Div 2 forecast'!$D$316:$AF$392,22,FALSE)</f>
        <v>2080045.775415756</v>
      </c>
      <c r="I33" s="597">
        <f>VLOOKUP($B33, '[13]Div 2 forecast'!$D$316:$AF$392,23,FALSE)</f>
        <v>1901296.9416221301</v>
      </c>
      <c r="J33" s="597">
        <f>VLOOKUP($B33, '[13]Div 2 forecast'!$D$316:$AF$392,24,FALSE)</f>
        <v>3454171.323240919</v>
      </c>
      <c r="K33" s="597">
        <f>VLOOKUP($B33, '[13]Div 2 forecast'!$D$316:$AF$392,25,FALSE)</f>
        <v>3850403.1026255158</v>
      </c>
      <c r="L33" s="597">
        <f>VLOOKUP($B33, '[13]Div 2 forecast'!$D$316:$AF$392,26,FALSE)</f>
        <v>3782486.1010320759</v>
      </c>
      <c r="M33" s="597">
        <f>VLOOKUP($B33, '[13]Div 2 forecast'!$D$316:$AF$392,27,FALSE)</f>
        <v>4126699.9090421721</v>
      </c>
      <c r="N33" s="597">
        <f>VLOOKUP($B33, '[13]Div 2 forecast'!$D$316:$AF$392,28,FALSE)</f>
        <v>3855384.0085120164</v>
      </c>
      <c r="O33" s="597">
        <f>VLOOKUP($B33, '[13]Div 2 forecast'!$D$316:$AF$392,29,FALSE)</f>
        <v>3541567.6340234973</v>
      </c>
      <c r="P33" s="81">
        <f t="shared" si="0"/>
        <v>48205184.534089051</v>
      </c>
      <c r="Q33" s="81"/>
    </row>
    <row r="34" spans="1:17">
      <c r="A34" s="1155">
        <f t="shared" si="2"/>
        <v>22</v>
      </c>
      <c r="B34" s="707">
        <v>9301</v>
      </c>
      <c r="C34" s="81" t="s">
        <v>183</v>
      </c>
      <c r="D34" s="597">
        <f>VLOOKUP($B34, '[13]Div 2 forecast'!$D$316:$AF$392,18,FALSE)</f>
        <v>0</v>
      </c>
      <c r="E34" s="597">
        <f>VLOOKUP($B34, '[13]Div 2 forecast'!$D$316:$AF$392,19,FALSE)</f>
        <v>0</v>
      </c>
      <c r="F34" s="597">
        <f>VLOOKUP($B34, '[13]Div 2 forecast'!$D$316:$AF$392,20,FALSE)</f>
        <v>0</v>
      </c>
      <c r="G34" s="597">
        <f>VLOOKUP($B34, '[13]Div 2 forecast'!$D$316:$AF$392,21,FALSE)</f>
        <v>0</v>
      </c>
      <c r="H34" s="597">
        <f>VLOOKUP($B34, '[13]Div 2 forecast'!$D$316:$AF$392,22,FALSE)</f>
        <v>0</v>
      </c>
      <c r="I34" s="597">
        <f>VLOOKUP($B34, '[13]Div 2 forecast'!$D$316:$AF$392,23,FALSE)</f>
        <v>0</v>
      </c>
      <c r="J34" s="597">
        <f>VLOOKUP($B34, '[13]Div 2 forecast'!$D$316:$AF$392,24,FALSE)</f>
        <v>0</v>
      </c>
      <c r="K34" s="597">
        <f>VLOOKUP($B34, '[13]Div 2 forecast'!$D$316:$AF$392,25,FALSE)</f>
        <v>0</v>
      </c>
      <c r="L34" s="597">
        <f>VLOOKUP($B34, '[13]Div 2 forecast'!$D$316:$AF$392,26,FALSE)</f>
        <v>0</v>
      </c>
      <c r="M34" s="597">
        <f>VLOOKUP($B34, '[13]Div 2 forecast'!$D$316:$AF$392,27,FALSE)</f>
        <v>0</v>
      </c>
      <c r="N34" s="597">
        <f>VLOOKUP($B34, '[13]Div 2 forecast'!$D$316:$AF$392,28,FALSE)</f>
        <v>0</v>
      </c>
      <c r="O34" s="597">
        <f>VLOOKUP($B34, '[13]Div 2 forecast'!$D$316:$AF$392,29,FALSE)</f>
        <v>0</v>
      </c>
      <c r="P34" s="81">
        <f t="shared" si="0"/>
        <v>0</v>
      </c>
      <c r="Q34" s="81"/>
    </row>
    <row r="35" spans="1:17">
      <c r="A35" s="1155">
        <f t="shared" si="2"/>
        <v>23</v>
      </c>
      <c r="B35" s="707">
        <v>9302</v>
      </c>
      <c r="C35" s="81" t="s">
        <v>857</v>
      </c>
      <c r="D35" s="597">
        <f>VLOOKUP($B35, '[13]Div 2 forecast'!$D$316:$AF$392,18,FALSE)</f>
        <v>327410.1846858018</v>
      </c>
      <c r="E35" s="597">
        <f>VLOOKUP($B35, '[13]Div 2 forecast'!$D$316:$AF$392,19,FALSE)</f>
        <v>278765.49182960705</v>
      </c>
      <c r="F35" s="597">
        <f>VLOOKUP($B35, '[13]Div 2 forecast'!$D$316:$AF$392,20,FALSE)</f>
        <v>576119.73005964293</v>
      </c>
      <c r="G35" s="597">
        <f>VLOOKUP($B35, '[13]Div 2 forecast'!$D$316:$AF$392,21,FALSE)</f>
        <v>282922.57653009443</v>
      </c>
      <c r="H35" s="597">
        <f>VLOOKUP($B35, '[13]Div 2 forecast'!$D$316:$AF$392,22,FALSE)</f>
        <v>287542.09244580485</v>
      </c>
      <c r="I35" s="597">
        <f>VLOOKUP($B35, '[13]Div 2 forecast'!$D$316:$AF$392,23,FALSE)</f>
        <v>492583.32524524449</v>
      </c>
      <c r="J35" s="597">
        <f>VLOOKUP($B35, '[13]Div 2 forecast'!$D$316:$AF$392,24,FALSE)</f>
        <v>261298.79200083192</v>
      </c>
      <c r="K35" s="597">
        <f>VLOOKUP($B35, '[13]Div 2 forecast'!$D$316:$AF$392,25,FALSE)</f>
        <v>243627.54279626772</v>
      </c>
      <c r="L35" s="597">
        <f>VLOOKUP($B35, '[13]Div 2 forecast'!$D$316:$AF$392,26,FALSE)</f>
        <v>509151.37894264434</v>
      </c>
      <c r="M35" s="597">
        <f>VLOOKUP($B35, '[13]Div 2 forecast'!$D$316:$AF$392,27,FALSE)</f>
        <v>372134.23579678428</v>
      </c>
      <c r="N35" s="597">
        <f>VLOOKUP($B35, '[13]Div 2 forecast'!$D$316:$AF$392,28,FALSE)</f>
        <v>368288.75968148687</v>
      </c>
      <c r="O35" s="597">
        <f>VLOOKUP($B35, '[13]Div 2 forecast'!$D$316:$AF$392,29,FALSE)</f>
        <v>3345371.7997412262</v>
      </c>
      <c r="P35" s="81">
        <f t="shared" si="0"/>
        <v>7345215.9097554367</v>
      </c>
      <c r="Q35" s="81"/>
    </row>
    <row r="36" spans="1:17">
      <c r="A36" s="1155">
        <f t="shared" si="2"/>
        <v>24</v>
      </c>
      <c r="B36" s="707">
        <v>9310</v>
      </c>
      <c r="C36" s="81" t="s">
        <v>184</v>
      </c>
      <c r="D36" s="597">
        <f>VLOOKUP($B36, '[13]Div 2 forecast'!$D$316:$AF$392,18,FALSE)</f>
        <v>504803.37827339716</v>
      </c>
      <c r="E36" s="597">
        <f>VLOOKUP($B36, '[13]Div 2 forecast'!$D$316:$AF$392,19,FALSE)</f>
        <v>503215.78049159347</v>
      </c>
      <c r="F36" s="597">
        <f>VLOOKUP($B36, '[13]Div 2 forecast'!$D$316:$AF$392,20,FALSE)</f>
        <v>504763.03949788969</v>
      </c>
      <c r="G36" s="597">
        <f>VLOOKUP($B36, '[13]Div 2 forecast'!$D$316:$AF$392,21,FALSE)</f>
        <v>505291.66624201986</v>
      </c>
      <c r="H36" s="597">
        <f>VLOOKUP($B36, '[13]Div 2 forecast'!$D$316:$AF$392,22,FALSE)</f>
        <v>502614.87712421443</v>
      </c>
      <c r="I36" s="597">
        <f>VLOOKUP($B36, '[13]Div 2 forecast'!$D$316:$AF$392,23,FALSE)</f>
        <v>514624.05521363049</v>
      </c>
      <c r="J36" s="597">
        <f>VLOOKUP($B36, '[13]Div 2 forecast'!$D$316:$AF$392,24,FALSE)</f>
        <v>534952.50604392355</v>
      </c>
      <c r="K36" s="597">
        <f>VLOOKUP($B36, '[13]Div 2 forecast'!$D$316:$AF$392,25,FALSE)</f>
        <v>532113.20683688927</v>
      </c>
      <c r="L36" s="597">
        <f>VLOOKUP($B36, '[13]Div 2 forecast'!$D$316:$AF$392,26,FALSE)</f>
        <v>502560.56753564719</v>
      </c>
      <c r="M36" s="597">
        <f>VLOOKUP($B36, '[13]Div 2 forecast'!$D$316:$AF$392,27,FALSE)</f>
        <v>503530.86299928214</v>
      </c>
      <c r="N36" s="597">
        <f>VLOOKUP($B36, '[13]Div 2 forecast'!$D$316:$AF$392,28,FALSE)</f>
        <v>502362.45131757471</v>
      </c>
      <c r="O36" s="597">
        <f>VLOOKUP($B36, '[13]Div 2 forecast'!$D$316:$AF$392,29,FALSE)</f>
        <v>504955.77263368253</v>
      </c>
      <c r="P36" s="81">
        <f t="shared" si="0"/>
        <v>6115788.1642097449</v>
      </c>
      <c r="Q36" s="81"/>
    </row>
    <row r="37" spans="1:17">
      <c r="A37" s="1155">
        <f t="shared" si="2"/>
        <v>25</v>
      </c>
      <c r="B37" s="707">
        <v>9320</v>
      </c>
      <c r="C37" s="81" t="s">
        <v>185</v>
      </c>
      <c r="D37" s="597">
        <f>VLOOKUP($B37, '[13]Div 2 forecast'!$D$316:$AF$392,18,FALSE)</f>
        <v>43176.870206876614</v>
      </c>
      <c r="E37" s="597">
        <f>VLOOKUP($B37, '[13]Div 2 forecast'!$D$316:$AF$392,19,FALSE)</f>
        <v>41920.266263927675</v>
      </c>
      <c r="F37" s="597">
        <f>VLOOKUP($B37, '[13]Div 2 forecast'!$D$316:$AF$392,20,FALSE)</f>
        <v>42583.843086847868</v>
      </c>
      <c r="G37" s="597">
        <f>VLOOKUP($B37, '[13]Div 2 forecast'!$D$316:$AF$392,21,FALSE)</f>
        <v>44863.023018383581</v>
      </c>
      <c r="H37" s="597">
        <f>VLOOKUP($B37, '[13]Div 2 forecast'!$D$316:$AF$392,22,FALSE)</f>
        <v>44665.416465591188</v>
      </c>
      <c r="I37" s="597">
        <f>VLOOKUP($B37, '[13]Div 2 forecast'!$D$316:$AF$392,23,FALSE)</f>
        <v>45056.881975605487</v>
      </c>
      <c r="J37" s="597">
        <f>VLOOKUP($B37, '[13]Div 2 forecast'!$D$316:$AF$392,24,FALSE)</f>
        <v>42464.075550967755</v>
      </c>
      <c r="K37" s="597">
        <f>VLOOKUP($B37, '[13]Div 2 forecast'!$D$316:$AF$392,25,FALSE)</f>
        <v>40100.863874347968</v>
      </c>
      <c r="L37" s="597">
        <f>VLOOKUP($B37, '[13]Div 2 forecast'!$D$316:$AF$392,26,FALSE)</f>
        <v>42013.830307207092</v>
      </c>
      <c r="M37" s="597">
        <f>VLOOKUP($B37, '[13]Div 2 forecast'!$D$316:$AF$392,27,FALSE)</f>
        <v>40902.166619874122</v>
      </c>
      <c r="N37" s="597">
        <f>VLOOKUP($B37, '[13]Div 2 forecast'!$D$316:$AF$392,28,FALSE)</f>
        <v>41393.350150214494</v>
      </c>
      <c r="O37" s="597">
        <f>VLOOKUP($B37, '[13]Div 2 forecast'!$D$316:$AF$392,29,FALSE)</f>
        <v>42354.845800287447</v>
      </c>
      <c r="P37" s="81">
        <f t="shared" si="0"/>
        <v>511495.43332013133</v>
      </c>
      <c r="Q37" s="81"/>
    </row>
    <row r="38" spans="1:17" ht="15.75" thickBot="1">
      <c r="A38" s="1155">
        <f t="shared" si="2"/>
        <v>26</v>
      </c>
      <c r="B38" s="81" t="s">
        <v>734</v>
      </c>
      <c r="C38" s="81"/>
      <c r="D38" s="899">
        <f t="shared" ref="D38:P38" si="5">SUM(D12:D37)</f>
        <v>1.0622898116707802E-9</v>
      </c>
      <c r="E38" s="899">
        <f t="shared" si="5"/>
        <v>-1.9281287677586079E-9</v>
      </c>
      <c r="F38" s="899">
        <f t="shared" si="5"/>
        <v>5.3114490583539009E-10</v>
      </c>
      <c r="G38" s="899">
        <f t="shared" si="5"/>
        <v>-2.750311978161335E-9</v>
      </c>
      <c r="H38" s="899">
        <f t="shared" si="5"/>
        <v>-6.8394001573324203E-10</v>
      </c>
      <c r="I38" s="899">
        <f t="shared" si="5"/>
        <v>1.6007106751203537E-10</v>
      </c>
      <c r="J38" s="899">
        <f t="shared" si="5"/>
        <v>2.7648638933897018E-10</v>
      </c>
      <c r="K38" s="899">
        <f t="shared" si="5"/>
        <v>7.8580342233181E-10</v>
      </c>
      <c r="L38" s="899">
        <f t="shared" si="5"/>
        <v>-3.2741809263825417E-10</v>
      </c>
      <c r="M38" s="899">
        <f t="shared" si="5"/>
        <v>-1.7535057850182056E-9</v>
      </c>
      <c r="N38" s="899">
        <f t="shared" si="5"/>
        <v>1.1496013030409813E-9</v>
      </c>
      <c r="O38" s="899">
        <f t="shared" si="5"/>
        <v>-2.3792381398379803E-9</v>
      </c>
      <c r="P38" s="899">
        <f t="shared" si="5"/>
        <v>-2.1245796233415604E-8</v>
      </c>
      <c r="Q38" s="81"/>
    </row>
    <row r="39" spans="1:17" ht="15.75" thickTop="1">
      <c r="A39" s="1155">
        <f t="shared" si="2"/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>
      <c r="A40" s="1155">
        <f t="shared" si="2"/>
        <v>28</v>
      </c>
      <c r="B40" s="707">
        <f t="shared" ref="B40:O40" si="6">B29</f>
        <v>9220</v>
      </c>
      <c r="C40" s="81" t="str">
        <f t="shared" si="6"/>
        <v>A&amp;G-Administrative expense transferred-Credit</v>
      </c>
      <c r="D40" s="81">
        <f t="shared" si="6"/>
        <v>-8659767.8420000058</v>
      </c>
      <c r="E40" s="81">
        <f t="shared" si="6"/>
        <v>-11774277.607500004</v>
      </c>
      <c r="F40" s="81">
        <f t="shared" si="6"/>
        <v>-8664345.881900005</v>
      </c>
      <c r="G40" s="81">
        <f t="shared" si="6"/>
        <v>-11298399.422400009</v>
      </c>
      <c r="H40" s="81">
        <f t="shared" si="6"/>
        <v>-8041712.6802000003</v>
      </c>
      <c r="I40" s="81">
        <f t="shared" si="6"/>
        <v>-7958612.8928000042</v>
      </c>
      <c r="J40" s="81">
        <f t="shared" si="6"/>
        <v>-9028379.4567189235</v>
      </c>
      <c r="K40" s="81">
        <f t="shared" si="6"/>
        <v>-9016519.9665654898</v>
      </c>
      <c r="L40" s="81">
        <f t="shared" si="6"/>
        <v>-9152629.8825470693</v>
      </c>
      <c r="M40" s="81">
        <f t="shared" si="6"/>
        <v>-9354525.3936645444</v>
      </c>
      <c r="N40" s="81">
        <f t="shared" si="6"/>
        <v>-8848780.1148692351</v>
      </c>
      <c r="O40" s="81">
        <f t="shared" si="6"/>
        <v>-11046378.697175987</v>
      </c>
      <c r="P40" s="81"/>
      <c r="Q40" s="81"/>
    </row>
    <row r="41" spans="1:17">
      <c r="A41" s="1155">
        <f t="shared" si="2"/>
        <v>29</v>
      </c>
      <c r="B41" s="81"/>
      <c r="C41" s="81" t="s">
        <v>195</v>
      </c>
      <c r="D41" s="906">
        <f>Allocation!$E$14</f>
        <v>5.1771199999999996E-2</v>
      </c>
      <c r="E41" s="906">
        <f>D41</f>
        <v>5.1771199999999996E-2</v>
      </c>
      <c r="F41" s="906">
        <f t="shared" ref="F41:O41" si="7">E41</f>
        <v>5.1771199999999996E-2</v>
      </c>
      <c r="G41" s="906">
        <f t="shared" si="7"/>
        <v>5.1771199999999996E-2</v>
      </c>
      <c r="H41" s="906">
        <f t="shared" si="7"/>
        <v>5.1771199999999996E-2</v>
      </c>
      <c r="I41" s="906">
        <f t="shared" si="7"/>
        <v>5.1771199999999996E-2</v>
      </c>
      <c r="J41" s="906">
        <f t="shared" si="7"/>
        <v>5.1771199999999996E-2</v>
      </c>
      <c r="K41" s="906">
        <f t="shared" si="7"/>
        <v>5.1771199999999996E-2</v>
      </c>
      <c r="L41" s="906">
        <f t="shared" si="7"/>
        <v>5.1771199999999996E-2</v>
      </c>
      <c r="M41" s="906">
        <f t="shared" si="7"/>
        <v>5.1771199999999996E-2</v>
      </c>
      <c r="N41" s="906">
        <f t="shared" si="7"/>
        <v>5.1771199999999996E-2</v>
      </c>
      <c r="O41" s="906">
        <f t="shared" si="7"/>
        <v>5.1771199999999996E-2</v>
      </c>
      <c r="P41" s="74"/>
      <c r="Q41" s="81"/>
    </row>
    <row r="42" spans="1:17">
      <c r="A42" s="1155">
        <f t="shared" si="2"/>
        <v>30</v>
      </c>
      <c r="B42" s="81"/>
      <c r="C42" s="81" t="s">
        <v>210</v>
      </c>
      <c r="D42" s="81">
        <f t="shared" ref="D42:N42" si="8">ROUND(D40*D41,3)</f>
        <v>-448326.57299999997</v>
      </c>
      <c r="E42" s="81">
        <f t="shared" si="8"/>
        <v>-609568.48100000003</v>
      </c>
      <c r="F42" s="81">
        <f t="shared" si="8"/>
        <v>-448563.58399999997</v>
      </c>
      <c r="G42" s="81">
        <f t="shared" si="8"/>
        <v>-584931.696</v>
      </c>
      <c r="H42" s="81">
        <f t="shared" si="8"/>
        <v>-416329.11599999998</v>
      </c>
      <c r="I42" s="81">
        <f t="shared" si="8"/>
        <v>-412026.94</v>
      </c>
      <c r="J42" s="81">
        <f t="shared" si="8"/>
        <v>-467410.03899999999</v>
      </c>
      <c r="K42" s="81">
        <f t="shared" si="8"/>
        <v>-466796.05800000002</v>
      </c>
      <c r="L42" s="81">
        <f t="shared" si="8"/>
        <v>-473842.63199999998</v>
      </c>
      <c r="M42" s="81">
        <f t="shared" si="8"/>
        <v>-484295.005</v>
      </c>
      <c r="N42" s="81">
        <f t="shared" si="8"/>
        <v>-458111.96500000003</v>
      </c>
      <c r="O42" s="81">
        <f>ROUND(O40*O41,3)</f>
        <v>-571884.28099999996</v>
      </c>
      <c r="P42" s="81">
        <f>SUM(D42:O42)</f>
        <v>-5842086.3699999992</v>
      </c>
      <c r="Q42" s="907"/>
    </row>
    <row r="43" spans="1:17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>
      <c r="A45" s="81"/>
      <c r="B45" s="81" t="s">
        <v>562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74"/>
      <c r="P45" s="881"/>
      <c r="Q45" s="81"/>
    </row>
    <row r="46" spans="1:17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>
      <c r="A47" s="81"/>
      <c r="B47" s="81"/>
      <c r="C47" s="17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4"/>
      <c r="Q47" s="81"/>
    </row>
    <row r="48" spans="1:17">
      <c r="A48" s="81"/>
      <c r="B48" s="81" t="s">
        <v>953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74"/>
      <c r="Q48" s="81"/>
    </row>
    <row r="49" spans="1:17">
      <c r="A49" s="81"/>
      <c r="B49" s="81" t="s">
        <v>1624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4"/>
      <c r="Q49" s="81"/>
    </row>
    <row r="50" spans="1:17">
      <c r="A50" s="81"/>
      <c r="B50" s="81"/>
      <c r="C50" s="81"/>
      <c r="D50" s="430">
        <f>D29</f>
        <v>-8659767.8420000058</v>
      </c>
      <c r="E50" s="430">
        <f t="shared" ref="E50:O50" si="9">E29</f>
        <v>-11774277.607500004</v>
      </c>
      <c r="F50" s="430">
        <f t="shared" si="9"/>
        <v>-8664345.881900005</v>
      </c>
      <c r="G50" s="430">
        <f t="shared" si="9"/>
        <v>-11298399.422400009</v>
      </c>
      <c r="H50" s="430">
        <f t="shared" si="9"/>
        <v>-8041712.6802000003</v>
      </c>
      <c r="I50" s="430">
        <f t="shared" si="9"/>
        <v>-7958612.8928000042</v>
      </c>
      <c r="J50" s="430">
        <f t="shared" si="9"/>
        <v>-9028379.4567189235</v>
      </c>
      <c r="K50" s="430">
        <f t="shared" si="9"/>
        <v>-9016519.9665654898</v>
      </c>
      <c r="L50" s="430">
        <f t="shared" si="9"/>
        <v>-9152629.8825470693</v>
      </c>
      <c r="M50" s="430">
        <f t="shared" si="9"/>
        <v>-9354525.3936645444</v>
      </c>
      <c r="N50" s="430">
        <f t="shared" si="9"/>
        <v>-8848780.1148692351</v>
      </c>
      <c r="O50" s="430">
        <f t="shared" si="9"/>
        <v>-11046378.697175987</v>
      </c>
      <c r="P50" s="825"/>
      <c r="Q50" s="81"/>
    </row>
    <row r="51" spans="1:17">
      <c r="A51" s="81"/>
      <c r="B51" s="81"/>
      <c r="C51" s="81"/>
      <c r="D51" s="430">
        <f>'[13]Div 2 forecast'!U305</f>
        <v>8659767.842000002</v>
      </c>
      <c r="E51" s="430">
        <f>'[13]Div 2 forecast'!V305</f>
        <v>11774277.6075</v>
      </c>
      <c r="F51" s="430">
        <f>'[13]Div 2 forecast'!W305</f>
        <v>8664345.8818999995</v>
      </c>
      <c r="G51" s="430">
        <f>'[13]Div 2 forecast'!X305</f>
        <v>11298399.4224</v>
      </c>
      <c r="H51" s="430">
        <f>'[13]Div 2 forecast'!Y305</f>
        <v>8041712.6802000012</v>
      </c>
      <c r="I51" s="430">
        <f>'[13]Div 2 forecast'!Z305</f>
        <v>7958612.8927999996</v>
      </c>
      <c r="J51" s="430">
        <f>'[13]Div 2 forecast'!AA305</f>
        <v>9028379.4567189235</v>
      </c>
      <c r="K51" s="430">
        <f>'[13]Div 2 forecast'!AB305</f>
        <v>9016519.9665654879</v>
      </c>
      <c r="L51" s="430">
        <f>'[13]Div 2 forecast'!AC305</f>
        <v>9152629.8825470675</v>
      </c>
      <c r="M51" s="430">
        <f>'[13]Div 2 forecast'!AD305</f>
        <v>9354525.3936645426</v>
      </c>
      <c r="N51" s="430">
        <f>'[13]Div 2 forecast'!AE305</f>
        <v>8848780.1148692351</v>
      </c>
      <c r="O51" s="430">
        <f>'[13]Div 2 forecast'!AF305</f>
        <v>11046378.697175985</v>
      </c>
      <c r="P51" s="825"/>
      <c r="Q51" s="81"/>
    </row>
    <row r="52" spans="1:17">
      <c r="A52" s="81"/>
      <c r="B52" s="81"/>
      <c r="C52" s="81"/>
      <c r="D52" s="81">
        <f>D50+D51</f>
        <v>0</v>
      </c>
      <c r="E52" s="81">
        <f t="shared" ref="E52:O52" si="10">E50+E51</f>
        <v>0</v>
      </c>
      <c r="F52" s="81">
        <f t="shared" si="10"/>
        <v>0</v>
      </c>
      <c r="G52" s="81">
        <f t="shared" si="10"/>
        <v>0</v>
      </c>
      <c r="H52" s="81">
        <f t="shared" si="10"/>
        <v>0</v>
      </c>
      <c r="I52" s="81">
        <f t="shared" si="10"/>
        <v>0</v>
      </c>
      <c r="J52" s="81">
        <f t="shared" si="10"/>
        <v>0</v>
      </c>
      <c r="K52" s="81">
        <f t="shared" si="10"/>
        <v>0</v>
      </c>
      <c r="L52" s="81">
        <f t="shared" si="10"/>
        <v>0</v>
      </c>
      <c r="M52" s="81">
        <f t="shared" si="10"/>
        <v>0</v>
      </c>
      <c r="N52" s="81">
        <f t="shared" si="10"/>
        <v>0</v>
      </c>
      <c r="O52" s="81">
        <f t="shared" si="10"/>
        <v>0</v>
      </c>
      <c r="P52" s="825"/>
      <c r="Q52" s="81"/>
    </row>
    <row r="53" spans="1:17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5"/>
      <c r="P53" s="825"/>
      <c r="Q53" s="81"/>
    </row>
    <row r="54" spans="1:17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5"/>
      <c r="P54" s="825"/>
      <c r="Q54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43.21875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1.109375" style="80" customWidth="1"/>
    <col min="10" max="10" width="10.88671875" style="80" customWidth="1"/>
    <col min="11" max="14" width="11.3320312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81"/>
    </row>
    <row r="2" spans="1:17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81"/>
    </row>
    <row r="3" spans="1:17" ht="15.75">
      <c r="A3" s="1210" t="s">
        <v>187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81"/>
    </row>
    <row r="4" spans="1:17">
      <c r="A4" s="1210" t="str">
        <f>'Table of Contents'!A4:C4</f>
        <v>Forecasted Test Period: Twelve Months Ended March 31, 2020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81"/>
    </row>
    <row r="5" spans="1:17">
      <c r="A5" s="81"/>
      <c r="B5" s="150"/>
      <c r="C5" s="150"/>
      <c r="D5" s="150"/>
      <c r="E5" s="150"/>
      <c r="F5" s="150"/>
      <c r="G5" s="870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7" ht="15.75">
      <c r="A6" s="88" t="str">
        <f>'C.2.1 F'!A6</f>
        <v>Data:________Base Period___X____Forecasted Period</v>
      </c>
      <c r="B6" s="81"/>
      <c r="C6" s="88"/>
      <c r="D6" s="81"/>
      <c r="E6" s="902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</row>
    <row r="7" spans="1:17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</row>
    <row r="8" spans="1:17">
      <c r="A8" s="391" t="str">
        <f>'C.2.1 F'!A8</f>
        <v>Workpaper Reference No(s).____________________</v>
      </c>
      <c r="B8" s="82"/>
      <c r="C8" s="433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0" t="str">
        <f>'C.1'!J9</f>
        <v>Witness: Waller, Densman</v>
      </c>
      <c r="Q8" s="81"/>
    </row>
    <row r="9" spans="1:17">
      <c r="A9" s="392" t="s">
        <v>93</v>
      </c>
      <c r="B9" s="827" t="s">
        <v>100</v>
      </c>
      <c r="C9" s="903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904"/>
      <c r="Q9" s="81"/>
    </row>
    <row r="10" spans="1:17">
      <c r="A10" s="393" t="s">
        <v>99</v>
      </c>
      <c r="B10" s="82" t="s">
        <v>99</v>
      </c>
      <c r="C10" s="905" t="s">
        <v>952</v>
      </c>
      <c r="D10" s="613">
        <f>'C.2.2-F 09'!D10</f>
        <v>43556</v>
      </c>
      <c r="E10" s="613">
        <f>'C.2.2-F 09'!F10</f>
        <v>43617</v>
      </c>
      <c r="F10" s="613">
        <f>'C.2.2-F 09'!F10</f>
        <v>43617</v>
      </c>
      <c r="G10" s="613">
        <f>'C.2.2-F 09'!G10</f>
        <v>43647</v>
      </c>
      <c r="H10" s="613">
        <f>'C.2.2-F 09'!H10</f>
        <v>43678</v>
      </c>
      <c r="I10" s="613">
        <f>'C.2.2-F 09'!I10</f>
        <v>43709</v>
      </c>
      <c r="J10" s="613">
        <f>'C.2.2-F 09'!J10</f>
        <v>43739</v>
      </c>
      <c r="K10" s="613">
        <f>'C.2.2-F 09'!K10</f>
        <v>43770</v>
      </c>
      <c r="L10" s="613">
        <f>'C.2.2-F 09'!L10</f>
        <v>43800</v>
      </c>
      <c r="M10" s="613">
        <f>'C.2.2-F 09'!M10</f>
        <v>43831</v>
      </c>
      <c r="N10" s="613">
        <f>'C.2.2-F 09'!N10</f>
        <v>43862</v>
      </c>
      <c r="O10" s="613">
        <f>'C.2.2-F 09'!O10</f>
        <v>43891</v>
      </c>
      <c r="P10" s="363" t="str">
        <f>'C.2.2 B 09'!P10</f>
        <v>Total</v>
      </c>
      <c r="Q10" s="76"/>
    </row>
    <row r="11" spans="1:17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49"/>
    </row>
    <row r="12" spans="1:17">
      <c r="A12" s="851">
        <v>1</v>
      </c>
      <c r="B12" s="707">
        <v>4030</v>
      </c>
      <c r="C12" s="81" t="s">
        <v>91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28" si="0">SUM(D12:O12)</f>
        <v>0</v>
      </c>
      <c r="Q12" s="81"/>
    </row>
    <row r="13" spans="1:17">
      <c r="A13" s="851">
        <f>A12+1</f>
        <v>2</v>
      </c>
      <c r="B13" s="707">
        <v>4081</v>
      </c>
      <c r="C13" s="81" t="s">
        <v>862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7">
      <c r="A14" s="851">
        <f t="shared" ref="A14:A34" si="1">A13+1</f>
        <v>3</v>
      </c>
      <c r="B14" s="707">
        <v>8700</v>
      </c>
      <c r="C14" s="81" t="s">
        <v>913</v>
      </c>
      <c r="D14" s="96">
        <f>VLOOKUP($B14,'[13]Div 12 forecast'!$D$176:$AF$252,18,FALSE)</f>
        <v>877.36363283060894</v>
      </c>
      <c r="E14" s="96">
        <f>VLOOKUP($B14,'[13]Div 12 forecast'!$D$176:$AF$252,19,FALSE)</f>
        <v>877.36363283060894</v>
      </c>
      <c r="F14" s="96">
        <f>VLOOKUP($B14,'[13]Div 12 forecast'!$D$176:$AF$252,20,FALSE)</f>
        <v>897.87950913811699</v>
      </c>
      <c r="G14" s="96">
        <f>VLOOKUP($B14,'[13]Div 12 forecast'!$D$176:$AF$252,21,FALSE)</f>
        <v>1060.6969955785521</v>
      </c>
      <c r="H14" s="96">
        <f>VLOOKUP($B14,'[13]Div 12 forecast'!$D$176:$AF$252,22,FALSE)</f>
        <v>925.03030714507418</v>
      </c>
      <c r="I14" s="96">
        <f>VLOOKUP($B14,'[13]Div 12 forecast'!$D$176:$AF$252,23,FALSE)</f>
        <v>933.00967350467522</v>
      </c>
      <c r="J14" s="96">
        <f>VLOOKUP($B14,'[13]Div 12 forecast'!$D$176:$AF$252,24,FALSE)</f>
        <v>851.17315243804569</v>
      </c>
      <c r="K14" s="96">
        <f>VLOOKUP($B14,'[13]Div 12 forecast'!$D$176:$AF$252,25,FALSE)</f>
        <v>851.17315243804569</v>
      </c>
      <c r="L14" s="96">
        <f>VLOOKUP($B14,'[13]Div 12 forecast'!$D$176:$AF$252,26,FALSE)</f>
        <v>985.18111044666125</v>
      </c>
      <c r="M14" s="96">
        <f>VLOOKUP($B14,'[13]Div 12 forecast'!$D$176:$AF$252,27,FALSE)</f>
        <v>816.25251191462792</v>
      </c>
      <c r="N14" s="96">
        <f>VLOOKUP($B14,'[13]Div 12 forecast'!$D$176:$AF$252,28,FALSE)</f>
        <v>798.79219165291909</v>
      </c>
      <c r="O14" s="96">
        <f>VLOOKUP($B14,'[13]Div 12 forecast'!$D$176:$AF$252,29,FALSE)</f>
        <v>819.30806796042702</v>
      </c>
      <c r="P14" s="81">
        <f t="shared" si="0"/>
        <v>10693.223937878363</v>
      </c>
      <c r="Q14" s="81"/>
    </row>
    <row r="15" spans="1:17">
      <c r="A15" s="851">
        <f t="shared" si="1"/>
        <v>4</v>
      </c>
      <c r="B15" s="707">
        <v>8740</v>
      </c>
      <c r="C15" s="81" t="s">
        <v>915</v>
      </c>
      <c r="D15" s="96">
        <f>VLOOKUP($B15,'[13]Div 12 forecast'!$D$176:$AF$252,18,FALSE)</f>
        <v>1723.8940021102183</v>
      </c>
      <c r="E15" s="96">
        <f>VLOOKUP($B15,'[13]Div 12 forecast'!$D$176:$AF$252,19,FALSE)</f>
        <v>1723.8940021102183</v>
      </c>
      <c r="F15" s="96">
        <f>VLOOKUP($B15,'[13]Div 12 forecast'!$D$176:$AF$252,20,FALSE)</f>
        <v>1723.8940021102183</v>
      </c>
      <c r="G15" s="96">
        <f>VLOOKUP($B15,'[13]Div 12 forecast'!$D$176:$AF$252,21,FALSE)</f>
        <v>1723.8940021102183</v>
      </c>
      <c r="H15" s="96">
        <f>VLOOKUP($B15,'[13]Div 12 forecast'!$D$176:$AF$252,22,FALSE)</f>
        <v>1723.8940021102183</v>
      </c>
      <c r="I15" s="96">
        <f>VLOOKUP($B15,'[13]Div 12 forecast'!$D$176:$AF$252,23,FALSE)</f>
        <v>1727.8615372128884</v>
      </c>
      <c r="J15" s="96">
        <f>VLOOKUP($B15,'[13]Div 12 forecast'!$D$176:$AF$252,24,FALSE)</f>
        <v>1723.8940021102183</v>
      </c>
      <c r="K15" s="96">
        <f>VLOOKUP($B15,'[13]Div 12 forecast'!$D$176:$AF$252,25,FALSE)</f>
        <v>1723.8940021102183</v>
      </c>
      <c r="L15" s="96">
        <f>VLOOKUP($B15,'[13]Div 12 forecast'!$D$176:$AF$252,26,FALSE)</f>
        <v>1723.8940021102183</v>
      </c>
      <c r="M15" s="96">
        <f>VLOOKUP($B15,'[13]Div 12 forecast'!$D$176:$AF$252,27,FALSE)</f>
        <v>1723.8940021102183</v>
      </c>
      <c r="N15" s="96">
        <f>VLOOKUP($B15,'[13]Div 12 forecast'!$D$176:$AF$252,28,FALSE)</f>
        <v>1723.8940021102183</v>
      </c>
      <c r="O15" s="96">
        <f>VLOOKUP($B15,'[13]Div 12 forecast'!$D$176:$AF$252,29,FALSE)</f>
        <v>1723.8940021102183</v>
      </c>
      <c r="P15" s="81">
        <f t="shared" si="0"/>
        <v>20690.695560425287</v>
      </c>
      <c r="Q15" s="81"/>
    </row>
    <row r="16" spans="1:17">
      <c r="A16" s="851">
        <f t="shared" si="1"/>
        <v>5</v>
      </c>
      <c r="B16" s="707">
        <v>8800</v>
      </c>
      <c r="C16" s="81" t="s">
        <v>921</v>
      </c>
      <c r="D16" s="96">
        <f>VLOOKUP($B16,'[13]Div 12 forecast'!$D$176:$AF$252,18,FALSE)</f>
        <v>0</v>
      </c>
      <c r="E16" s="96">
        <f>VLOOKUP($B16,'[13]Div 12 forecast'!$D$176:$AF$252,19,FALSE)</f>
        <v>0</v>
      </c>
      <c r="F16" s="96">
        <f>VLOOKUP($B16,'[13]Div 12 forecast'!$D$176:$AF$252,20,FALSE)</f>
        <v>0</v>
      </c>
      <c r="G16" s="96">
        <f>VLOOKUP($B16,'[13]Div 12 forecast'!$D$176:$AF$252,21,FALSE)</f>
        <v>0</v>
      </c>
      <c r="H16" s="96">
        <f>VLOOKUP($B16,'[13]Div 12 forecast'!$D$176:$AF$252,22,FALSE)</f>
        <v>0</v>
      </c>
      <c r="I16" s="96">
        <f>VLOOKUP($B16,'[13]Div 12 forecast'!$D$176:$AF$252,23,FALSE)</f>
        <v>0</v>
      </c>
      <c r="J16" s="96">
        <f>VLOOKUP($B16,'[13]Div 12 forecast'!$D$176:$AF$252,24,FALSE)</f>
        <v>0</v>
      </c>
      <c r="K16" s="96">
        <f>VLOOKUP($B16,'[13]Div 12 forecast'!$D$176:$AF$252,25,FALSE)</f>
        <v>0</v>
      </c>
      <c r="L16" s="96">
        <f>VLOOKUP($B16,'[13]Div 12 forecast'!$D$176:$AF$252,26,FALSE)</f>
        <v>0</v>
      </c>
      <c r="M16" s="96">
        <f>VLOOKUP($B16,'[13]Div 12 forecast'!$D$176:$AF$252,27,FALSE)</f>
        <v>0</v>
      </c>
      <c r="N16" s="96">
        <f>VLOOKUP($B16,'[13]Div 12 forecast'!$D$176:$AF$252,28,FALSE)</f>
        <v>0</v>
      </c>
      <c r="O16" s="96">
        <f>VLOOKUP($B16,'[13]Div 12 forecast'!$D$176:$AF$252,29,FALSE)</f>
        <v>0</v>
      </c>
      <c r="P16" s="81">
        <f t="shared" si="0"/>
        <v>0</v>
      </c>
      <c r="Q16" s="81"/>
    </row>
    <row r="17" spans="1:17">
      <c r="A17" s="851">
        <f t="shared" si="1"/>
        <v>6</v>
      </c>
      <c r="B17" s="707">
        <v>9010</v>
      </c>
      <c r="C17" s="81" t="s">
        <v>181</v>
      </c>
      <c r="D17" s="96">
        <f>VLOOKUP($B17,'[13]Div 12 forecast'!$D$176:$AF$252,18,FALSE)</f>
        <v>429246.01646863128</v>
      </c>
      <c r="E17" s="96">
        <f>VLOOKUP($B17,'[13]Div 12 forecast'!$D$176:$AF$252,19,FALSE)</f>
        <v>488642.38504268869</v>
      </c>
      <c r="F17" s="96">
        <f>VLOOKUP($B17,'[13]Div 12 forecast'!$D$176:$AF$252,20,FALSE)</f>
        <v>397439.4943155027</v>
      </c>
      <c r="G17" s="96">
        <f>VLOOKUP($B17,'[13]Div 12 forecast'!$D$176:$AF$252,21,FALSE)</f>
        <v>520252.66818237613</v>
      </c>
      <c r="H17" s="96">
        <f>VLOOKUP($B17,'[13]Div 12 forecast'!$D$176:$AF$252,22,FALSE)</f>
        <v>406721.16455940832</v>
      </c>
      <c r="I17" s="96">
        <f>VLOOKUP($B17,'[13]Div 12 forecast'!$D$176:$AF$252,23,FALSE)</f>
        <v>395229.03936622158</v>
      </c>
      <c r="J17" s="96">
        <f>VLOOKUP($B17,'[13]Div 12 forecast'!$D$176:$AF$252,24,FALSE)</f>
        <v>446161.91149875498</v>
      </c>
      <c r="K17" s="96">
        <f>VLOOKUP($B17,'[13]Div 12 forecast'!$D$176:$AF$252,25,FALSE)</f>
        <v>443806.64916003024</v>
      </c>
      <c r="L17" s="96">
        <f>VLOOKUP($B17,'[13]Div 12 forecast'!$D$176:$AF$252,26,FALSE)</f>
        <v>423316.18392033927</v>
      </c>
      <c r="M17" s="96">
        <f>VLOOKUP($B17,'[13]Div 12 forecast'!$D$176:$AF$252,27,FALSE)</f>
        <v>463228.65870570525</v>
      </c>
      <c r="N17" s="96">
        <f>VLOOKUP($B17,'[13]Div 12 forecast'!$D$176:$AF$252,28,FALSE)</f>
        <v>403395.29222634545</v>
      </c>
      <c r="O17" s="96">
        <f>VLOOKUP($B17,'[13]Div 12 forecast'!$D$176:$AF$252,29,FALSE)</f>
        <v>421220.11212062027</v>
      </c>
      <c r="P17" s="81">
        <f t="shared" si="0"/>
        <v>5238659.5755666234</v>
      </c>
      <c r="Q17" s="81"/>
    </row>
    <row r="18" spans="1:17">
      <c r="A18" s="851">
        <f t="shared" si="1"/>
        <v>7</v>
      </c>
      <c r="B18" s="365">
        <v>9020</v>
      </c>
      <c r="C18" s="210" t="s">
        <v>932</v>
      </c>
      <c r="D18" s="96">
        <f>VLOOKUP($B18,'[13]Div 12 forecast'!$D$176:$AF$252,18,FALSE)</f>
        <v>0</v>
      </c>
      <c r="E18" s="96">
        <f>VLOOKUP($B18,'[13]Div 12 forecast'!$D$176:$AF$252,19,FALSE)</f>
        <v>0</v>
      </c>
      <c r="F18" s="96">
        <f>VLOOKUP($B18,'[13]Div 12 forecast'!$D$176:$AF$252,20,FALSE)</f>
        <v>0</v>
      </c>
      <c r="G18" s="96">
        <f>VLOOKUP($B18,'[13]Div 12 forecast'!$D$176:$AF$252,21,FALSE)</f>
        <v>0</v>
      </c>
      <c r="H18" s="96">
        <f>VLOOKUP($B18,'[13]Div 12 forecast'!$D$176:$AF$252,22,FALSE)</f>
        <v>0</v>
      </c>
      <c r="I18" s="96">
        <f>VLOOKUP($B18,'[13]Div 12 forecast'!$D$176:$AF$252,23,FALSE)</f>
        <v>0</v>
      </c>
      <c r="J18" s="96">
        <f>VLOOKUP($B18,'[13]Div 12 forecast'!$D$176:$AF$252,24,FALSE)</f>
        <v>0</v>
      </c>
      <c r="K18" s="96">
        <f>VLOOKUP($B18,'[13]Div 12 forecast'!$D$176:$AF$252,25,FALSE)</f>
        <v>0</v>
      </c>
      <c r="L18" s="96">
        <f>VLOOKUP($B18,'[13]Div 12 forecast'!$D$176:$AF$252,26,FALSE)</f>
        <v>0</v>
      </c>
      <c r="M18" s="96">
        <f>VLOOKUP($B18,'[13]Div 12 forecast'!$D$176:$AF$252,27,FALSE)</f>
        <v>0</v>
      </c>
      <c r="N18" s="96">
        <f>VLOOKUP($B18,'[13]Div 12 forecast'!$D$176:$AF$252,28,FALSE)</f>
        <v>0</v>
      </c>
      <c r="O18" s="96">
        <f>VLOOKUP($B18,'[13]Div 12 forecast'!$D$176:$AF$252,29,FALSE)</f>
        <v>0</v>
      </c>
      <c r="P18" s="81">
        <f t="shared" si="0"/>
        <v>0</v>
      </c>
      <c r="Q18" s="81"/>
    </row>
    <row r="19" spans="1:17">
      <c r="A19" s="851">
        <f t="shared" si="1"/>
        <v>8</v>
      </c>
      <c r="B19" s="707">
        <v>9030</v>
      </c>
      <c r="C19" s="81" t="s">
        <v>937</v>
      </c>
      <c r="D19" s="96">
        <f>VLOOKUP($B19,'[13]Div 12 forecast'!$D$176:$AF$252,18,FALSE)</f>
        <v>1953200.1379290866</v>
      </c>
      <c r="E19" s="96">
        <f>VLOOKUP($B19,'[13]Div 12 forecast'!$D$176:$AF$252,19,FALSE)</f>
        <v>2024086.037393216</v>
      </c>
      <c r="F19" s="96">
        <f>VLOOKUP($B19,'[13]Div 12 forecast'!$D$176:$AF$252,20,FALSE)</f>
        <v>1758262.677921674</v>
      </c>
      <c r="G19" s="96">
        <f>VLOOKUP($B19,'[13]Div 12 forecast'!$D$176:$AF$252,21,FALSE)</f>
        <v>2023939.503513241</v>
      </c>
      <c r="H19" s="96">
        <f>VLOOKUP($B19,'[13]Div 12 forecast'!$D$176:$AF$252,22,FALSE)</f>
        <v>1868748.8079969157</v>
      </c>
      <c r="I19" s="96">
        <f>VLOOKUP($B19,'[13]Div 12 forecast'!$D$176:$AF$252,23,FALSE)</f>
        <v>1789055.9970529932</v>
      </c>
      <c r="J19" s="96">
        <f>VLOOKUP($B19,'[13]Div 12 forecast'!$D$176:$AF$252,24,FALSE)</f>
        <v>2043758.8230451408</v>
      </c>
      <c r="K19" s="96">
        <f>VLOOKUP($B19,'[13]Div 12 forecast'!$D$176:$AF$252,25,FALSE)</f>
        <v>1935312.2467359952</v>
      </c>
      <c r="L19" s="96">
        <f>VLOOKUP($B19,'[13]Div 12 forecast'!$D$176:$AF$252,26,FALSE)</f>
        <v>1847160.8433019056</v>
      </c>
      <c r="M19" s="96">
        <f>VLOOKUP($B19,'[13]Div 12 forecast'!$D$176:$AF$252,27,FALSE)</f>
        <v>2097860.6316308561</v>
      </c>
      <c r="N19" s="96">
        <f>VLOOKUP($B19,'[13]Div 12 forecast'!$D$176:$AF$252,28,FALSE)</f>
        <v>1804682.9485724645</v>
      </c>
      <c r="O19" s="96">
        <f>VLOOKUP($B19,'[13]Div 12 forecast'!$D$176:$AF$252,29,FALSE)</f>
        <v>1890662.7473085336</v>
      </c>
      <c r="P19" s="81">
        <f t="shared" si="0"/>
        <v>23036731.402402025</v>
      </c>
      <c r="Q19" s="81"/>
    </row>
    <row r="20" spans="1:17">
      <c r="A20" s="851">
        <f t="shared" si="1"/>
        <v>9</v>
      </c>
      <c r="B20" s="707">
        <v>9200</v>
      </c>
      <c r="C20" s="81" t="s">
        <v>182</v>
      </c>
      <c r="D20" s="96">
        <f>VLOOKUP($B20,'[13]Div 12 forecast'!$D$176:$AF$252,18,FALSE)</f>
        <v>428436.01052444585</v>
      </c>
      <c r="E20" s="96">
        <f>VLOOKUP($B20,'[13]Div 12 forecast'!$D$176:$AF$252,19,FALSE)</f>
        <v>449007.31210763182</v>
      </c>
      <c r="F20" s="96">
        <f>VLOOKUP($B20,'[13]Div 12 forecast'!$D$176:$AF$252,20,FALSE)</f>
        <v>390795.96584209031</v>
      </c>
      <c r="G20" s="96">
        <f>VLOOKUP($B20,'[13]Div 12 forecast'!$D$176:$AF$252,21,FALSE)</f>
        <v>439295.84692403383</v>
      </c>
      <c r="H20" s="96">
        <f>VLOOKUP($B20,'[13]Div 12 forecast'!$D$176:$AF$252,22,FALSE)</f>
        <v>416815.11549037608</v>
      </c>
      <c r="I20" s="96">
        <f>VLOOKUP($B20,'[13]Div 12 forecast'!$D$176:$AF$252,23,FALSE)</f>
        <v>398150.53259779012</v>
      </c>
      <c r="J20" s="96">
        <f>VLOOKUP($B20,'[13]Div 12 forecast'!$D$176:$AF$252,24,FALSE)</f>
        <v>449190.27213988232</v>
      </c>
      <c r="K20" s="96">
        <f>VLOOKUP($B20,'[13]Div 12 forecast'!$D$176:$AF$252,25,FALSE)</f>
        <v>430392.32813553908</v>
      </c>
      <c r="L20" s="96">
        <f>VLOOKUP($B20,'[13]Div 12 forecast'!$D$176:$AF$252,26,FALSE)</f>
        <v>410711.16160577774</v>
      </c>
      <c r="M20" s="96">
        <f>VLOOKUP($B20,'[13]Div 12 forecast'!$D$176:$AF$252,27,FALSE)</f>
        <v>460938.25719557435</v>
      </c>
      <c r="N20" s="96">
        <f>VLOOKUP($B20,'[13]Div 12 forecast'!$D$176:$AF$252,28,FALSE)</f>
        <v>402417.57891365484</v>
      </c>
      <c r="O20" s="96">
        <f>VLOOKUP($B20,'[13]Div 12 forecast'!$D$176:$AF$252,29,FALSE)</f>
        <v>421848.58707915316</v>
      </c>
      <c r="P20" s="81">
        <f t="shared" si="0"/>
        <v>5097998.9685559496</v>
      </c>
      <c r="Q20" s="81"/>
    </row>
    <row r="21" spans="1:17">
      <c r="A21" s="851">
        <f t="shared" si="1"/>
        <v>10</v>
      </c>
      <c r="B21" s="707">
        <v>9210</v>
      </c>
      <c r="C21" s="81" t="s">
        <v>944</v>
      </c>
      <c r="D21" s="96">
        <f>VLOOKUP($B21,'[13]Div 12 forecast'!$D$176:$AF$252,18,FALSE)</f>
        <v>205079.412112316</v>
      </c>
      <c r="E21" s="96">
        <f>VLOOKUP($B21,'[13]Div 12 forecast'!$D$176:$AF$252,19,FALSE)</f>
        <v>144141.80872034363</v>
      </c>
      <c r="F21" s="96">
        <f>VLOOKUP($B21,'[13]Div 12 forecast'!$D$176:$AF$252,20,FALSE)</f>
        <v>178979.41125071948</v>
      </c>
      <c r="G21" s="96">
        <f>VLOOKUP($B21,'[13]Div 12 forecast'!$D$176:$AF$252,21,FALSE)</f>
        <v>161164.06230037767</v>
      </c>
      <c r="H21" s="96">
        <f>VLOOKUP($B21,'[13]Div 12 forecast'!$D$176:$AF$252,22,FALSE)</f>
        <v>161172.73086159045</v>
      </c>
      <c r="I21" s="96">
        <f>VLOOKUP($B21,'[13]Div 12 forecast'!$D$176:$AF$252,23,FALSE)</f>
        <v>244022.43016772455</v>
      </c>
      <c r="J21" s="96">
        <f>VLOOKUP($B21,'[13]Div 12 forecast'!$D$176:$AF$252,24,FALSE)</f>
        <v>153089.65398182583</v>
      </c>
      <c r="K21" s="96">
        <f>VLOOKUP($B21,'[13]Div 12 forecast'!$D$176:$AF$252,25,FALSE)</f>
        <v>150561.90957695534</v>
      </c>
      <c r="L21" s="96">
        <f>VLOOKUP($B21,'[13]Div 12 forecast'!$D$176:$AF$252,26,FALSE)</f>
        <v>151915.91380028042</v>
      </c>
      <c r="M21" s="96">
        <f>VLOOKUP($B21,'[13]Div 12 forecast'!$D$176:$AF$252,27,FALSE)</f>
        <v>145722.73816118803</v>
      </c>
      <c r="N21" s="96">
        <f>VLOOKUP($B21,'[13]Div 12 forecast'!$D$176:$AF$252,28,FALSE)</f>
        <v>147840.07678317462</v>
      </c>
      <c r="O21" s="96">
        <f>VLOOKUP($B21,'[13]Div 12 forecast'!$D$176:$AF$252,29,FALSE)</f>
        <v>162220.25410780965</v>
      </c>
      <c r="P21" s="81">
        <f t="shared" si="0"/>
        <v>2005910.4018243058</v>
      </c>
      <c r="Q21" s="81"/>
    </row>
    <row r="22" spans="1:17">
      <c r="A22" s="851">
        <f t="shared" si="1"/>
        <v>11</v>
      </c>
      <c r="B22" s="707">
        <v>9220</v>
      </c>
      <c r="C22" s="81" t="s">
        <v>945</v>
      </c>
      <c r="D22" s="96">
        <f t="shared" ref="D22:O22" si="2">-(SUM(D12:D21)+SUM(D23:D28))</f>
        <v>-4068862.3712999998</v>
      </c>
      <c r="E22" s="96">
        <f t="shared" si="2"/>
        <v>-4142197.1992999995</v>
      </c>
      <c r="F22" s="96">
        <f t="shared" si="2"/>
        <v>-3661549.6502999999</v>
      </c>
      <c r="G22" s="96">
        <f t="shared" si="2"/>
        <v>-4151580.2652999996</v>
      </c>
      <c r="H22" s="96">
        <f t="shared" si="2"/>
        <v>-3862146.4332999988</v>
      </c>
      <c r="I22" s="96">
        <f t="shared" si="2"/>
        <v>-3852219.4766999995</v>
      </c>
      <c r="J22" s="96">
        <f t="shared" si="2"/>
        <v>-4175633.4619124774</v>
      </c>
      <c r="K22" s="96">
        <f t="shared" si="2"/>
        <v>-3999217.2294098809</v>
      </c>
      <c r="L22" s="96">
        <f t="shared" si="2"/>
        <v>-3831816.5589072844</v>
      </c>
      <c r="M22" s="96">
        <f t="shared" si="2"/>
        <v>-4264249.5678520519</v>
      </c>
      <c r="N22" s="96">
        <f t="shared" si="2"/>
        <v>-3741712.5513172923</v>
      </c>
      <c r="O22" s="96">
        <f t="shared" si="2"/>
        <v>-3928702.5008468572</v>
      </c>
      <c r="P22" s="81">
        <f t="shared" si="0"/>
        <v>-47679887.266445838</v>
      </c>
      <c r="Q22" s="81"/>
    </row>
    <row r="23" spans="1:17">
      <c r="A23" s="851">
        <f t="shared" si="1"/>
        <v>12</v>
      </c>
      <c r="B23" s="707">
        <v>9230</v>
      </c>
      <c r="C23" s="81" t="s">
        <v>946</v>
      </c>
      <c r="D23" s="96">
        <f>VLOOKUP($B23,'[13]Div 12 forecast'!$D$176:$AF$252,18,FALSE)</f>
        <v>67095.921523386729</v>
      </c>
      <c r="E23" s="96">
        <f>VLOOKUP($B23,'[13]Div 12 forecast'!$D$176:$AF$252,19,FALSE)</f>
        <v>28305.698511487011</v>
      </c>
      <c r="F23" s="96">
        <f>VLOOKUP($B23,'[13]Div 12 forecast'!$D$176:$AF$252,20,FALSE)</f>
        <v>26654.787280465054</v>
      </c>
      <c r="G23" s="96">
        <f>VLOOKUP($B23,'[13]Div 12 forecast'!$D$176:$AF$252,21,FALSE)</f>
        <v>34296.442641057947</v>
      </c>
      <c r="H23" s="96">
        <f>VLOOKUP($B23,'[13]Div 12 forecast'!$D$176:$AF$252,22,FALSE)</f>
        <v>40739.123720121141</v>
      </c>
      <c r="I23" s="96">
        <f>VLOOKUP($B23,'[13]Div 12 forecast'!$D$176:$AF$252,23,FALSE)</f>
        <v>97310.486145742892</v>
      </c>
      <c r="J23" s="96">
        <f>VLOOKUP($B23,'[13]Div 12 forecast'!$D$176:$AF$252,24,FALSE)</f>
        <v>32385.512891150029</v>
      </c>
      <c r="K23" s="96">
        <f>VLOOKUP($B23,'[13]Div 12 forecast'!$D$176:$AF$252,25,FALSE)</f>
        <v>34085.951459102653</v>
      </c>
      <c r="L23" s="96">
        <f>VLOOKUP($B23,'[13]Div 12 forecast'!$D$176:$AF$252,26,FALSE)</f>
        <v>30999.572912707095</v>
      </c>
      <c r="M23" s="96">
        <f>VLOOKUP($B23,'[13]Div 12 forecast'!$D$176:$AF$252,27,FALSE)</f>
        <v>24405.420728197631</v>
      </c>
      <c r="N23" s="96">
        <f>VLOOKUP($B23,'[13]Div 12 forecast'!$D$176:$AF$252,28,FALSE)</f>
        <v>29593.409271684141</v>
      </c>
      <c r="O23" s="96">
        <f>VLOOKUP($B23,'[13]Div 12 forecast'!$D$176:$AF$252,29,FALSE)</f>
        <v>38475.724422390034</v>
      </c>
      <c r="P23" s="81">
        <f t="shared" si="0"/>
        <v>484348.05150749232</v>
      </c>
      <c r="Q23" s="81"/>
    </row>
    <row r="24" spans="1:17">
      <c r="A24" s="851">
        <f t="shared" si="1"/>
        <v>13</v>
      </c>
      <c r="B24" s="707">
        <v>9240</v>
      </c>
      <c r="C24" s="81" t="s">
        <v>947</v>
      </c>
      <c r="D24" s="96">
        <f>VLOOKUP($B24,'[13]Div 12 forecast'!$D$176:$AF$252,18,FALSE)</f>
        <v>0</v>
      </c>
      <c r="E24" s="96">
        <f>VLOOKUP($B24,'[13]Div 12 forecast'!$D$176:$AF$252,19,FALSE)</f>
        <v>0</v>
      </c>
      <c r="F24" s="96">
        <f>VLOOKUP($B24,'[13]Div 12 forecast'!$D$176:$AF$252,20,FALSE)</f>
        <v>0</v>
      </c>
      <c r="G24" s="96">
        <f>VLOOKUP($B24,'[13]Div 12 forecast'!$D$176:$AF$252,21,FALSE)</f>
        <v>0</v>
      </c>
      <c r="H24" s="96">
        <f>VLOOKUP($B24,'[13]Div 12 forecast'!$D$176:$AF$252,22,FALSE)</f>
        <v>0</v>
      </c>
      <c r="I24" s="96">
        <f>VLOOKUP($B24,'[13]Div 12 forecast'!$D$176:$AF$252,23,FALSE)</f>
        <v>0</v>
      </c>
      <c r="J24" s="96">
        <f>VLOOKUP($B24,'[13]Div 12 forecast'!$D$176:$AF$252,24,FALSE)</f>
        <v>0</v>
      </c>
      <c r="K24" s="96">
        <f>VLOOKUP($B24,'[13]Div 12 forecast'!$D$176:$AF$252,25,FALSE)</f>
        <v>0</v>
      </c>
      <c r="L24" s="96">
        <f>VLOOKUP($B24,'[13]Div 12 forecast'!$D$176:$AF$252,26,FALSE)</f>
        <v>0</v>
      </c>
      <c r="M24" s="96">
        <f>VLOOKUP($B24,'[13]Div 12 forecast'!$D$176:$AF$252,27,FALSE)</f>
        <v>0</v>
      </c>
      <c r="N24" s="96">
        <f>VLOOKUP($B24,'[13]Div 12 forecast'!$D$176:$AF$252,28,FALSE)</f>
        <v>0</v>
      </c>
      <c r="O24" s="96">
        <f>VLOOKUP($B24,'[13]Div 12 forecast'!$D$176:$AF$252,29,FALSE)</f>
        <v>0</v>
      </c>
      <c r="P24" s="81">
        <f t="shared" si="0"/>
        <v>0</v>
      </c>
      <c r="Q24" s="81"/>
    </row>
    <row r="25" spans="1:17">
      <c r="A25" s="851">
        <f t="shared" si="1"/>
        <v>14</v>
      </c>
      <c r="B25" s="365">
        <v>9250</v>
      </c>
      <c r="C25" s="80" t="s">
        <v>948</v>
      </c>
      <c r="D25" s="96">
        <f>VLOOKUP($B25,'[13]Div 12 forecast'!$D$176:$AF$252,18,FALSE)</f>
        <v>0</v>
      </c>
      <c r="E25" s="96">
        <f>VLOOKUP($B25,'[13]Div 12 forecast'!$D$176:$AF$252,19,FALSE)</f>
        <v>0</v>
      </c>
      <c r="F25" s="96">
        <f>VLOOKUP($B25,'[13]Div 12 forecast'!$D$176:$AF$252,20,FALSE)</f>
        <v>0</v>
      </c>
      <c r="G25" s="96">
        <f>VLOOKUP($B25,'[13]Div 12 forecast'!$D$176:$AF$252,21,FALSE)</f>
        <v>0</v>
      </c>
      <c r="H25" s="96">
        <f>VLOOKUP($B25,'[13]Div 12 forecast'!$D$176:$AF$252,22,FALSE)</f>
        <v>0</v>
      </c>
      <c r="I25" s="96">
        <f>VLOOKUP($B25,'[13]Div 12 forecast'!$D$176:$AF$252,23,FALSE)</f>
        <v>0</v>
      </c>
      <c r="J25" s="96">
        <f>VLOOKUP($B25,'[13]Div 12 forecast'!$D$176:$AF$252,24,FALSE)</f>
        <v>0</v>
      </c>
      <c r="K25" s="96">
        <f>VLOOKUP($B25,'[13]Div 12 forecast'!$D$176:$AF$252,25,FALSE)</f>
        <v>0</v>
      </c>
      <c r="L25" s="96">
        <f>VLOOKUP($B25,'[13]Div 12 forecast'!$D$176:$AF$252,26,FALSE)</f>
        <v>0</v>
      </c>
      <c r="M25" s="96">
        <f>VLOOKUP($B25,'[13]Div 12 forecast'!$D$176:$AF$252,27,FALSE)</f>
        <v>0</v>
      </c>
      <c r="N25" s="96">
        <f>VLOOKUP($B25,'[13]Div 12 forecast'!$D$176:$AF$252,28,FALSE)</f>
        <v>0</v>
      </c>
      <c r="O25" s="96">
        <f>VLOOKUP($B25,'[13]Div 12 forecast'!$D$176:$AF$252,29,FALSE)</f>
        <v>0</v>
      </c>
      <c r="P25" s="81">
        <f t="shared" si="0"/>
        <v>0</v>
      </c>
      <c r="Q25" s="81"/>
    </row>
    <row r="26" spans="1:17">
      <c r="A26" s="851">
        <f t="shared" si="1"/>
        <v>15</v>
      </c>
      <c r="B26" s="707">
        <v>9260</v>
      </c>
      <c r="C26" s="81" t="s">
        <v>949</v>
      </c>
      <c r="D26" s="96">
        <f>VLOOKUP($B26,'[13]Div 12 forecast'!$D$176:$AF$252,18,FALSE)</f>
        <v>851524.25120907789</v>
      </c>
      <c r="E26" s="96">
        <f>VLOOKUP($B26,'[13]Div 12 forecast'!$D$176:$AF$252,19,FALSE)</f>
        <v>873733.33599157655</v>
      </c>
      <c r="F26" s="96">
        <f>VLOOKUP($B26,'[13]Div 12 forecast'!$D$176:$AF$252,20,FALSE)</f>
        <v>774708.68562159804</v>
      </c>
      <c r="G26" s="96">
        <f>VLOOKUP($B26,'[13]Div 12 forecast'!$D$176:$AF$252,21,FALSE)</f>
        <v>838167.78684310953</v>
      </c>
      <c r="H26" s="96">
        <f>VLOOKUP($B26,'[13]Div 12 forecast'!$D$176:$AF$252,22,FALSE)</f>
        <v>833621.20246421755</v>
      </c>
      <c r="I26" s="96">
        <f>VLOOKUP($B26,'[13]Div 12 forecast'!$D$176:$AF$252,23,FALSE)</f>
        <v>793774.6952963795</v>
      </c>
      <c r="J26" s="96">
        <f>VLOOKUP($B26,'[13]Div 12 forecast'!$D$176:$AF$252,24,FALSE)</f>
        <v>916792.85730306082</v>
      </c>
      <c r="K26" s="96">
        <f>VLOOKUP($B26,'[13]Div 12 forecast'!$D$176:$AF$252,25,FALSE)</f>
        <v>870803.71328959556</v>
      </c>
      <c r="L26" s="96">
        <f>VLOOKUP($B26,'[13]Div 12 forecast'!$D$176:$AF$252,26,FALSE)</f>
        <v>832984.50450984121</v>
      </c>
      <c r="M26" s="96">
        <f>VLOOKUP($B26,'[13]Div 12 forecast'!$D$176:$AF$252,27,FALSE)</f>
        <v>937873.15894522355</v>
      </c>
      <c r="N26" s="96">
        <f>VLOOKUP($B26,'[13]Div 12 forecast'!$D$176:$AF$252,28,FALSE)</f>
        <v>819581.19545809063</v>
      </c>
      <c r="O26" s="96">
        <f>VLOOKUP($B26,'[13]Div 12 forecast'!$D$176:$AF$252,29,FALSE)</f>
        <v>859712.56999440386</v>
      </c>
      <c r="P26" s="81">
        <f t="shared" si="0"/>
        <v>10203277.956926173</v>
      </c>
      <c r="Q26" s="81"/>
    </row>
    <row r="27" spans="1:17">
      <c r="A27" s="851">
        <f t="shared" si="1"/>
        <v>16</v>
      </c>
      <c r="B27" s="707">
        <v>9310</v>
      </c>
      <c r="C27" s="81" t="s">
        <v>184</v>
      </c>
      <c r="D27" s="96">
        <f>VLOOKUP($B27,'[13]Div 12 forecast'!$D$176:$AF$252,18,FALSE)</f>
        <v>131675.40025483278</v>
      </c>
      <c r="E27" s="96">
        <f>VLOOKUP($B27,'[13]Div 12 forecast'!$D$176:$AF$252,19,FALSE)</f>
        <v>131675.40025483278</v>
      </c>
      <c r="F27" s="96">
        <f>VLOOKUP($B27,'[13]Div 12 forecast'!$D$176:$AF$252,20,FALSE)</f>
        <v>132010.25789532339</v>
      </c>
      <c r="G27" s="96">
        <f>VLOOKUP($B27,'[13]Div 12 forecast'!$D$176:$AF$252,21,FALSE)</f>
        <v>131675.40025483278</v>
      </c>
      <c r="H27" s="96">
        <f>VLOOKUP($B27,'[13]Div 12 forecast'!$D$176:$AF$252,22,FALSE)</f>
        <v>131675.40025483278</v>
      </c>
      <c r="I27" s="96">
        <f>VLOOKUP($B27,'[13]Div 12 forecast'!$D$176:$AF$252,23,FALSE)</f>
        <v>132007.57903419944</v>
      </c>
      <c r="J27" s="96">
        <f>VLOOKUP($B27,'[13]Div 12 forecast'!$D$176:$AF$252,24,FALSE)</f>
        <v>131675.40025483278</v>
      </c>
      <c r="K27" s="96">
        <f>VLOOKUP($B27,'[13]Div 12 forecast'!$D$176:$AF$252,25,FALSE)</f>
        <v>131675.40025483278</v>
      </c>
      <c r="L27" s="96">
        <f>VLOOKUP($B27,'[13]Div 12 forecast'!$D$176:$AF$252,26,FALSE)</f>
        <v>132010.25789532339</v>
      </c>
      <c r="M27" s="96">
        <f>VLOOKUP($B27,'[13]Div 12 forecast'!$D$176:$AF$252,27,FALSE)</f>
        <v>131675.40025483278</v>
      </c>
      <c r="N27" s="96">
        <f>VLOOKUP($B27,'[13]Div 12 forecast'!$D$176:$AF$252,28,FALSE)</f>
        <v>131675.40025483278</v>
      </c>
      <c r="O27" s="96">
        <f>VLOOKUP($B27,'[13]Div 12 forecast'!$D$176:$AF$252,29,FALSE)</f>
        <v>132010.25789532339</v>
      </c>
      <c r="P27" s="81">
        <f t="shared" si="0"/>
        <v>1581441.5547588321</v>
      </c>
      <c r="Q27" s="671"/>
    </row>
    <row r="28" spans="1:17">
      <c r="A28" s="851">
        <f t="shared" si="1"/>
        <v>17</v>
      </c>
      <c r="B28" s="707">
        <v>9320</v>
      </c>
      <c r="C28" s="81" t="s">
        <v>185</v>
      </c>
      <c r="D28" s="96">
        <f>VLOOKUP($B28,'[13]Div 12 forecast'!$D$176:$AF$252,18,FALSE)</f>
        <v>3.9636432819734515</v>
      </c>
      <c r="E28" s="96">
        <f>VLOOKUP($B28,'[13]Div 12 forecast'!$D$176:$AF$252,19,FALSE)</f>
        <v>3.9636432819734515</v>
      </c>
      <c r="F28" s="96">
        <f>VLOOKUP($B28,'[13]Div 12 forecast'!$D$176:$AF$252,20,FALSE)</f>
        <v>76.596661378407248</v>
      </c>
      <c r="G28" s="96">
        <f>VLOOKUP($B28,'[13]Div 12 forecast'!$D$176:$AF$252,21,FALSE)</f>
        <v>3.9636432819734515</v>
      </c>
      <c r="H28" s="96">
        <f>VLOOKUP($B28,'[13]Div 12 forecast'!$D$176:$AF$252,22,FALSE)</f>
        <v>3.9636432819734515</v>
      </c>
      <c r="I28" s="96">
        <f>VLOOKUP($B28,'[13]Div 12 forecast'!$D$176:$AF$252,23,FALSE)</f>
        <v>7.8458282308336642</v>
      </c>
      <c r="J28" s="96">
        <f>VLOOKUP($B28,'[13]Div 12 forecast'!$D$176:$AF$252,24,FALSE)</f>
        <v>3.9636432819734515</v>
      </c>
      <c r="K28" s="96">
        <f>VLOOKUP($B28,'[13]Div 12 forecast'!$D$176:$AF$252,25,FALSE)</f>
        <v>3.9636432819734515</v>
      </c>
      <c r="L28" s="96">
        <f>VLOOKUP($B28,'[13]Div 12 forecast'!$D$176:$AF$252,26,FALSE)</f>
        <v>9.0458485527945491</v>
      </c>
      <c r="M28" s="96">
        <f>VLOOKUP($B28,'[13]Div 12 forecast'!$D$176:$AF$252,27,FALSE)</f>
        <v>5.155716449484264</v>
      </c>
      <c r="N28" s="96">
        <f>VLOOKUP($B28,'[13]Div 12 forecast'!$D$176:$AF$252,28,FALSE)</f>
        <v>3.9636432819734515</v>
      </c>
      <c r="O28" s="96">
        <f>VLOOKUP($B28,'[13]Div 12 forecast'!$D$176:$AF$252,29,FALSE)</f>
        <v>9.0458485527945491</v>
      </c>
      <c r="P28" s="81">
        <f t="shared" si="0"/>
        <v>135.4354061381284</v>
      </c>
      <c r="Q28" s="81"/>
    </row>
    <row r="29" spans="1:17">
      <c r="A29" s="851">
        <f t="shared" si="1"/>
        <v>18</v>
      </c>
      <c r="B29" s="81"/>
      <c r="C29" s="875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81"/>
      <c r="Q29" s="81"/>
    </row>
    <row r="30" spans="1:17" ht="15.75" thickBot="1">
      <c r="A30" s="851">
        <f t="shared" si="1"/>
        <v>19</v>
      </c>
      <c r="B30" s="81" t="s">
        <v>734</v>
      </c>
      <c r="C30" s="875"/>
      <c r="D30" s="899">
        <f t="shared" ref="D30:P30" si="3">SUM(D12:D29)</f>
        <v>1.0735368149994429E-10</v>
      </c>
      <c r="E30" s="899">
        <f t="shared" si="3"/>
        <v>-1.2547696215392534E-10</v>
      </c>
      <c r="F30" s="899">
        <f t="shared" si="3"/>
        <v>-4.7634785005357116E-11</v>
      </c>
      <c r="G30" s="899">
        <f t="shared" si="3"/>
        <v>1.0735368149994429E-10</v>
      </c>
      <c r="H30" s="899">
        <f t="shared" si="3"/>
        <v>2.237690033268791E-10</v>
      </c>
      <c r="I30" s="899">
        <f t="shared" si="3"/>
        <v>-1.538715821425285E-10</v>
      </c>
      <c r="J30" s="899">
        <f t="shared" si="3"/>
        <v>2.237690033268791E-10</v>
      </c>
      <c r="K30" s="899">
        <f t="shared" si="3"/>
        <v>2.237690033268791E-10</v>
      </c>
      <c r="L30" s="899">
        <f t="shared" si="3"/>
        <v>-9.9763752814396867E-11</v>
      </c>
      <c r="M30" s="899">
        <f t="shared" si="3"/>
        <v>-2.6562485544445735E-10</v>
      </c>
      <c r="N30" s="899">
        <f t="shared" si="3"/>
        <v>-1.2547696215392534E-10</v>
      </c>
      <c r="O30" s="899">
        <f t="shared" si="3"/>
        <v>-9.9763752814396867E-11</v>
      </c>
      <c r="P30" s="899">
        <f t="shared" si="3"/>
        <v>-7.5922912401438225E-10</v>
      </c>
      <c r="Q30" s="900"/>
    </row>
    <row r="31" spans="1:17" ht="15.75" thickTop="1">
      <c r="A31" s="851">
        <f t="shared" si="1"/>
        <v>20</v>
      </c>
      <c r="B31" s="81"/>
      <c r="C31" s="875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51">
        <f t="shared" si="1"/>
        <v>21</v>
      </c>
      <c r="B32" s="707">
        <f t="shared" ref="B32:O32" si="4">B22</f>
        <v>9220</v>
      </c>
      <c r="C32" s="81" t="str">
        <f t="shared" si="4"/>
        <v>A&amp;G-Administrative expense transferred-Credit</v>
      </c>
      <c r="D32" s="81">
        <f t="shared" si="4"/>
        <v>-4068862.3712999998</v>
      </c>
      <c r="E32" s="81">
        <f t="shared" si="4"/>
        <v>-4142197.1992999995</v>
      </c>
      <c r="F32" s="81">
        <f t="shared" si="4"/>
        <v>-3661549.6502999999</v>
      </c>
      <c r="G32" s="81">
        <f t="shared" si="4"/>
        <v>-4151580.2652999996</v>
      </c>
      <c r="H32" s="81">
        <f t="shared" si="4"/>
        <v>-3862146.4332999988</v>
      </c>
      <c r="I32" s="81">
        <f t="shared" si="4"/>
        <v>-3852219.4766999995</v>
      </c>
      <c r="J32" s="81">
        <f t="shared" si="4"/>
        <v>-4175633.4619124774</v>
      </c>
      <c r="K32" s="81">
        <f t="shared" si="4"/>
        <v>-3999217.2294098809</v>
      </c>
      <c r="L32" s="81">
        <f t="shared" si="4"/>
        <v>-3831816.5589072844</v>
      </c>
      <c r="M32" s="81">
        <f t="shared" si="4"/>
        <v>-4264249.5678520519</v>
      </c>
      <c r="N32" s="81">
        <f t="shared" si="4"/>
        <v>-3741712.5513172923</v>
      </c>
      <c r="O32" s="81">
        <f t="shared" si="4"/>
        <v>-3928702.5008468572</v>
      </c>
      <c r="P32" s="81">
        <f>SUM(D32:O32)</f>
        <v>-47679887.266445838</v>
      </c>
      <c r="Q32" s="81"/>
    </row>
    <row r="33" spans="1:17">
      <c r="A33" s="851">
        <f t="shared" si="1"/>
        <v>22</v>
      </c>
      <c r="B33" s="81"/>
      <c r="C33" s="81" t="s">
        <v>195</v>
      </c>
      <c r="D33" s="906">
        <f>Allocation!$E$15</f>
        <v>5.6412179785543033E-2</v>
      </c>
      <c r="E33" s="906">
        <f>D33</f>
        <v>5.6412179785543033E-2</v>
      </c>
      <c r="F33" s="906">
        <f t="shared" ref="F33:O33" si="5">E33</f>
        <v>5.6412179785543033E-2</v>
      </c>
      <c r="G33" s="906">
        <f t="shared" si="5"/>
        <v>5.6412179785543033E-2</v>
      </c>
      <c r="H33" s="906">
        <f t="shared" si="5"/>
        <v>5.6412179785543033E-2</v>
      </c>
      <c r="I33" s="906">
        <f t="shared" si="5"/>
        <v>5.6412179785543033E-2</v>
      </c>
      <c r="J33" s="906">
        <f t="shared" si="5"/>
        <v>5.6412179785543033E-2</v>
      </c>
      <c r="K33" s="906">
        <f t="shared" si="5"/>
        <v>5.6412179785543033E-2</v>
      </c>
      <c r="L33" s="906">
        <f t="shared" si="5"/>
        <v>5.6412179785543033E-2</v>
      </c>
      <c r="M33" s="906">
        <f t="shared" si="5"/>
        <v>5.6412179785543033E-2</v>
      </c>
      <c r="N33" s="906">
        <f t="shared" si="5"/>
        <v>5.6412179785543033E-2</v>
      </c>
      <c r="O33" s="906">
        <f t="shared" si="5"/>
        <v>5.6412179785543033E-2</v>
      </c>
      <c r="P33" s="74"/>
      <c r="Q33" s="908"/>
    </row>
    <row r="34" spans="1:17">
      <c r="A34" s="851">
        <f t="shared" si="1"/>
        <v>23</v>
      </c>
      <c r="B34" s="81"/>
      <c r="C34" s="81" t="s">
        <v>210</v>
      </c>
      <c r="D34" s="81">
        <f>D32*D33</f>
        <v>-229533.39561240654</v>
      </c>
      <c r="E34" s="81">
        <f t="shared" ref="E34:O34" si="6">E32*E33</f>
        <v>-233670.37311408439</v>
      </c>
      <c r="F34" s="81">
        <f t="shared" si="6"/>
        <v>-206555.99716641582</v>
      </c>
      <c r="G34" s="81">
        <f t="shared" si="6"/>
        <v>-234199.69232021601</v>
      </c>
      <c r="H34" s="81">
        <f t="shared" si="6"/>
        <v>-217872.09895341331</v>
      </c>
      <c r="I34" s="81">
        <f t="shared" si="6"/>
        <v>-217312.09769297088</v>
      </c>
      <c r="J34" s="81">
        <f t="shared" si="6"/>
        <v>-235556.58557193613</v>
      </c>
      <c r="K34" s="81">
        <f t="shared" si="6"/>
        <v>-225604.56134691151</v>
      </c>
      <c r="L34" s="81">
        <f t="shared" si="6"/>
        <v>-216161.12462629858</v>
      </c>
      <c r="M34" s="81">
        <f t="shared" si="6"/>
        <v>-240555.61327209414</v>
      </c>
      <c r="N34" s="81">
        <f t="shared" si="6"/>
        <v>-211078.161150734</v>
      </c>
      <c r="O34" s="81">
        <f t="shared" si="6"/>
        <v>-221626.67180168544</v>
      </c>
      <c r="P34" s="81">
        <f>SUM(D34:O34)</f>
        <v>-2689726.3726291666</v>
      </c>
      <c r="Q34" s="825"/>
    </row>
    <row r="35" spans="1:17">
      <c r="A35" s="81"/>
      <c r="B35" s="81"/>
      <c r="C35" s="875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4"/>
      <c r="P35" s="881"/>
      <c r="Q35" s="81"/>
    </row>
    <row r="36" spans="1:17">
      <c r="A36" s="81"/>
      <c r="B36" s="81" t="s">
        <v>562</v>
      </c>
      <c r="C36" s="875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4"/>
      <c r="P36" s="74"/>
      <c r="Q36" s="81"/>
    </row>
    <row r="37" spans="1:17">
      <c r="A37" s="81"/>
      <c r="B37" s="81"/>
      <c r="C37" s="875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74"/>
    </row>
    <row r="38" spans="1:17">
      <c r="A38" s="81"/>
      <c r="B38" s="81"/>
      <c r="C38" s="8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>
      <c r="A39" s="81"/>
      <c r="B39" s="81"/>
      <c r="C39" s="17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4"/>
      <c r="Q39" s="81"/>
    </row>
    <row r="40" spans="1:17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>
      <c r="A41" s="81"/>
      <c r="B41" s="81" t="s">
        <v>953</v>
      </c>
      <c r="C41" s="81"/>
      <c r="D41" s="81">
        <f>D22</f>
        <v>-4068862.3712999998</v>
      </c>
      <c r="E41" s="81">
        <f t="shared" ref="E41:O41" si="7">E22</f>
        <v>-4142197.1992999995</v>
      </c>
      <c r="F41" s="81">
        <f t="shared" si="7"/>
        <v>-3661549.6502999999</v>
      </c>
      <c r="G41" s="81">
        <f t="shared" si="7"/>
        <v>-4151580.2652999996</v>
      </c>
      <c r="H41" s="81">
        <f t="shared" si="7"/>
        <v>-3862146.4332999988</v>
      </c>
      <c r="I41" s="81">
        <f t="shared" si="7"/>
        <v>-3852219.4766999995</v>
      </c>
      <c r="J41" s="81">
        <f t="shared" si="7"/>
        <v>-4175633.4619124774</v>
      </c>
      <c r="K41" s="81">
        <f t="shared" si="7"/>
        <v>-3999217.2294098809</v>
      </c>
      <c r="L41" s="81">
        <f t="shared" si="7"/>
        <v>-3831816.5589072844</v>
      </c>
      <c r="M41" s="81">
        <f t="shared" si="7"/>
        <v>-4264249.5678520519</v>
      </c>
      <c r="N41" s="81">
        <f t="shared" si="7"/>
        <v>-3741712.5513172923</v>
      </c>
      <c r="O41" s="81">
        <f t="shared" si="7"/>
        <v>-3928702.5008468572</v>
      </c>
      <c r="P41" s="74"/>
      <c r="Q41" s="81"/>
    </row>
    <row r="42" spans="1:17">
      <c r="A42" s="81"/>
      <c r="B42" s="81" t="s">
        <v>1624</v>
      </c>
      <c r="C42" s="81"/>
      <c r="D42" s="81">
        <f>'[13]Div 12 forecast'!U171</f>
        <v>4068862.3713000002</v>
      </c>
      <c r="E42" s="81">
        <f>'[13]Div 12 forecast'!V171</f>
        <v>4142197.1993</v>
      </c>
      <c r="F42" s="81">
        <f>'[13]Div 12 forecast'!W171</f>
        <v>3661549.6502999999</v>
      </c>
      <c r="G42" s="81">
        <f>'[13]Div 12 forecast'!X171</f>
        <v>4151580.2653000001</v>
      </c>
      <c r="H42" s="81">
        <f>'[13]Div 12 forecast'!Y171</f>
        <v>3862146.4332999997</v>
      </c>
      <c r="I42" s="81">
        <f>'[13]Div 12 forecast'!Z171</f>
        <v>3852219.4767000005</v>
      </c>
      <c r="J42" s="81">
        <f>'[13]Div 12 forecast'!AA171</f>
        <v>4175633.4619124783</v>
      </c>
      <c r="K42" s="81">
        <f>'[13]Div 12 forecast'!AB171</f>
        <v>3999217.2294098814</v>
      </c>
      <c r="L42" s="81">
        <f>'[13]Div 12 forecast'!AC171</f>
        <v>3831816.5589072849</v>
      </c>
      <c r="M42" s="81">
        <f>'[13]Div 12 forecast'!AD171</f>
        <v>4264249.5678520519</v>
      </c>
      <c r="N42" s="81">
        <f>'[13]Div 12 forecast'!AE171</f>
        <v>3741712.5513172923</v>
      </c>
      <c r="O42" s="81">
        <f>'[13]Div 12 forecast'!AF171</f>
        <v>3928702.5008468581</v>
      </c>
      <c r="P42" s="81"/>
      <c r="Q42" s="81"/>
    </row>
    <row r="43" spans="1:17">
      <c r="A43" s="81"/>
      <c r="B43" s="81"/>
      <c r="C43" s="81"/>
      <c r="D43" s="81">
        <f>D41+D42</f>
        <v>0</v>
      </c>
      <c r="E43" s="81">
        <f t="shared" ref="E43:O43" si="8">E41+E42</f>
        <v>0</v>
      </c>
      <c r="F43" s="81">
        <f t="shared" si="8"/>
        <v>0</v>
      </c>
      <c r="G43" s="81">
        <f t="shared" si="8"/>
        <v>0</v>
      </c>
      <c r="H43" s="81">
        <f t="shared" si="8"/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74"/>
      <c r="Q43" s="81"/>
    </row>
    <row r="44" spans="1:17">
      <c r="A44" s="81"/>
    </row>
    <row r="45" spans="1:17">
      <c r="A45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6"/>
  <sheetViews>
    <sheetView view="pageBreakPreview" zoomScale="60" zoomScaleNormal="75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0" style="80" customWidth="1"/>
    <col min="15" max="15" width="10.77734375" style="80" customWidth="1"/>
    <col min="16" max="16" width="12.44140625" style="80" customWidth="1"/>
    <col min="17" max="17" width="12.5546875" style="80" customWidth="1"/>
    <col min="18" max="18" width="7.109375" style="80"/>
    <col min="19" max="19" width="8.109375" style="80" customWidth="1"/>
    <col min="20" max="20" width="8.77734375" style="80" customWidth="1"/>
    <col min="21" max="16384" width="7.109375" style="80"/>
  </cols>
  <sheetData>
    <row r="1" spans="1:18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81"/>
    </row>
    <row r="2" spans="1:18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81"/>
    </row>
    <row r="3" spans="1:18" ht="15.75">
      <c r="A3" s="1210" t="s">
        <v>190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81"/>
    </row>
    <row r="4" spans="1:18">
      <c r="A4" s="1210" t="str">
        <f>'Table of Contents'!A4:C4</f>
        <v>Forecasted Test Period: Twelve Months Ended March 31, 2020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81"/>
    </row>
    <row r="5" spans="1:18">
      <c r="A5" s="81"/>
      <c r="B5" s="150"/>
      <c r="C5" s="150"/>
      <c r="D5" s="150"/>
      <c r="E5" s="150"/>
      <c r="F5" s="150"/>
      <c r="G5" s="870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>
      <c r="A6" s="88" t="str">
        <f>'C.2.1 F'!A6</f>
        <v>Data:________Base Period___X____Forecasted Period</v>
      </c>
      <c r="B6" s="81"/>
      <c r="C6" s="8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</row>
    <row r="7" spans="1:18" ht="15.75">
      <c r="A7" s="88" t="str">
        <f>'C.2.1 F'!A7</f>
        <v>Type of Filing:___X____Original________Updated ________Revised</v>
      </c>
      <c r="B7" s="81"/>
      <c r="C7" s="88"/>
      <c r="D7" s="81"/>
      <c r="E7" s="81"/>
      <c r="F7" s="902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</row>
    <row r="8" spans="1:18">
      <c r="A8" s="391" t="str">
        <f>'C.2.1 F'!A8</f>
        <v>Workpaper Reference No(s).____________________</v>
      </c>
      <c r="B8" s="82"/>
      <c r="C8" s="433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0" t="str">
        <f>'C.1'!J9</f>
        <v>Witness: Waller, Densman</v>
      </c>
      <c r="Q8" s="81"/>
    </row>
    <row r="9" spans="1:18">
      <c r="A9" s="392" t="s">
        <v>93</v>
      </c>
      <c r="B9" s="827" t="s">
        <v>100</v>
      </c>
      <c r="C9" s="903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904"/>
      <c r="Q9" s="81"/>
    </row>
    <row r="10" spans="1:18">
      <c r="A10" s="393" t="s">
        <v>99</v>
      </c>
      <c r="B10" s="82" t="s">
        <v>99</v>
      </c>
      <c r="C10" s="905" t="s">
        <v>952</v>
      </c>
      <c r="D10" s="613">
        <f>'C.2.2-F 09'!D10</f>
        <v>43556</v>
      </c>
      <c r="E10" s="613">
        <f>'C.2.2-F 09'!F10</f>
        <v>43617</v>
      </c>
      <c r="F10" s="613">
        <f>'C.2.2-F 09'!F10</f>
        <v>43617</v>
      </c>
      <c r="G10" s="613">
        <f>'C.2.2-F 09'!G10</f>
        <v>43647</v>
      </c>
      <c r="H10" s="613">
        <f>'C.2.2-F 09'!H10</f>
        <v>43678</v>
      </c>
      <c r="I10" s="613">
        <f>'C.2.2-F 09'!I10</f>
        <v>43709</v>
      </c>
      <c r="J10" s="613">
        <f>'C.2.2-F 09'!J10</f>
        <v>43739</v>
      </c>
      <c r="K10" s="613">
        <f>'C.2.2-F 09'!K10</f>
        <v>43770</v>
      </c>
      <c r="L10" s="613">
        <f>'C.2.2-F 09'!L10</f>
        <v>43800</v>
      </c>
      <c r="M10" s="613">
        <f>'C.2.2-F 09'!M10</f>
        <v>43831</v>
      </c>
      <c r="N10" s="613">
        <f>'C.2.2-F 09'!N10</f>
        <v>43862</v>
      </c>
      <c r="O10" s="613">
        <f>'C.2.2-F 09'!O10</f>
        <v>43891</v>
      </c>
      <c r="P10" s="363" t="str">
        <f>'C.2.2 B 09'!P10</f>
        <v>Total</v>
      </c>
      <c r="Q10" s="76"/>
    </row>
    <row r="11" spans="1:18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49"/>
    </row>
    <row r="12" spans="1:18">
      <c r="A12" s="851">
        <v>1</v>
      </c>
      <c r="B12" s="707">
        <v>4030</v>
      </c>
      <c r="C12" s="81" t="s">
        <v>91</v>
      </c>
      <c r="D12" s="398">
        <v>0</v>
      </c>
      <c r="E12" s="398">
        <v>0</v>
      </c>
      <c r="F12" s="398">
        <v>0</v>
      </c>
      <c r="G12" s="398">
        <v>0</v>
      </c>
      <c r="H12" s="398">
        <v>0</v>
      </c>
      <c r="I12" s="398">
        <v>0</v>
      </c>
      <c r="J12" s="398">
        <v>0</v>
      </c>
      <c r="K12" s="398">
        <v>0</v>
      </c>
      <c r="L12" s="398">
        <v>0</v>
      </c>
      <c r="M12" s="398">
        <v>0</v>
      </c>
      <c r="N12" s="398">
        <v>0</v>
      </c>
      <c r="O12" s="398">
        <v>0</v>
      </c>
      <c r="P12" s="430">
        <f t="shared" ref="P12:P49" si="0">SUM(D12:O12)</f>
        <v>0</v>
      </c>
      <c r="Q12" s="81"/>
    </row>
    <row r="13" spans="1:18">
      <c r="A13" s="851">
        <f>A12+1</f>
        <v>2</v>
      </c>
      <c r="B13" s="830">
        <v>4060</v>
      </c>
      <c r="C13" s="195" t="s">
        <v>861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430"/>
      <c r="Q13" s="81"/>
    </row>
    <row r="14" spans="1:18">
      <c r="A14" s="851">
        <f t="shared" ref="A14:A55" si="1">A13+1</f>
        <v>3</v>
      </c>
      <c r="B14" s="707">
        <v>4081</v>
      </c>
      <c r="C14" s="81" t="s">
        <v>862</v>
      </c>
      <c r="D14" s="398">
        <v>0</v>
      </c>
      <c r="E14" s="398">
        <v>0</v>
      </c>
      <c r="F14" s="398">
        <v>0</v>
      </c>
      <c r="G14" s="398">
        <v>0</v>
      </c>
      <c r="H14" s="398">
        <v>0</v>
      </c>
      <c r="I14" s="398">
        <v>0</v>
      </c>
      <c r="J14" s="398">
        <v>0</v>
      </c>
      <c r="K14" s="398">
        <v>0</v>
      </c>
      <c r="L14" s="398">
        <v>0</v>
      </c>
      <c r="M14" s="398">
        <v>0</v>
      </c>
      <c r="N14" s="398">
        <v>0</v>
      </c>
      <c r="O14" s="398">
        <v>0</v>
      </c>
      <c r="P14" s="430">
        <f t="shared" si="0"/>
        <v>0</v>
      </c>
      <c r="Q14" s="81"/>
    </row>
    <row r="15" spans="1:18">
      <c r="A15" s="851">
        <f t="shared" si="1"/>
        <v>4</v>
      </c>
      <c r="B15" s="707">
        <v>8170</v>
      </c>
      <c r="C15" s="81" t="s">
        <v>887</v>
      </c>
      <c r="D15" s="96">
        <f>VLOOKUP($B15,'[13]Div 91 forecast'!$D$309:$AF$388,18,FALSE)</f>
        <v>42.114632652928258</v>
      </c>
      <c r="E15" s="96">
        <f>VLOOKUP($B15,'[13]Div 91 forecast'!$D$309:$AF$388,19,FALSE)</f>
        <v>39.670524382604306</v>
      </c>
      <c r="F15" s="96">
        <f>VLOOKUP($B15,'[13]Div 91 forecast'!$D$309:$AF$388,20,FALSE)</f>
        <v>39.49043910003715</v>
      </c>
      <c r="G15" s="96">
        <f>VLOOKUP($B15,'[13]Div 91 forecast'!$D$309:$AF$388,21,FALSE)</f>
        <v>52.033018204225797</v>
      </c>
      <c r="H15" s="96">
        <f>VLOOKUP($B15,'[13]Div 91 forecast'!$D$309:$AF$388,22,FALSE)</f>
        <v>40.985163346554224</v>
      </c>
      <c r="I15" s="96">
        <f>VLOOKUP($B15,'[13]Div 91 forecast'!$D$309:$AF$388,23,FALSE)</f>
        <v>39.782462638844819</v>
      </c>
      <c r="J15" s="96">
        <f>VLOOKUP($B15,'[13]Div 91 forecast'!$D$309:$AF$388,24,FALSE)</f>
        <v>40.358965159995584</v>
      </c>
      <c r="K15" s="96">
        <f>VLOOKUP($B15,'[13]Div 91 forecast'!$D$309:$AF$388,25,FALSE)</f>
        <v>40.202989655695617</v>
      </c>
      <c r="L15" s="96">
        <f>VLOOKUP($B15,'[13]Div 91 forecast'!$D$309:$AF$388,26,FALSE)</f>
        <v>40.754726350190971</v>
      </c>
      <c r="M15" s="96">
        <f>VLOOKUP($B15,'[13]Div 91 forecast'!$D$309:$AF$388,27,FALSE)</f>
        <v>43.007104479056821</v>
      </c>
      <c r="N15" s="96">
        <f>VLOOKUP($B15,'[13]Div 91 forecast'!$D$309:$AF$388,28,FALSE)</f>
        <v>43.722771264559341</v>
      </c>
      <c r="O15" s="96">
        <f>VLOOKUP($B15,'[13]Div 91 forecast'!$D$309:$AF$388,29,FALSE)</f>
        <v>43.408770104746218</v>
      </c>
      <c r="P15" s="81">
        <f t="shared" si="0"/>
        <v>505.53156733943911</v>
      </c>
      <c r="Q15" s="81"/>
      <c r="R15" s="707"/>
    </row>
    <row r="16" spans="1:18">
      <c r="A16" s="851">
        <f t="shared" si="1"/>
        <v>5</v>
      </c>
      <c r="B16" s="707">
        <v>8180</v>
      </c>
      <c r="C16" s="81" t="s">
        <v>888</v>
      </c>
      <c r="D16" s="96">
        <f>VLOOKUP($B16,'[13]Div 91 forecast'!$D$309:$AF$388,18,FALSE)</f>
        <v>42.661182747516079</v>
      </c>
      <c r="E16" s="96">
        <f>VLOOKUP($B16,'[13]Div 91 forecast'!$D$309:$AF$388,19,FALSE)</f>
        <v>40.185355629794429</v>
      </c>
      <c r="F16" s="96">
        <f>VLOOKUP($B16,'[13]Div 91 forecast'!$D$309:$AF$388,20,FALSE)</f>
        <v>40.002933258618839</v>
      </c>
      <c r="G16" s="96">
        <f>VLOOKUP($B16,'[13]Div 91 forecast'!$D$309:$AF$388,21,FALSE)</f>
        <v>52.708285901692761</v>
      </c>
      <c r="H16" s="96">
        <f>VLOOKUP($B16,'[13]Div 91 forecast'!$D$309:$AF$388,22,FALSE)</f>
        <v>41.517055553435398</v>
      </c>
      <c r="I16" s="96">
        <f>VLOOKUP($B16,'[13]Div 91 forecast'!$D$309:$AF$388,23,FALSE)</f>
        <v>40.298746584555204</v>
      </c>
      <c r="J16" s="96">
        <f>VLOOKUP($B16,'[13]Div 91 forecast'!$D$309:$AF$388,24,FALSE)</f>
        <v>40.882730769147315</v>
      </c>
      <c r="K16" s="96">
        <f>VLOOKUP($B16,'[13]Div 91 forecast'!$D$309:$AF$388,25,FALSE)</f>
        <v>40.724731065150962</v>
      </c>
      <c r="L16" s="96">
        <f>VLOOKUP($B16,'[13]Div 91 forecast'!$D$309:$AF$388,26,FALSE)</f>
        <v>41.283628020191628</v>
      </c>
      <c r="M16" s="96">
        <f>VLOOKUP($B16,'[13]Div 91 forecast'!$D$309:$AF$388,27,FALSE)</f>
        <v>43.565236784630713</v>
      </c>
      <c r="N16" s="96">
        <f>VLOOKUP($B16,'[13]Div 91 forecast'!$D$309:$AF$388,28,FALSE)</f>
        <v>44.290191262430938</v>
      </c>
      <c r="O16" s="96">
        <f>VLOOKUP($B16,'[13]Div 91 forecast'!$D$309:$AF$388,29,FALSE)</f>
        <v>43.972115097025039</v>
      </c>
      <c r="P16" s="81">
        <f t="shared" si="0"/>
        <v>512.09219267418928</v>
      </c>
      <c r="Q16" s="81"/>
      <c r="R16" s="707"/>
    </row>
    <row r="17" spans="1:18">
      <c r="A17" s="851">
        <f t="shared" si="1"/>
        <v>6</v>
      </c>
      <c r="B17" s="707">
        <v>8190</v>
      </c>
      <c r="C17" s="81" t="s">
        <v>889</v>
      </c>
      <c r="D17" s="96">
        <f>VLOOKUP($B17,'[13]Div 91 forecast'!$D$309:$AF$388,18,FALSE)</f>
        <v>250.98122113242815</v>
      </c>
      <c r="E17" s="96">
        <f>VLOOKUP($B17,'[13]Div 91 forecast'!$D$309:$AF$388,19,FALSE)</f>
        <v>236.41561199317519</v>
      </c>
      <c r="F17" s="96">
        <f>VLOOKUP($B17,'[13]Div 91 forecast'!$D$309:$AF$388,20,FALSE)</f>
        <v>235.34239773771284</v>
      </c>
      <c r="G17" s="96">
        <f>VLOOKUP($B17,'[13]Div 91 forecast'!$D$309:$AF$388,21,FALSE)</f>
        <v>310.08962029244793</v>
      </c>
      <c r="H17" s="96">
        <f>VLOOKUP($B17,'[13]Div 91 forecast'!$D$309:$AF$388,22,FALSE)</f>
        <v>244.25017380069647</v>
      </c>
      <c r="I17" s="96">
        <f>VLOOKUP($B17,'[13]Div 91 forecast'!$D$309:$AF$388,23,FALSE)</f>
        <v>237.08270555360602</v>
      </c>
      <c r="J17" s="96">
        <f>VLOOKUP($B17,'[13]Div 91 forecast'!$D$309:$AF$388,24,FALSE)</f>
        <v>240.51835956813255</v>
      </c>
      <c r="K17" s="96">
        <f>VLOOKUP($B17,'[13]Div 91 forecast'!$D$309:$AF$388,25,FALSE)</f>
        <v>239.58882700260912</v>
      </c>
      <c r="L17" s="96">
        <f>VLOOKUP($B17,'[13]Div 91 forecast'!$D$309:$AF$388,26,FALSE)</f>
        <v>242.87688962134803</v>
      </c>
      <c r="M17" s="96">
        <f>VLOOKUP($B17,'[13]Div 91 forecast'!$D$309:$AF$388,27,FALSE)</f>
        <v>256.29988722632464</v>
      </c>
      <c r="N17" s="96">
        <f>VLOOKUP($B17,'[13]Div 91 forecast'!$D$309:$AF$388,28,FALSE)</f>
        <v>260.56488759400213</v>
      </c>
      <c r="O17" s="96">
        <f>VLOOKUP($B17,'[13]Div 91 forecast'!$D$309:$AF$388,29,FALSE)</f>
        <v>258.69360463217822</v>
      </c>
      <c r="P17" s="81">
        <f t="shared" si="0"/>
        <v>3012.7041861546613</v>
      </c>
      <c r="Q17" s="81"/>
      <c r="R17" s="707"/>
    </row>
    <row r="18" spans="1:18">
      <c r="A18" s="851">
        <f t="shared" si="1"/>
        <v>7</v>
      </c>
      <c r="B18" s="707">
        <v>8210</v>
      </c>
      <c r="C18" s="81" t="s">
        <v>891</v>
      </c>
      <c r="D18" s="96">
        <f>VLOOKUP($B18,'[13]Div 91 forecast'!$D$309:$AF$388,18,FALSE)</f>
        <v>273.51087648921032</v>
      </c>
      <c r="E18" s="96">
        <f>VLOOKUP($B18,'[13]Div 91 forecast'!$D$309:$AF$388,19,FALSE)</f>
        <v>257.63776652384649</v>
      </c>
      <c r="F18" s="96">
        <f>VLOOKUP($B18,'[13]Div 91 forecast'!$D$309:$AF$388,20,FALSE)</f>
        <v>256.46821379656359</v>
      </c>
      <c r="G18" s="96">
        <f>VLOOKUP($B18,'[13]Div 91 forecast'!$D$309:$AF$388,21,FALSE)</f>
        <v>337.9252178856961</v>
      </c>
      <c r="H18" s="96">
        <f>VLOOKUP($B18,'[13]Div 91 forecast'!$D$309:$AF$388,22,FALSE)</f>
        <v>266.17560794965334</v>
      </c>
      <c r="I18" s="96">
        <f>VLOOKUP($B18,'[13]Div 91 forecast'!$D$309:$AF$388,23,FALSE)</f>
        <v>258.36474260432971</v>
      </c>
      <c r="J18" s="96">
        <f>VLOOKUP($B18,'[13]Div 91 forecast'!$D$309:$AF$388,24,FALSE)</f>
        <v>262.10880256462053</v>
      </c>
      <c r="K18" s="96">
        <f>VLOOKUP($B18,'[13]Div 91 forecast'!$D$309:$AF$388,25,FALSE)</f>
        <v>261.09582930082632</v>
      </c>
      <c r="L18" s="96">
        <f>VLOOKUP($B18,'[13]Div 91 forecast'!$D$309:$AF$388,26,FALSE)</f>
        <v>264.67904913195531</v>
      </c>
      <c r="M18" s="96">
        <f>VLOOKUP($B18,'[13]Div 91 forecast'!$D$309:$AF$388,27,FALSE)</f>
        <v>279.30697955433766</v>
      </c>
      <c r="N18" s="96">
        <f>VLOOKUP($B18,'[13]Div 91 forecast'!$D$309:$AF$388,28,FALSE)</f>
        <v>283.95483322054787</v>
      </c>
      <c r="O18" s="96">
        <f>VLOOKUP($B18,'[13]Div 91 forecast'!$D$309:$AF$388,29,FALSE)</f>
        <v>281.9155721127309</v>
      </c>
      <c r="P18" s="81">
        <f t="shared" si="0"/>
        <v>3283.1434911343176</v>
      </c>
      <c r="Q18" s="81"/>
      <c r="R18" s="707"/>
    </row>
    <row r="19" spans="1:18">
      <c r="A19" s="851">
        <f t="shared" si="1"/>
        <v>8</v>
      </c>
      <c r="B19" s="707">
        <v>8240</v>
      </c>
      <c r="C19" s="81" t="s">
        <v>892</v>
      </c>
      <c r="D19" s="96">
        <f>VLOOKUP($B19,'[13]Div 91 forecast'!$D$309:$AF$388,18,FALSE)</f>
        <v>0</v>
      </c>
      <c r="E19" s="96">
        <f>VLOOKUP($B19,'[13]Div 91 forecast'!$D$309:$AF$388,19,FALSE)</f>
        <v>0</v>
      </c>
      <c r="F19" s="96">
        <f>VLOOKUP($B19,'[13]Div 91 forecast'!$D$309:$AF$388,20,FALSE)</f>
        <v>0</v>
      </c>
      <c r="G19" s="96">
        <f>VLOOKUP($B19,'[13]Div 91 forecast'!$D$309:$AF$388,21,FALSE)</f>
        <v>0</v>
      </c>
      <c r="H19" s="96">
        <f>VLOOKUP($B19,'[13]Div 91 forecast'!$D$309:$AF$388,22,FALSE)</f>
        <v>0</v>
      </c>
      <c r="I19" s="96">
        <f>VLOOKUP($B19,'[13]Div 91 forecast'!$D$309:$AF$388,23,FALSE)</f>
        <v>0</v>
      </c>
      <c r="J19" s="96">
        <f>VLOOKUP($B19,'[13]Div 91 forecast'!$D$309:$AF$388,24,FALSE)</f>
        <v>0</v>
      </c>
      <c r="K19" s="96">
        <f>VLOOKUP($B19,'[13]Div 91 forecast'!$D$309:$AF$388,25,FALSE)</f>
        <v>0</v>
      </c>
      <c r="L19" s="96">
        <f>VLOOKUP($B19,'[13]Div 91 forecast'!$D$309:$AF$388,26,FALSE)</f>
        <v>0</v>
      </c>
      <c r="M19" s="96">
        <f>VLOOKUP($B19,'[13]Div 91 forecast'!$D$309:$AF$388,27,FALSE)</f>
        <v>0</v>
      </c>
      <c r="N19" s="96">
        <f>VLOOKUP($B19,'[13]Div 91 forecast'!$D$309:$AF$388,28,FALSE)</f>
        <v>0</v>
      </c>
      <c r="O19" s="96">
        <f>VLOOKUP($B19,'[13]Div 91 forecast'!$D$309:$AF$388,29,FALSE)</f>
        <v>0</v>
      </c>
      <c r="P19" s="81">
        <f t="shared" si="0"/>
        <v>0</v>
      </c>
      <c r="Q19" s="81"/>
      <c r="R19" s="707"/>
    </row>
    <row r="20" spans="1:18">
      <c r="A20" s="851">
        <f t="shared" si="1"/>
        <v>9</v>
      </c>
      <c r="B20" s="707">
        <v>8250</v>
      </c>
      <c r="C20" s="81" t="s">
        <v>903</v>
      </c>
      <c r="D20" s="96">
        <f>VLOOKUP($B20,'[13]Div 91 forecast'!$D$309:$AF$388,18,FALSE)</f>
        <v>1785.7624046767344</v>
      </c>
      <c r="E20" s="96">
        <f>VLOOKUP($B20,'[13]Div 91 forecast'!$D$309:$AF$388,19,FALSE)</f>
        <v>1682.1262956294786</v>
      </c>
      <c r="F20" s="96">
        <f>VLOOKUP($B20,'[13]Div 91 forecast'!$D$309:$AF$388,20,FALSE)</f>
        <v>1674.4902435737886</v>
      </c>
      <c r="G20" s="96">
        <f>VLOOKUP($B20,'[13]Div 91 forecast'!$D$309:$AF$388,21,FALSE)</f>
        <v>2206.3259693304212</v>
      </c>
      <c r="H20" s="96">
        <f>VLOOKUP($B20,'[13]Div 91 forecast'!$D$309:$AF$388,22,FALSE)</f>
        <v>1737.8701710870198</v>
      </c>
      <c r="I20" s="96">
        <f>VLOOKUP($B20,'[13]Div 91 forecast'!$D$309:$AF$388,23,FALSE)</f>
        <v>1686.8727487515262</v>
      </c>
      <c r="J20" s="96">
        <f>VLOOKUP($B20,'[13]Div 91 forecast'!$D$309:$AF$388,24,FALSE)</f>
        <v>1711.3178516438295</v>
      </c>
      <c r="K20" s="96">
        <f>VLOOKUP($B20,'[13]Div 91 forecast'!$D$309:$AF$388,25,FALSE)</f>
        <v>1704.7041125682729</v>
      </c>
      <c r="L20" s="96">
        <f>VLOOKUP($B20,'[13]Div 91 forecast'!$D$309:$AF$388,26,FALSE)</f>
        <v>1728.0990844401672</v>
      </c>
      <c r="M20" s="96">
        <f>VLOOKUP($B20,'[13]Div 91 forecast'!$D$309:$AF$388,27,FALSE)</f>
        <v>1823.6053712168396</v>
      </c>
      <c r="N20" s="96">
        <f>VLOOKUP($B20,'[13]Div 91 forecast'!$D$309:$AF$388,28,FALSE)</f>
        <v>1853.9513759026331</v>
      </c>
      <c r="O20" s="96">
        <f>VLOOKUP($B20,'[13]Div 91 forecast'!$D$309:$AF$388,29,FALSE)</f>
        <v>1840.6369663756593</v>
      </c>
      <c r="P20" s="81">
        <f t="shared" si="0"/>
        <v>21435.762595196371</v>
      </c>
      <c r="Q20" s="81"/>
      <c r="R20" s="707"/>
    </row>
    <row r="21" spans="1:18">
      <c r="A21" s="851">
        <f t="shared" si="1"/>
        <v>10</v>
      </c>
      <c r="B21" s="365">
        <v>8500</v>
      </c>
      <c r="C21" s="195" t="s">
        <v>908</v>
      </c>
      <c r="D21" s="96">
        <f>VLOOKUP($B21,'[13]Div 91 forecast'!$D$309:$AF$388,18,FALSE)</f>
        <v>0</v>
      </c>
      <c r="E21" s="96">
        <f>VLOOKUP($B21,'[13]Div 91 forecast'!$D$309:$AF$388,19,FALSE)</f>
        <v>0</v>
      </c>
      <c r="F21" s="96">
        <f>VLOOKUP($B21,'[13]Div 91 forecast'!$D$309:$AF$388,20,FALSE)</f>
        <v>0</v>
      </c>
      <c r="G21" s="96">
        <f>VLOOKUP($B21,'[13]Div 91 forecast'!$D$309:$AF$388,21,FALSE)</f>
        <v>0</v>
      </c>
      <c r="H21" s="96">
        <f>VLOOKUP($B21,'[13]Div 91 forecast'!$D$309:$AF$388,22,FALSE)</f>
        <v>0</v>
      </c>
      <c r="I21" s="96">
        <f>VLOOKUP($B21,'[13]Div 91 forecast'!$D$309:$AF$388,23,FALSE)</f>
        <v>0</v>
      </c>
      <c r="J21" s="96">
        <f>VLOOKUP($B21,'[13]Div 91 forecast'!$D$309:$AF$388,24,FALSE)</f>
        <v>0</v>
      </c>
      <c r="K21" s="96">
        <f>VLOOKUP($B21,'[13]Div 91 forecast'!$D$309:$AF$388,25,FALSE)</f>
        <v>0</v>
      </c>
      <c r="L21" s="96">
        <f>VLOOKUP($B21,'[13]Div 91 forecast'!$D$309:$AF$388,26,FALSE)</f>
        <v>0</v>
      </c>
      <c r="M21" s="96">
        <f>VLOOKUP($B21,'[13]Div 91 forecast'!$D$309:$AF$388,27,FALSE)</f>
        <v>0</v>
      </c>
      <c r="N21" s="96">
        <f>VLOOKUP($B21,'[13]Div 91 forecast'!$D$309:$AF$388,28,FALSE)</f>
        <v>0</v>
      </c>
      <c r="O21" s="96">
        <f>VLOOKUP($B21,'[13]Div 91 forecast'!$D$309:$AF$388,29,FALSE)</f>
        <v>0</v>
      </c>
      <c r="P21" s="81">
        <f t="shared" si="0"/>
        <v>0</v>
      </c>
      <c r="Q21" s="81"/>
      <c r="R21" s="707"/>
    </row>
    <row r="22" spans="1:18">
      <c r="A22" s="851">
        <f t="shared" si="1"/>
        <v>11</v>
      </c>
      <c r="B22" s="707">
        <v>8560</v>
      </c>
      <c r="C22" s="81" t="s">
        <v>909</v>
      </c>
      <c r="D22" s="96">
        <f>VLOOKUP($B22,'[13]Div 91 forecast'!$D$309:$AF$388,18,FALSE)</f>
        <v>54.847815760364824</v>
      </c>
      <c r="E22" s="96">
        <f>VLOOKUP($B22,'[13]Div 91 forecast'!$D$309:$AF$388,19,FALSE)</f>
        <v>51.664741572970968</v>
      </c>
      <c r="F22" s="96">
        <f>VLOOKUP($B22,'[13]Div 91 forecast'!$D$309:$AF$388,20,FALSE)</f>
        <v>51.430208258130051</v>
      </c>
      <c r="G22" s="96">
        <f>VLOOKUP($B22,'[13]Div 91 forecast'!$D$309:$AF$388,21,FALSE)</f>
        <v>67.764983715764515</v>
      </c>
      <c r="H22" s="96">
        <f>VLOOKUP($B22,'[13]Div 91 forecast'!$D$309:$AF$388,22,FALSE)</f>
        <v>53.376856131356135</v>
      </c>
      <c r="I22" s="96">
        <f>VLOOKUP($B22,'[13]Div 91 forecast'!$D$309:$AF$388,23,FALSE)</f>
        <v>51.810523892988158</v>
      </c>
      <c r="J22" s="96">
        <f>VLOOKUP($B22,'[13]Div 91 forecast'!$D$309:$AF$388,24,FALSE)</f>
        <v>52.561329541135365</v>
      </c>
      <c r="K22" s="96">
        <f>VLOOKUP($B22,'[13]Div 91 forecast'!$D$309:$AF$388,25,FALSE)</f>
        <v>52.358195495221253</v>
      </c>
      <c r="L22" s="96">
        <f>VLOOKUP($B22,'[13]Div 91 forecast'!$D$309:$AF$388,26,FALSE)</f>
        <v>53.076747472566126</v>
      </c>
      <c r="M22" s="96">
        <f>VLOOKUP($B22,'[13]Div 91 forecast'!$D$309:$AF$388,27,FALSE)</f>
        <v>56.010122711828046</v>
      </c>
      <c r="N22" s="96">
        <f>VLOOKUP($B22,'[13]Div 91 forecast'!$D$309:$AF$388,28,FALSE)</f>
        <v>56.942168357828052</v>
      </c>
      <c r="O22" s="96">
        <f>VLOOKUP($B22,'[13]Div 91 forecast'!$D$309:$AF$388,29,FALSE)</f>
        <v>56.533230260138794</v>
      </c>
      <c r="P22" s="81">
        <f t="shared" si="0"/>
        <v>658.37692317029234</v>
      </c>
      <c r="Q22" s="81"/>
      <c r="R22" s="707"/>
    </row>
    <row r="23" spans="1:18">
      <c r="A23" s="851">
        <f t="shared" si="1"/>
        <v>12</v>
      </c>
      <c r="B23" s="707">
        <v>8570</v>
      </c>
      <c r="C23" s="81" t="s">
        <v>910</v>
      </c>
      <c r="D23" s="96">
        <f>VLOOKUP($B23,'[13]Div 91 forecast'!$D$309:$AF$388,18,FALSE)</f>
        <v>84.230858746365513</v>
      </c>
      <c r="E23" s="96">
        <f>VLOOKUP($B23,'[13]Div 91 forecast'!$D$309:$AF$388,19,FALSE)</f>
        <v>79.342549730943858</v>
      </c>
      <c r="F23" s="96">
        <f>VLOOKUP($B23,'[13]Div 91 forecast'!$D$309:$AF$388,20,FALSE)</f>
        <v>78.982372352140132</v>
      </c>
      <c r="G23" s="96">
        <f>VLOOKUP($B23,'[13]Div 91 forecast'!$D$309:$AF$388,21,FALSE)</f>
        <v>104.06800511893982</v>
      </c>
      <c r="H23" s="96">
        <f>VLOOKUP($B23,'[13]Div 91 forecast'!$D$309:$AF$388,22,FALSE)</f>
        <v>81.971877399250943</v>
      </c>
      <c r="I23" s="96">
        <f>VLOOKUP($B23,'[13]Div 91 forecast'!$D$309:$AF$388,23,FALSE)</f>
        <v>79.566430478697526</v>
      </c>
      <c r="J23" s="96">
        <f>VLOOKUP($B23,'[13]Div 91 forecast'!$D$309:$AF$388,24,FALSE)</f>
        <v>80.71945733342892</v>
      </c>
      <c r="K23" s="96">
        <f>VLOOKUP($B23,'[13]Div 91 forecast'!$D$309:$AF$388,25,FALSE)</f>
        <v>80.407500423372142</v>
      </c>
      <c r="L23" s="96">
        <f>VLOOKUP($B23,'[13]Div 91 forecast'!$D$309:$AF$388,26,FALSE)</f>
        <v>81.510994687758028</v>
      </c>
      <c r="M23" s="96">
        <f>VLOOKUP($B23,'[13]Div 91 forecast'!$D$309:$AF$388,27,FALSE)</f>
        <v>86.015836166001606</v>
      </c>
      <c r="N23" s="96">
        <f>VLOOKUP($B23,'[13]Div 91 forecast'!$D$309:$AF$388,28,FALSE)</f>
        <v>87.447196814826754</v>
      </c>
      <c r="O23" s="96">
        <f>VLOOKUP($B23,'[13]Div 91 forecast'!$D$309:$AF$388,29,FALSE)</f>
        <v>86.819182614717732</v>
      </c>
      <c r="P23" s="81">
        <f t="shared" si="0"/>
        <v>1011.082261866443</v>
      </c>
      <c r="Q23" s="81"/>
      <c r="R23" s="707"/>
    </row>
    <row r="24" spans="1:18">
      <c r="A24" s="851">
        <f t="shared" si="1"/>
        <v>13</v>
      </c>
      <c r="B24" s="707">
        <v>8650</v>
      </c>
      <c r="C24" s="659" t="s">
        <v>1404</v>
      </c>
      <c r="D24" s="96">
        <f>VLOOKUP($B24,'[13]Div 91 forecast'!$D$309:$AF$388,18,FALSE)</f>
        <v>82.20920994993611</v>
      </c>
      <c r="E24" s="96">
        <f>VLOOKUP($B24,'[13]Div 91 forecast'!$D$309:$AF$388,19,FALSE)</f>
        <v>45.663854821695629</v>
      </c>
      <c r="F24" s="96">
        <f>VLOOKUP($B24,'[13]Div 91 forecast'!$D$309:$AF$388,20,FALSE)</f>
        <v>57.569794698050764</v>
      </c>
      <c r="G24" s="96">
        <f>VLOOKUP($B24,'[13]Div 91 forecast'!$D$309:$AF$388,21,FALSE)</f>
        <v>40.068492539349208</v>
      </c>
      <c r="H24" s="96">
        <f>VLOOKUP($B24,'[13]Div 91 forecast'!$D$309:$AF$388,22,FALSE)</f>
        <v>58.428713779030872</v>
      </c>
      <c r="I24" s="96">
        <f>VLOOKUP($B24,'[13]Div 91 forecast'!$D$309:$AF$388,23,FALSE)</f>
        <v>46.738494733398824</v>
      </c>
      <c r="J24" s="96">
        <f>VLOOKUP($B24,'[13]Div 91 forecast'!$D$309:$AF$388,24,FALSE)</f>
        <v>40.326994147374954</v>
      </c>
      <c r="K24" s="96">
        <f>VLOOKUP($B24,'[13]Div 91 forecast'!$D$309:$AF$388,25,FALSE)</f>
        <v>70.442018540508542</v>
      </c>
      <c r="L24" s="96">
        <f>VLOOKUP($B24,'[13]Div 91 forecast'!$D$309:$AF$388,26,FALSE)</f>
        <v>96.505257345864763</v>
      </c>
      <c r="M24" s="96">
        <f>VLOOKUP($B24,'[13]Div 91 forecast'!$D$309:$AF$388,27,FALSE)</f>
        <v>82.857528679329747</v>
      </c>
      <c r="N24" s="96">
        <f>VLOOKUP($B24,'[13]Div 91 forecast'!$D$309:$AF$388,28,FALSE)</f>
        <v>108.97775346217409</v>
      </c>
      <c r="O24" s="96">
        <f>VLOOKUP($B24,'[13]Div 91 forecast'!$D$309:$AF$388,29,FALSE)</f>
        <v>62.941342489103334</v>
      </c>
      <c r="P24" s="81">
        <f t="shared" si="0"/>
        <v>792.72945518581685</v>
      </c>
      <c r="Q24" s="81"/>
      <c r="R24" s="707"/>
    </row>
    <row r="25" spans="1:18">
      <c r="A25" s="851">
        <f t="shared" si="1"/>
        <v>14</v>
      </c>
      <c r="B25" s="707">
        <v>8700</v>
      </c>
      <c r="C25" s="81" t="s">
        <v>913</v>
      </c>
      <c r="D25" s="96">
        <f>VLOOKUP($B25,'[13]Div 91 forecast'!$D$309:$AF$388,18,FALSE)</f>
        <v>363370.24106817547</v>
      </c>
      <c r="E25" s="96">
        <f>VLOOKUP($B25,'[13]Div 91 forecast'!$D$309:$AF$388,19,FALSE)</f>
        <v>330918.98617644393</v>
      </c>
      <c r="F25" s="96">
        <f>VLOOKUP($B25,'[13]Div 91 forecast'!$D$309:$AF$388,20,FALSE)</f>
        <v>307582.35552223923</v>
      </c>
      <c r="G25" s="96">
        <f>VLOOKUP($B25,'[13]Div 91 forecast'!$D$309:$AF$388,21,FALSE)</f>
        <v>323442.59377583815</v>
      </c>
      <c r="H25" s="96">
        <f>VLOOKUP($B25,'[13]Div 91 forecast'!$D$309:$AF$388,22,FALSE)</f>
        <v>319922.14845974825</v>
      </c>
      <c r="I25" s="96">
        <f>VLOOKUP($B25,'[13]Div 91 forecast'!$D$309:$AF$388,23,FALSE)</f>
        <v>340520.14598185191</v>
      </c>
      <c r="J25" s="96">
        <f>VLOOKUP($B25,'[13]Div 91 forecast'!$D$309:$AF$388,24,FALSE)</f>
        <v>326572.54946827336</v>
      </c>
      <c r="K25" s="96">
        <f>VLOOKUP($B25,'[13]Div 91 forecast'!$D$309:$AF$388,25,FALSE)</f>
        <v>352877.13079750963</v>
      </c>
      <c r="L25" s="96">
        <f>VLOOKUP($B25,'[13]Div 91 forecast'!$D$309:$AF$388,26,FALSE)</f>
        <v>306072.19724807446</v>
      </c>
      <c r="M25" s="96">
        <f>VLOOKUP($B25,'[13]Div 91 forecast'!$D$309:$AF$388,27,FALSE)</f>
        <v>351954.55436388974</v>
      </c>
      <c r="N25" s="96">
        <f>VLOOKUP($B25,'[13]Div 91 forecast'!$D$309:$AF$388,28,FALSE)</f>
        <v>319565.50874683924</v>
      </c>
      <c r="O25" s="96">
        <f>VLOOKUP($B25,'[13]Div 91 forecast'!$D$309:$AF$388,29,FALSE)</f>
        <v>333577.06118648546</v>
      </c>
      <c r="P25" s="81">
        <f t="shared" si="0"/>
        <v>3976375.4727953686</v>
      </c>
      <c r="Q25" s="81"/>
      <c r="R25" s="707"/>
    </row>
    <row r="26" spans="1:18">
      <c r="A26" s="851">
        <f t="shared" si="1"/>
        <v>15</v>
      </c>
      <c r="B26" s="707">
        <v>8711</v>
      </c>
      <c r="C26" s="81" t="s">
        <v>189</v>
      </c>
      <c r="D26" s="96">
        <f>VLOOKUP($B26,'[13]Div 91 forecast'!$D$309:$AF$388,18,FALSE)</f>
        <v>6550.4958025054493</v>
      </c>
      <c r="E26" s="96">
        <f>VLOOKUP($B26,'[13]Div 91 forecast'!$D$309:$AF$388,19,FALSE)</f>
        <v>3638.5325867733623</v>
      </c>
      <c r="F26" s="96">
        <f>VLOOKUP($B26,'[13]Div 91 forecast'!$D$309:$AF$388,20,FALSE)</f>
        <v>4587.2074278579666</v>
      </c>
      <c r="G26" s="96">
        <f>VLOOKUP($B26,'[13]Div 91 forecast'!$D$309:$AF$388,21,FALSE)</f>
        <v>3192.6896311443252</v>
      </c>
      <c r="H26" s="96">
        <f>VLOOKUP($B26,'[13]Div 91 forecast'!$D$309:$AF$388,22,FALSE)</f>
        <v>4655.6467893124609</v>
      </c>
      <c r="I26" s="96">
        <f>VLOOKUP($B26,'[13]Div 91 forecast'!$D$309:$AF$388,23,FALSE)</f>
        <v>3724.1607570854658</v>
      </c>
      <c r="J26" s="96">
        <f>VLOOKUP($B26,'[13]Div 91 forecast'!$D$309:$AF$388,24,FALSE)</f>
        <v>3213.2872466589952</v>
      </c>
      <c r="K26" s="96">
        <f>VLOOKUP($B26,'[13]Div 91 forecast'!$D$309:$AF$388,25,FALSE)</f>
        <v>5612.8765505788788</v>
      </c>
      <c r="L26" s="96">
        <f>VLOOKUP($B26,'[13]Div 91 forecast'!$D$309:$AF$388,26,FALSE)</f>
        <v>7689.6163282528496</v>
      </c>
      <c r="M26" s="96">
        <f>VLOOKUP($B26,'[13]Div 91 forecast'!$D$309:$AF$388,27,FALSE)</f>
        <v>6602.1543589879284</v>
      </c>
      <c r="N26" s="96">
        <f>VLOOKUP($B26,'[13]Div 91 forecast'!$D$309:$AF$388,28,FALSE)</f>
        <v>8683.4348250660914</v>
      </c>
      <c r="O26" s="96">
        <f>VLOOKUP($B26,'[13]Div 91 forecast'!$D$309:$AF$388,29,FALSE)</f>
        <v>5015.2166652618425</v>
      </c>
      <c r="P26" s="81">
        <f t="shared" si="0"/>
        <v>63165.318969485612</v>
      </c>
      <c r="Q26" s="81"/>
    </row>
    <row r="27" spans="1:18">
      <c r="A27" s="851">
        <f t="shared" si="1"/>
        <v>16</v>
      </c>
      <c r="B27" s="707">
        <v>8740</v>
      </c>
      <c r="C27" s="81" t="s">
        <v>915</v>
      </c>
      <c r="D27" s="96">
        <f>VLOOKUP($B27,'[13]Div 91 forecast'!$D$309:$AF$388,18,FALSE)</f>
        <v>11474.504566221227</v>
      </c>
      <c r="E27" s="96">
        <f>VLOOKUP($B27,'[13]Div 91 forecast'!$D$309:$AF$388,19,FALSE)</f>
        <v>11448.934980176169</v>
      </c>
      <c r="F27" s="96">
        <f>VLOOKUP($B27,'[13]Div 91 forecast'!$D$309:$AF$388,20,FALSE)</f>
        <v>11435.225326857319</v>
      </c>
      <c r="G27" s="96">
        <f>VLOOKUP($B27,'[13]Div 91 forecast'!$D$309:$AF$388,21,FALSE)</f>
        <v>11774.249084253192</v>
      </c>
      <c r="H27" s="96">
        <f>VLOOKUP($B27,'[13]Div 91 forecast'!$D$309:$AF$388,22,FALSE)</f>
        <v>12951.946770479744</v>
      </c>
      <c r="I27" s="96">
        <f>VLOOKUP($B27,'[13]Div 91 forecast'!$D$309:$AF$388,23,FALSE)</f>
        <v>12331.715411043153</v>
      </c>
      <c r="J27" s="96">
        <f>VLOOKUP($B27,'[13]Div 91 forecast'!$D$309:$AF$388,24,FALSE)</f>
        <v>10000.146838008446</v>
      </c>
      <c r="K27" s="96">
        <f>VLOOKUP($B27,'[13]Div 91 forecast'!$D$309:$AF$388,25,FALSE)</f>
        <v>10262.658262522909</v>
      </c>
      <c r="L27" s="96">
        <f>VLOOKUP($B27,'[13]Div 91 forecast'!$D$309:$AF$388,26,FALSE)</f>
        <v>10808.183271695356</v>
      </c>
      <c r="M27" s="96">
        <f>VLOOKUP($B27,'[13]Div 91 forecast'!$D$309:$AF$388,27,FALSE)</f>
        <v>12208.322470640127</v>
      </c>
      <c r="N27" s="96">
        <f>VLOOKUP($B27,'[13]Div 91 forecast'!$D$309:$AF$388,28,FALSE)</f>
        <v>11490.354849445703</v>
      </c>
      <c r="O27" s="96">
        <f>VLOOKUP($B27,'[13]Div 91 forecast'!$D$309:$AF$388,29,FALSE)</f>
        <v>10690.070564298749</v>
      </c>
      <c r="P27" s="81">
        <f t="shared" si="0"/>
        <v>136876.31239564207</v>
      </c>
      <c r="Q27" s="81"/>
      <c r="R27" s="707"/>
    </row>
    <row r="28" spans="1:18">
      <c r="A28" s="851">
        <f t="shared" si="1"/>
        <v>17</v>
      </c>
      <c r="B28" s="707">
        <v>8750</v>
      </c>
      <c r="C28" s="81" t="s">
        <v>1226</v>
      </c>
      <c r="D28" s="96">
        <f>VLOOKUP($B28,'[13]Div 91 forecast'!$D$309:$AF$388,18,FALSE)</f>
        <v>15088.284354892747</v>
      </c>
      <c r="E28" s="96">
        <f>VLOOKUP($B28,'[13]Div 91 forecast'!$D$309:$AF$388,19,FALSE)</f>
        <v>14175.290020829772</v>
      </c>
      <c r="F28" s="96">
        <f>VLOOKUP($B28,'[13]Div 91 forecast'!$D$309:$AF$388,20,FALSE)</f>
        <v>13200.648820818493</v>
      </c>
      <c r="G28" s="96">
        <f>VLOOKUP($B28,'[13]Div 91 forecast'!$D$309:$AF$388,21,FALSE)</f>
        <v>13393.80728191989</v>
      </c>
      <c r="H28" s="96">
        <f>VLOOKUP($B28,'[13]Div 91 forecast'!$D$309:$AF$388,22,FALSE)</f>
        <v>13711.153723082054</v>
      </c>
      <c r="I28" s="96">
        <f>VLOOKUP($B28,'[13]Div 91 forecast'!$D$309:$AF$388,23,FALSE)</f>
        <v>13936.268305175377</v>
      </c>
      <c r="J28" s="96">
        <f>VLOOKUP($B28,'[13]Div 91 forecast'!$D$309:$AF$388,24,FALSE)</f>
        <v>13620.984094197553</v>
      </c>
      <c r="K28" s="96">
        <f>VLOOKUP($B28,'[13]Div 91 forecast'!$D$309:$AF$388,25,FALSE)</f>
        <v>14961.17339831388</v>
      </c>
      <c r="L28" s="96">
        <f>VLOOKUP($B28,'[13]Div 91 forecast'!$D$309:$AF$388,26,FALSE)</f>
        <v>14601.865639258076</v>
      </c>
      <c r="M28" s="96">
        <f>VLOOKUP($B28,'[13]Div 91 forecast'!$D$309:$AF$388,27,FALSE)</f>
        <v>15582.351647113981</v>
      </c>
      <c r="N28" s="96">
        <f>VLOOKUP($B28,'[13]Div 91 forecast'!$D$309:$AF$388,28,FALSE)</f>
        <v>14793.716971959837</v>
      </c>
      <c r="O28" s="96">
        <f>VLOOKUP($B28,'[13]Div 91 forecast'!$D$309:$AF$388,29,FALSE)</f>
        <v>14045.915631526057</v>
      </c>
      <c r="P28" s="81">
        <f t="shared" si="0"/>
        <v>171111.45988908774</v>
      </c>
      <c r="Q28" s="81"/>
      <c r="R28" s="707"/>
    </row>
    <row r="29" spans="1:18">
      <c r="A29" s="851">
        <f t="shared" si="1"/>
        <v>18</v>
      </c>
      <c r="B29" s="365">
        <v>8760</v>
      </c>
      <c r="C29" s="80" t="s">
        <v>917</v>
      </c>
      <c r="D29" s="96">
        <f>VLOOKUP($B29,'[13]Div 91 forecast'!$D$309:$AF$388,18,FALSE)</f>
        <v>0</v>
      </c>
      <c r="E29" s="96">
        <f>VLOOKUP($B29,'[13]Div 91 forecast'!$D$309:$AF$388,19,FALSE)</f>
        <v>0</v>
      </c>
      <c r="F29" s="96">
        <f>VLOOKUP($B29,'[13]Div 91 forecast'!$D$309:$AF$388,20,FALSE)</f>
        <v>0</v>
      </c>
      <c r="G29" s="96">
        <f>VLOOKUP($B29,'[13]Div 91 forecast'!$D$309:$AF$388,21,FALSE)</f>
        <v>0</v>
      </c>
      <c r="H29" s="96">
        <f>VLOOKUP($B29,'[13]Div 91 forecast'!$D$309:$AF$388,22,FALSE)</f>
        <v>0</v>
      </c>
      <c r="I29" s="96">
        <f>VLOOKUP($B29,'[13]Div 91 forecast'!$D$309:$AF$388,23,FALSE)</f>
        <v>0</v>
      </c>
      <c r="J29" s="96">
        <f>VLOOKUP($B29,'[13]Div 91 forecast'!$D$309:$AF$388,24,FALSE)</f>
        <v>0</v>
      </c>
      <c r="K29" s="96">
        <f>VLOOKUP($B29,'[13]Div 91 forecast'!$D$309:$AF$388,25,FALSE)</f>
        <v>0</v>
      </c>
      <c r="L29" s="96">
        <f>VLOOKUP($B29,'[13]Div 91 forecast'!$D$309:$AF$388,26,FALSE)</f>
        <v>0</v>
      </c>
      <c r="M29" s="96">
        <f>VLOOKUP($B29,'[13]Div 91 forecast'!$D$309:$AF$388,27,FALSE)</f>
        <v>0</v>
      </c>
      <c r="N29" s="96">
        <f>VLOOKUP($B29,'[13]Div 91 forecast'!$D$309:$AF$388,28,FALSE)</f>
        <v>0</v>
      </c>
      <c r="O29" s="96">
        <f>VLOOKUP($B29,'[13]Div 91 forecast'!$D$309:$AF$388,29,FALSE)</f>
        <v>0</v>
      </c>
      <c r="P29" s="81">
        <f t="shared" si="0"/>
        <v>0</v>
      </c>
      <c r="Q29" s="81"/>
      <c r="R29" s="707"/>
    </row>
    <row r="30" spans="1:18">
      <c r="A30" s="851">
        <f t="shared" si="1"/>
        <v>19</v>
      </c>
      <c r="B30" s="707">
        <v>8770</v>
      </c>
      <c r="C30" s="81" t="s">
        <v>918</v>
      </c>
      <c r="D30" s="96">
        <f>VLOOKUP($B30,'[13]Div 91 forecast'!$D$309:$AF$388,18,FALSE)</f>
        <v>1926.2656366202575</v>
      </c>
      <c r="E30" s="96">
        <f>VLOOKUP($B30,'[13]Div 91 forecast'!$D$309:$AF$388,19,FALSE)</f>
        <v>1069.9618015087967</v>
      </c>
      <c r="F30" s="96">
        <f>VLOOKUP($B30,'[13]Div 91 forecast'!$D$309:$AF$388,20,FALSE)</f>
        <v>1348.9330125136964</v>
      </c>
      <c r="G30" s="96">
        <f>VLOOKUP($B30,'[13]Div 91 forecast'!$D$309:$AF$388,21,FALSE)</f>
        <v>938.85539511602519</v>
      </c>
      <c r="H30" s="96">
        <f>VLOOKUP($B30,'[13]Div 91 forecast'!$D$309:$AF$388,22,FALSE)</f>
        <v>1369.0585715762031</v>
      </c>
      <c r="I30" s="96">
        <f>VLOOKUP($B30,'[13]Div 91 forecast'!$D$309:$AF$388,23,FALSE)</f>
        <v>1095.1419721358484</v>
      </c>
      <c r="J30" s="96">
        <f>VLOOKUP($B30,'[13]Div 91 forecast'!$D$309:$AF$388,24,FALSE)</f>
        <v>944.91241433387574</v>
      </c>
      <c r="K30" s="96">
        <f>VLOOKUP($B30,'[13]Div 91 forecast'!$D$309:$AF$388,25,FALSE)</f>
        <v>1650.5454774639165</v>
      </c>
      <c r="L30" s="96">
        <f>VLOOKUP($B30,'[13]Div 91 forecast'!$D$309:$AF$388,26,FALSE)</f>
        <v>2261.2400860164016</v>
      </c>
      <c r="M30" s="96">
        <f>VLOOKUP($B30,'[13]Div 91 forecast'!$D$309:$AF$388,27,FALSE)</f>
        <v>1941.4565634126302</v>
      </c>
      <c r="N30" s="96">
        <f>VLOOKUP($B30,'[13]Div 91 forecast'!$D$309:$AF$388,28,FALSE)</f>
        <v>2553.4864254029167</v>
      </c>
      <c r="O30" s="96">
        <f>VLOOKUP($B30,'[13]Div 91 forecast'!$D$309:$AF$388,29,FALSE)</f>
        <v>1474.7951626507574</v>
      </c>
      <c r="P30" s="81">
        <f t="shared" si="0"/>
        <v>18574.652518751325</v>
      </c>
      <c r="Q30" s="81"/>
    </row>
    <row r="31" spans="1:18">
      <c r="A31" s="851">
        <f t="shared" si="1"/>
        <v>20</v>
      </c>
      <c r="B31" s="707">
        <v>8800</v>
      </c>
      <c r="C31" s="81" t="s">
        <v>921</v>
      </c>
      <c r="D31" s="96">
        <f>VLOOKUP($B31,'[13]Div 91 forecast'!$D$309:$AF$388,18,FALSE)</f>
        <v>0</v>
      </c>
      <c r="E31" s="96">
        <f>VLOOKUP($B31,'[13]Div 91 forecast'!$D$309:$AF$388,19,FALSE)</f>
        <v>0</v>
      </c>
      <c r="F31" s="96">
        <f>VLOOKUP($B31,'[13]Div 91 forecast'!$D$309:$AF$388,20,FALSE)</f>
        <v>0</v>
      </c>
      <c r="G31" s="96">
        <f>VLOOKUP($B31,'[13]Div 91 forecast'!$D$309:$AF$388,21,FALSE)</f>
        <v>0</v>
      </c>
      <c r="H31" s="96">
        <f>VLOOKUP($B31,'[13]Div 91 forecast'!$D$309:$AF$388,22,FALSE)</f>
        <v>0</v>
      </c>
      <c r="I31" s="96">
        <f>VLOOKUP($B31,'[13]Div 91 forecast'!$D$309:$AF$388,23,FALSE)</f>
        <v>0</v>
      </c>
      <c r="J31" s="96">
        <f>VLOOKUP($B31,'[13]Div 91 forecast'!$D$309:$AF$388,24,FALSE)</f>
        <v>0</v>
      </c>
      <c r="K31" s="96">
        <f>VLOOKUP($B31,'[13]Div 91 forecast'!$D$309:$AF$388,25,FALSE)</f>
        <v>0</v>
      </c>
      <c r="L31" s="96">
        <f>VLOOKUP($B31,'[13]Div 91 forecast'!$D$309:$AF$388,26,FALSE)</f>
        <v>0</v>
      </c>
      <c r="M31" s="96">
        <f>VLOOKUP($B31,'[13]Div 91 forecast'!$D$309:$AF$388,27,FALSE)</f>
        <v>0</v>
      </c>
      <c r="N31" s="96">
        <f>VLOOKUP($B31,'[13]Div 91 forecast'!$D$309:$AF$388,28,FALSE)</f>
        <v>0</v>
      </c>
      <c r="O31" s="96">
        <f>VLOOKUP($B31,'[13]Div 91 forecast'!$D$309:$AF$388,29,FALSE)</f>
        <v>0</v>
      </c>
      <c r="P31" s="81">
        <f t="shared" si="0"/>
        <v>0</v>
      </c>
      <c r="Q31" s="81"/>
    </row>
    <row r="32" spans="1:18">
      <c r="A32" s="851">
        <f t="shared" si="1"/>
        <v>21</v>
      </c>
      <c r="B32" s="707">
        <v>8810</v>
      </c>
      <c r="C32" s="81" t="s">
        <v>922</v>
      </c>
      <c r="D32" s="96">
        <f>VLOOKUP($B32,'[13]Div 91 forecast'!$D$309:$AF$388,18,FALSE)</f>
        <v>22196.347438311634</v>
      </c>
      <c r="E32" s="96">
        <f>VLOOKUP($B32,'[13]Div 91 forecast'!$D$309:$AF$388,19,FALSE)</f>
        <v>20908.1900230008</v>
      </c>
      <c r="F32" s="96">
        <f>VLOOKUP($B32,'[13]Div 91 forecast'!$D$309:$AF$388,20,FALSE)</f>
        <v>20813.276800479569</v>
      </c>
      <c r="G32" s="96">
        <f>VLOOKUP($B32,'[13]Div 91 forecast'!$D$309:$AF$388,21,FALSE)</f>
        <v>27423.792576870204</v>
      </c>
      <c r="H32" s="96">
        <f>VLOOKUP($B32,'[13]Div 91 forecast'!$D$309:$AF$388,22,FALSE)</f>
        <v>21601.065191597223</v>
      </c>
      <c r="I32" s="96">
        <f>VLOOKUP($B32,'[13]Div 91 forecast'!$D$309:$AF$388,23,FALSE)</f>
        <v>20967.186629895823</v>
      </c>
      <c r="J32" s="96">
        <f>VLOOKUP($B32,'[13]Div 91 forecast'!$D$309:$AF$388,24,FALSE)</f>
        <v>21271.029960644559</v>
      </c>
      <c r="K32" s="96">
        <f>VLOOKUP($B32,'[13]Div 91 forecast'!$D$309:$AF$388,25,FALSE)</f>
        <v>21188.823699608412</v>
      </c>
      <c r="L32" s="96">
        <f>VLOOKUP($B32,'[13]Div 91 forecast'!$D$309:$AF$388,26,FALSE)</f>
        <v>21479.614301212601</v>
      </c>
      <c r="M32" s="96">
        <f>VLOOKUP($B32,'[13]Div 91 forecast'!$D$309:$AF$388,27,FALSE)</f>
        <v>22666.721118046837</v>
      </c>
      <c r="N32" s="96">
        <f>VLOOKUP($B32,'[13]Div 91 forecast'!$D$309:$AF$388,28,FALSE)</f>
        <v>23043.910413558089</v>
      </c>
      <c r="O32" s="96">
        <f>VLOOKUP($B32,'[13]Div 91 forecast'!$D$309:$AF$388,29,FALSE)</f>
        <v>22878.417367550002</v>
      </c>
      <c r="P32" s="81">
        <f t="shared" si="0"/>
        <v>266438.37552077579</v>
      </c>
      <c r="Q32" s="81"/>
      <c r="R32" s="707"/>
    </row>
    <row r="33" spans="1:18">
      <c r="A33" s="851">
        <f t="shared" si="1"/>
        <v>22</v>
      </c>
      <c r="B33" s="365">
        <v>9010</v>
      </c>
      <c r="C33" s="80" t="s">
        <v>181</v>
      </c>
      <c r="D33" s="96">
        <f>VLOOKUP($B33,'[13]Div 91 forecast'!$D$309:$AF$388,18,FALSE)</f>
        <v>2606.0411959227285</v>
      </c>
      <c r="E33" s="96">
        <f>VLOOKUP($B33,'[13]Div 91 forecast'!$D$309:$AF$388,19,FALSE)</f>
        <v>2527.3628462553825</v>
      </c>
      <c r="F33" s="96">
        <f>VLOOKUP($B33,'[13]Div 91 forecast'!$D$309:$AF$388,20,FALSE)</f>
        <v>2338.4962512904635</v>
      </c>
      <c r="G33" s="96">
        <f>VLOOKUP($B33,'[13]Div 91 forecast'!$D$309:$AF$388,21,FALSE)</f>
        <v>2478.4189462122854</v>
      </c>
      <c r="H33" s="96">
        <f>VLOOKUP($B33,'[13]Div 91 forecast'!$D$309:$AF$388,22,FALSE)</f>
        <v>2443.8622591305293</v>
      </c>
      <c r="I33" s="96">
        <f>VLOOKUP($B33,'[13]Div 91 forecast'!$D$309:$AF$388,23,FALSE)</f>
        <v>2571.7710263434838</v>
      </c>
      <c r="J33" s="96">
        <f>VLOOKUP($B33,'[13]Div 91 forecast'!$D$309:$AF$388,24,FALSE)</f>
        <v>2576.4387006482002</v>
      </c>
      <c r="K33" s="96">
        <f>VLOOKUP($B33,'[13]Div 91 forecast'!$D$309:$AF$388,25,FALSE)</f>
        <v>2758.009196961169</v>
      </c>
      <c r="L33" s="96">
        <f>VLOOKUP($B33,'[13]Div 91 forecast'!$D$309:$AF$388,26,FALSE)</f>
        <v>2396.3749399968697</v>
      </c>
      <c r="M33" s="96">
        <f>VLOOKUP($B33,'[13]Div 91 forecast'!$D$309:$AF$388,27,FALSE)</f>
        <v>2679.7657682180015</v>
      </c>
      <c r="N33" s="96">
        <f>VLOOKUP($B33,'[13]Div 91 forecast'!$D$309:$AF$388,28,FALSE)</f>
        <v>2319.6416990205007</v>
      </c>
      <c r="O33" s="96">
        <f>VLOOKUP($B33,'[13]Div 91 forecast'!$D$309:$AF$388,29,FALSE)</f>
        <v>2448.6191408250302</v>
      </c>
      <c r="P33" s="81">
        <f t="shared" si="0"/>
        <v>30144.801970824639</v>
      </c>
      <c r="Q33" s="81"/>
      <c r="R33" s="707"/>
    </row>
    <row r="34" spans="1:18">
      <c r="A34" s="851">
        <f t="shared" si="1"/>
        <v>23</v>
      </c>
      <c r="B34" s="365">
        <v>9020</v>
      </c>
      <c r="C34" s="80" t="s">
        <v>932</v>
      </c>
      <c r="D34" s="96">
        <f>VLOOKUP($B34,'[13]Div 91 forecast'!$D$309:$AF$388,18,FALSE)</f>
        <v>0</v>
      </c>
      <c r="E34" s="96">
        <f>VLOOKUP($B34,'[13]Div 91 forecast'!$D$309:$AF$388,19,FALSE)</f>
        <v>0</v>
      </c>
      <c r="F34" s="96">
        <f>VLOOKUP($B34,'[13]Div 91 forecast'!$D$309:$AF$388,20,FALSE)</f>
        <v>0</v>
      </c>
      <c r="G34" s="96">
        <f>VLOOKUP($B34,'[13]Div 91 forecast'!$D$309:$AF$388,21,FALSE)</f>
        <v>0</v>
      </c>
      <c r="H34" s="96">
        <f>VLOOKUP($B34,'[13]Div 91 forecast'!$D$309:$AF$388,22,FALSE)</f>
        <v>0</v>
      </c>
      <c r="I34" s="96">
        <f>VLOOKUP($B34,'[13]Div 91 forecast'!$D$309:$AF$388,23,FALSE)</f>
        <v>0</v>
      </c>
      <c r="J34" s="96">
        <f>VLOOKUP($B34,'[13]Div 91 forecast'!$D$309:$AF$388,24,FALSE)</f>
        <v>0</v>
      </c>
      <c r="K34" s="96">
        <f>VLOOKUP($B34,'[13]Div 91 forecast'!$D$309:$AF$388,25,FALSE)</f>
        <v>0</v>
      </c>
      <c r="L34" s="96">
        <f>VLOOKUP($B34,'[13]Div 91 forecast'!$D$309:$AF$388,26,FALSE)</f>
        <v>0</v>
      </c>
      <c r="M34" s="96">
        <f>VLOOKUP($B34,'[13]Div 91 forecast'!$D$309:$AF$388,27,FALSE)</f>
        <v>0</v>
      </c>
      <c r="N34" s="96">
        <f>VLOOKUP($B34,'[13]Div 91 forecast'!$D$309:$AF$388,28,FALSE)</f>
        <v>0</v>
      </c>
      <c r="O34" s="96">
        <f>VLOOKUP($B34,'[13]Div 91 forecast'!$D$309:$AF$388,29,FALSE)</f>
        <v>0</v>
      </c>
      <c r="P34" s="81">
        <f t="shared" si="0"/>
        <v>0</v>
      </c>
      <c r="Q34" s="81"/>
      <c r="R34" s="707"/>
    </row>
    <row r="35" spans="1:18">
      <c r="A35" s="851">
        <f t="shared" si="1"/>
        <v>24</v>
      </c>
      <c r="B35" s="707">
        <v>9030</v>
      </c>
      <c r="C35" s="81" t="s">
        <v>937</v>
      </c>
      <c r="D35" s="96">
        <f>VLOOKUP($B35,'[13]Div 91 forecast'!$D$309:$AF$388,18,FALSE)</f>
        <v>377114.09473338287</v>
      </c>
      <c r="E35" s="96">
        <f>VLOOKUP($B35,'[13]Div 91 forecast'!$D$309:$AF$388,19,FALSE)</f>
        <v>417775.51809268846</v>
      </c>
      <c r="F35" s="96">
        <f>VLOOKUP($B35,'[13]Div 91 forecast'!$D$309:$AF$388,20,FALSE)</f>
        <v>355005.80339655664</v>
      </c>
      <c r="G35" s="96">
        <f>VLOOKUP($B35,'[13]Div 91 forecast'!$D$309:$AF$388,21,FALSE)</f>
        <v>323142.6635887117</v>
      </c>
      <c r="H35" s="96">
        <f>VLOOKUP($B35,'[13]Div 91 forecast'!$D$309:$AF$388,22,FALSE)</f>
        <v>331169.94362827472</v>
      </c>
      <c r="I35" s="96">
        <f>VLOOKUP($B35,'[13]Div 91 forecast'!$D$309:$AF$388,23,FALSE)</f>
        <v>401812.882471341</v>
      </c>
      <c r="J35" s="96">
        <f>VLOOKUP($B35,'[13]Div 91 forecast'!$D$309:$AF$388,24,FALSE)</f>
        <v>292343.63620697038</v>
      </c>
      <c r="K35" s="96">
        <f>VLOOKUP($B35,'[13]Div 91 forecast'!$D$309:$AF$388,25,FALSE)</f>
        <v>315693.2158995216</v>
      </c>
      <c r="L35" s="96">
        <f>VLOOKUP($B35,'[13]Div 91 forecast'!$D$309:$AF$388,26,FALSE)</f>
        <v>327299.89563941211</v>
      </c>
      <c r="M35" s="96">
        <f>VLOOKUP($B35,'[13]Div 91 forecast'!$D$309:$AF$388,27,FALSE)</f>
        <v>377774.52717811678</v>
      </c>
      <c r="N35" s="96">
        <f>VLOOKUP($B35,'[13]Div 91 forecast'!$D$309:$AF$388,28,FALSE)</f>
        <v>367596.52172969456</v>
      </c>
      <c r="O35" s="96">
        <f>VLOOKUP($B35,'[13]Div 91 forecast'!$D$309:$AF$388,29,FALSE)</f>
        <v>380004.5100708133</v>
      </c>
      <c r="P35" s="81">
        <f t="shared" si="0"/>
        <v>4266733.2126354845</v>
      </c>
      <c r="Q35" s="81"/>
      <c r="R35" s="707"/>
    </row>
    <row r="36" spans="1:18">
      <c r="A36" s="851">
        <f t="shared" si="1"/>
        <v>25</v>
      </c>
      <c r="B36" s="707">
        <v>9100</v>
      </c>
      <c r="C36" s="81" t="s">
        <v>940</v>
      </c>
      <c r="D36" s="96">
        <f>VLOOKUP($B36,'[13]Div 91 forecast'!$D$309:$AF$388,18,FALSE)</f>
        <v>238.81692929996089</v>
      </c>
      <c r="E36" s="96">
        <f>VLOOKUP($B36,'[13]Div 91 forecast'!$D$309:$AF$388,19,FALSE)</f>
        <v>119.69633762286291</v>
      </c>
      <c r="F36" s="96">
        <f>VLOOKUP($B36,'[13]Div 91 forecast'!$D$309:$AF$388,20,FALSE)</f>
        <v>109.93426022937949</v>
      </c>
      <c r="G36" s="96">
        <f>VLOOKUP($B36,'[13]Div 91 forecast'!$D$309:$AF$388,21,FALSE)</f>
        <v>108.63197103094593</v>
      </c>
      <c r="H36" s="96">
        <f>VLOOKUP($B36,'[13]Div 91 forecast'!$D$309:$AF$388,22,FALSE)</f>
        <v>114.31849588050771</v>
      </c>
      <c r="I36" s="96">
        <f>VLOOKUP($B36,'[13]Div 91 forecast'!$D$309:$AF$388,23,FALSE)</f>
        <v>118.28833698222263</v>
      </c>
      <c r="J36" s="96">
        <f>VLOOKUP($B36,'[13]Div 91 forecast'!$D$309:$AF$388,24,FALSE)</f>
        <v>141.65605469744054</v>
      </c>
      <c r="K36" s="96">
        <f>VLOOKUP($B36,'[13]Div 91 forecast'!$D$309:$AF$388,25,FALSE)</f>
        <v>170.1588436048599</v>
      </c>
      <c r="L36" s="96">
        <f>VLOOKUP($B36,'[13]Div 91 forecast'!$D$309:$AF$388,26,FALSE)</f>
        <v>110.53693119059989</v>
      </c>
      <c r="M36" s="96">
        <f>VLOOKUP($B36,'[13]Div 91 forecast'!$D$309:$AF$388,27,FALSE)</f>
        <v>122.39637307286375</v>
      </c>
      <c r="N36" s="96">
        <f>VLOOKUP($B36,'[13]Div 91 forecast'!$D$309:$AF$388,28,FALSE)</f>
        <v>131.96501126023531</v>
      </c>
      <c r="O36" s="96">
        <f>VLOOKUP($B36,'[13]Div 91 forecast'!$D$309:$AF$388,29,FALSE)</f>
        <v>129.60532615319443</v>
      </c>
      <c r="P36" s="81">
        <f t="shared" si="0"/>
        <v>1616.0048710250735</v>
      </c>
      <c r="Q36" s="81"/>
      <c r="R36" s="707"/>
    </row>
    <row r="37" spans="1:18">
      <c r="A37" s="851">
        <f t="shared" si="1"/>
        <v>26</v>
      </c>
      <c r="B37" s="707">
        <v>9110</v>
      </c>
      <c r="C37" s="81" t="s">
        <v>941</v>
      </c>
      <c r="D37" s="96">
        <f>VLOOKUP($B37,'[13]Div 91 forecast'!$D$309:$AF$388,18,FALSE)</f>
        <v>19147.225173964674</v>
      </c>
      <c r="E37" s="96">
        <f>VLOOKUP($B37,'[13]Div 91 forecast'!$D$309:$AF$388,19,FALSE)</f>
        <v>16739.779434278644</v>
      </c>
      <c r="F37" s="96">
        <f>VLOOKUP($B37,'[13]Div 91 forecast'!$D$309:$AF$388,20,FALSE)</f>
        <v>16891.450239697111</v>
      </c>
      <c r="G37" s="96">
        <f>VLOOKUP($B37,'[13]Div 91 forecast'!$D$309:$AF$388,21,FALSE)</f>
        <v>15910.881765337152</v>
      </c>
      <c r="H37" s="96">
        <f>VLOOKUP($B37,'[13]Div 91 forecast'!$D$309:$AF$388,22,FALSE)</f>
        <v>16487.209980884531</v>
      </c>
      <c r="I37" s="96">
        <f>VLOOKUP($B37,'[13]Div 91 forecast'!$D$309:$AF$388,23,FALSE)</f>
        <v>19717.287415727747</v>
      </c>
      <c r="J37" s="96">
        <f>VLOOKUP($B37,'[13]Div 91 forecast'!$D$309:$AF$388,24,FALSE)</f>
        <v>16808.328507381008</v>
      </c>
      <c r="K37" s="96">
        <f>VLOOKUP($B37,'[13]Div 91 forecast'!$D$309:$AF$388,25,FALSE)</f>
        <v>20947.439745768912</v>
      </c>
      <c r="L37" s="96">
        <f>VLOOKUP($B37,'[13]Div 91 forecast'!$D$309:$AF$388,26,FALSE)</f>
        <v>16030.107647180488</v>
      </c>
      <c r="M37" s="96">
        <f>VLOOKUP($B37,'[13]Div 91 forecast'!$D$309:$AF$388,27,FALSE)</f>
        <v>18520.805776434005</v>
      </c>
      <c r="N37" s="96">
        <f>VLOOKUP($B37,'[13]Div 91 forecast'!$D$309:$AF$388,28,FALSE)</f>
        <v>15889.651035890018</v>
      </c>
      <c r="O37" s="96">
        <f>VLOOKUP($B37,'[13]Div 91 forecast'!$D$309:$AF$388,29,FALSE)</f>
        <v>16920.343760118471</v>
      </c>
      <c r="P37" s="81">
        <f t="shared" si="0"/>
        <v>210010.51048266279</v>
      </c>
      <c r="Q37" s="81"/>
      <c r="R37" s="707"/>
    </row>
    <row r="38" spans="1:18">
      <c r="A38" s="851">
        <f t="shared" si="1"/>
        <v>27</v>
      </c>
      <c r="B38" s="707">
        <v>9120</v>
      </c>
      <c r="C38" s="81" t="s">
        <v>942</v>
      </c>
      <c r="D38" s="96">
        <f>VLOOKUP($B38,'[13]Div 91 forecast'!$D$309:$AF$388,18,FALSE)</f>
        <v>0</v>
      </c>
      <c r="E38" s="96">
        <f>VLOOKUP($B38,'[13]Div 91 forecast'!$D$309:$AF$388,19,FALSE)</f>
        <v>0</v>
      </c>
      <c r="F38" s="96">
        <f>VLOOKUP($B38,'[13]Div 91 forecast'!$D$309:$AF$388,20,FALSE)</f>
        <v>0</v>
      </c>
      <c r="G38" s="96">
        <f>VLOOKUP($B38,'[13]Div 91 forecast'!$D$309:$AF$388,21,FALSE)</f>
        <v>0</v>
      </c>
      <c r="H38" s="96">
        <f>VLOOKUP($B38,'[13]Div 91 forecast'!$D$309:$AF$388,22,FALSE)</f>
        <v>0</v>
      </c>
      <c r="I38" s="96">
        <f>VLOOKUP($B38,'[13]Div 91 forecast'!$D$309:$AF$388,23,FALSE)</f>
        <v>0</v>
      </c>
      <c r="J38" s="96">
        <f>VLOOKUP($B38,'[13]Div 91 forecast'!$D$309:$AF$388,24,FALSE)</f>
        <v>0</v>
      </c>
      <c r="K38" s="96">
        <f>VLOOKUP($B38,'[13]Div 91 forecast'!$D$309:$AF$388,25,FALSE)</f>
        <v>0</v>
      </c>
      <c r="L38" s="96">
        <f>VLOOKUP($B38,'[13]Div 91 forecast'!$D$309:$AF$388,26,FALSE)</f>
        <v>0</v>
      </c>
      <c r="M38" s="96">
        <f>VLOOKUP($B38,'[13]Div 91 forecast'!$D$309:$AF$388,27,FALSE)</f>
        <v>0</v>
      </c>
      <c r="N38" s="96">
        <f>VLOOKUP($B38,'[13]Div 91 forecast'!$D$309:$AF$388,28,FALSE)</f>
        <v>0</v>
      </c>
      <c r="O38" s="96">
        <f>VLOOKUP($B38,'[13]Div 91 forecast'!$D$309:$AF$388,29,FALSE)</f>
        <v>0</v>
      </c>
      <c r="P38" s="81">
        <f t="shared" si="0"/>
        <v>0</v>
      </c>
      <c r="Q38" s="81"/>
    </row>
    <row r="39" spans="1:18">
      <c r="A39" s="851">
        <f t="shared" si="1"/>
        <v>28</v>
      </c>
      <c r="B39" s="707">
        <v>9130</v>
      </c>
      <c r="C39" s="81" t="s">
        <v>943</v>
      </c>
      <c r="D39" s="96">
        <f>VLOOKUP($B39,'[13]Div 91 forecast'!$D$309:$AF$388,18,FALSE)</f>
        <v>215.44601269219845</v>
      </c>
      <c r="E39" s="96">
        <f>VLOOKUP($B39,'[13]Div 91 forecast'!$D$309:$AF$388,19,FALSE)</f>
        <v>107.98270771798762</v>
      </c>
      <c r="F39" s="96">
        <f>VLOOKUP($B39,'[13]Div 91 forecast'!$D$309:$AF$388,20,FALSE)</f>
        <v>99.175959150439581</v>
      </c>
      <c r="G39" s="96">
        <f>VLOOKUP($B39,'[13]Div 91 forecast'!$D$309:$AF$388,21,FALSE)</f>
        <v>98.001113564755755</v>
      </c>
      <c r="H39" s="96">
        <f>VLOOKUP($B39,'[13]Div 91 forecast'!$D$309:$AF$388,22,FALSE)</f>
        <v>103.13114814188732</v>
      </c>
      <c r="I39" s="96">
        <f>VLOOKUP($B39,'[13]Div 91 forecast'!$D$309:$AF$388,23,FALSE)</f>
        <v>106.71249574104274</v>
      </c>
      <c r="J39" s="96">
        <f>VLOOKUP($B39,'[13]Div 91 forecast'!$D$309:$AF$388,24,FALSE)</f>
        <v>127.79342003823565</v>
      </c>
      <c r="K39" s="96">
        <f>VLOOKUP($B39,'[13]Div 91 forecast'!$D$309:$AF$388,25,FALSE)</f>
        <v>153.50689118415215</v>
      </c>
      <c r="L39" s="96">
        <f>VLOOKUP($B39,'[13]Div 91 forecast'!$D$309:$AF$388,26,FALSE)</f>
        <v>99.719651994748887</v>
      </c>
      <c r="M39" s="96">
        <f>VLOOKUP($B39,'[13]Div 91 forecast'!$D$309:$AF$388,27,FALSE)</f>
        <v>110.41851439859201</v>
      </c>
      <c r="N39" s="96">
        <f>VLOOKUP($B39,'[13]Div 91 forecast'!$D$309:$AF$388,28,FALSE)</f>
        <v>119.05075395717945</v>
      </c>
      <c r="O39" s="96">
        <f>VLOOKUP($B39,'[13]Div 91 forecast'!$D$309:$AF$388,29,FALSE)</f>
        <v>116.92199051896199</v>
      </c>
      <c r="P39" s="81">
        <f t="shared" si="0"/>
        <v>1457.8606591001817</v>
      </c>
      <c r="Q39" s="81"/>
      <c r="R39" s="707"/>
    </row>
    <row r="40" spans="1:18">
      <c r="A40" s="851">
        <f t="shared" si="1"/>
        <v>29</v>
      </c>
      <c r="B40" s="707">
        <v>9200</v>
      </c>
      <c r="C40" s="81" t="s">
        <v>182</v>
      </c>
      <c r="D40" s="96">
        <f>VLOOKUP($B40,'[13]Div 91 forecast'!$D$309:$AF$388,18,FALSE)</f>
        <v>1420.6068427693583</v>
      </c>
      <c r="E40" s="96">
        <f>VLOOKUP($B40,'[13]Div 91 forecast'!$D$309:$AF$388,19,FALSE)</f>
        <v>1419.6000342344403</v>
      </c>
      <c r="F40" s="96">
        <f>VLOOKUP($B40,'[13]Div 91 forecast'!$D$309:$AF$388,20,FALSE)</f>
        <v>666.50725011574423</v>
      </c>
      <c r="G40" s="96">
        <f>VLOOKUP($B40,'[13]Div 91 forecast'!$D$309:$AF$388,21,FALSE)</f>
        <v>2033.7532405344461</v>
      </c>
      <c r="H40" s="96">
        <f>VLOOKUP($B40,'[13]Div 91 forecast'!$D$309:$AF$388,22,FALSE)</f>
        <v>654.42554769672779</v>
      </c>
      <c r="I40" s="96">
        <f>VLOOKUP($B40,'[13]Div 91 forecast'!$D$309:$AF$388,23,FALSE)</f>
        <v>863.84172295968062</v>
      </c>
      <c r="J40" s="96">
        <f>VLOOKUP($B40,'[13]Div 91 forecast'!$D$309:$AF$388,24,FALSE)</f>
        <v>1359.1915221393576</v>
      </c>
      <c r="K40" s="96">
        <f>VLOOKUP($B40,'[13]Div 91 forecast'!$D$309:$AF$388,25,FALSE)</f>
        <v>654.42554769672779</v>
      </c>
      <c r="L40" s="96">
        <f>VLOOKUP($B40,'[13]Div 91 forecast'!$D$309:$AF$388,26,FALSE)</f>
        <v>755.106401188532</v>
      </c>
      <c r="M40" s="96">
        <f>VLOOKUP($B40,'[13]Div 91 forecast'!$D$309:$AF$388,27,FALSE)</f>
        <v>654.42554769672779</v>
      </c>
      <c r="N40" s="96">
        <f>VLOOKUP($B40,'[13]Div 91 forecast'!$D$309:$AF$388,28,FALSE)</f>
        <v>1066.2102384782072</v>
      </c>
      <c r="O40" s="96">
        <f>VLOOKUP($B40,'[13]Div 91 forecast'!$D$309:$AF$388,29,FALSE)</f>
        <v>6272.4171725394062</v>
      </c>
      <c r="P40" s="81">
        <f t="shared" si="0"/>
        <v>17820.511068049356</v>
      </c>
      <c r="Q40" s="81"/>
      <c r="R40" s="707"/>
    </row>
    <row r="41" spans="1:18">
      <c r="A41" s="851">
        <f t="shared" si="1"/>
        <v>30</v>
      </c>
      <c r="B41" s="707">
        <v>9210</v>
      </c>
      <c r="C41" s="81" t="s">
        <v>944</v>
      </c>
      <c r="D41" s="96">
        <f>VLOOKUP($B41,'[13]Div 91 forecast'!$D$309:$AF$388,18,FALSE)</f>
        <v>675.56197419693115</v>
      </c>
      <c r="E41" s="96">
        <f>VLOOKUP($B41,'[13]Div 91 forecast'!$D$309:$AF$388,19,FALSE)</f>
        <v>477.52425828053526</v>
      </c>
      <c r="F41" s="96">
        <f>VLOOKUP($B41,'[13]Div 91 forecast'!$D$309:$AF$388,20,FALSE)</f>
        <v>579.68796925302638</v>
      </c>
      <c r="G41" s="96">
        <f>VLOOKUP($B41,'[13]Div 91 forecast'!$D$309:$AF$388,21,FALSE)</f>
        <v>418.68806513434464</v>
      </c>
      <c r="H41" s="96">
        <f>VLOOKUP($B41,'[13]Div 91 forecast'!$D$309:$AF$388,22,FALSE)</f>
        <v>488.2499144067848</v>
      </c>
      <c r="I41" s="96">
        <f>VLOOKUP($B41,'[13]Div 91 forecast'!$D$309:$AF$388,23,FALSE)</f>
        <v>745.67191708391522</v>
      </c>
      <c r="J41" s="96">
        <f>VLOOKUP($B41,'[13]Div 91 forecast'!$D$309:$AF$388,24,FALSE)</f>
        <v>466.45155695377315</v>
      </c>
      <c r="K41" s="96">
        <f>VLOOKUP($B41,'[13]Div 91 forecast'!$D$309:$AF$388,25,FALSE)</f>
        <v>785.36246202372126</v>
      </c>
      <c r="L41" s="96">
        <f>VLOOKUP($B41,'[13]Div 91 forecast'!$D$309:$AF$388,26,FALSE)</f>
        <v>468.07286082746401</v>
      </c>
      <c r="M41" s="96">
        <f>VLOOKUP($B41,'[13]Div 91 forecast'!$D$309:$AF$388,27,FALSE)</f>
        <v>583.31945076832972</v>
      </c>
      <c r="N41" s="96">
        <f>VLOOKUP($B41,'[13]Div 91 forecast'!$D$309:$AF$388,28,FALSE)</f>
        <v>487.02761382578973</v>
      </c>
      <c r="O41" s="96">
        <f>VLOOKUP($B41,'[13]Div 91 forecast'!$D$309:$AF$388,29,FALSE)</f>
        <v>529.41622222108765</v>
      </c>
      <c r="P41" s="81">
        <f t="shared" si="0"/>
        <v>6705.0342649757022</v>
      </c>
      <c r="Q41" s="81"/>
      <c r="R41" s="707"/>
    </row>
    <row r="42" spans="1:18">
      <c r="A42" s="851">
        <f t="shared" si="1"/>
        <v>31</v>
      </c>
      <c r="B42" s="707">
        <v>9220</v>
      </c>
      <c r="C42" s="81" t="s">
        <v>945</v>
      </c>
      <c r="D42" s="96">
        <f t="shared" ref="D42:O42" si="2">-(SUM(D12:D41,D43:D49))</f>
        <v>-1048918.3637999995</v>
      </c>
      <c r="E42" s="96">
        <f t="shared" si="2"/>
        <v>-1139040.5995</v>
      </c>
      <c r="F42" s="96">
        <f t="shared" si="2"/>
        <v>-946981.03720000014</v>
      </c>
      <c r="G42" s="96">
        <f t="shared" si="2"/>
        <v>-1078096.5879000004</v>
      </c>
      <c r="H42" s="96">
        <f t="shared" si="2"/>
        <v>-884992.57380000001</v>
      </c>
      <c r="I42" s="96">
        <f t="shared" si="2"/>
        <v>-975236.68479999993</v>
      </c>
      <c r="J42" s="96">
        <f t="shared" si="2"/>
        <v>-898719.62929901981</v>
      </c>
      <c r="K42" s="96">
        <f t="shared" si="2"/>
        <v>-973684.94514259754</v>
      </c>
      <c r="L42" s="96">
        <f t="shared" si="2"/>
        <v>-945343.63978579221</v>
      </c>
      <c r="M42" s="96">
        <f t="shared" si="2"/>
        <v>-1072764.0430990201</v>
      </c>
      <c r="N42" s="96">
        <f t="shared" si="2"/>
        <v>-1002031.0108589251</v>
      </c>
      <c r="O42" s="96">
        <f t="shared" si="2"/>
        <v>-1020835.0116857925</v>
      </c>
      <c r="P42" s="81">
        <f t="shared" si="0"/>
        <v>-11986644.126871146</v>
      </c>
      <c r="Q42" s="81"/>
    </row>
    <row r="43" spans="1:18">
      <c r="A43" s="851">
        <f t="shared" si="1"/>
        <v>32</v>
      </c>
      <c r="B43" s="707">
        <v>9230</v>
      </c>
      <c r="C43" s="81" t="s">
        <v>946</v>
      </c>
      <c r="D43" s="96">
        <f>VLOOKUP($B43,'[13]Div 91 forecast'!$D$309:$AF$388,18,FALSE)</f>
        <v>29052.121493440987</v>
      </c>
      <c r="E43" s="96">
        <f>VLOOKUP($B43,'[13]Div 91 forecast'!$D$309:$AF$388,19,FALSE)</f>
        <v>32533.215875496611</v>
      </c>
      <c r="F43" s="96">
        <f>VLOOKUP($B43,'[13]Div 91 forecast'!$D$309:$AF$388,20,FALSE)</f>
        <v>27519.42828138086</v>
      </c>
      <c r="G43" s="96">
        <f>VLOOKUP($B43,'[13]Div 91 forecast'!$D$309:$AF$388,21,FALSE)</f>
        <v>23922.054749006136</v>
      </c>
      <c r="H43" s="96">
        <f>VLOOKUP($B43,'[13]Div 91 forecast'!$D$309:$AF$388,22,FALSE)</f>
        <v>24881.095346293292</v>
      </c>
      <c r="I43" s="96">
        <f>VLOOKUP($B43,'[13]Div 91 forecast'!$D$309:$AF$388,23,FALSE)</f>
        <v>31530.896843575993</v>
      </c>
      <c r="J43" s="96">
        <f>VLOOKUP($B43,'[13]Div 91 forecast'!$D$309:$AF$388,24,FALSE)</f>
        <v>20947.690341120615</v>
      </c>
      <c r="K43" s="96">
        <f>VLOOKUP($B43,'[13]Div 91 forecast'!$D$309:$AF$388,25,FALSE)</f>
        <v>23289.219886577797</v>
      </c>
      <c r="L43" s="96">
        <f>VLOOKUP($B43,'[13]Div 91 forecast'!$D$309:$AF$388,26,FALSE)</f>
        <v>24619.874997898696</v>
      </c>
      <c r="M43" s="96">
        <f>VLOOKUP($B43,'[13]Div 91 forecast'!$D$309:$AF$388,27,FALSE)</f>
        <v>28720.041043834321</v>
      </c>
      <c r="N43" s="96">
        <f>VLOOKUP($B43,'[13]Div 91 forecast'!$D$309:$AF$388,28,FALSE)</f>
        <v>28532.447485001401</v>
      </c>
      <c r="O43" s="96">
        <f>VLOOKUP($B43,'[13]Div 91 forecast'!$D$309:$AF$388,29,FALSE)</f>
        <v>29415.488938411392</v>
      </c>
      <c r="P43" s="81">
        <f t="shared" si="0"/>
        <v>324963.57528203813</v>
      </c>
      <c r="Q43" s="81"/>
    </row>
    <row r="44" spans="1:18">
      <c r="A44" s="851">
        <f t="shared" si="1"/>
        <v>33</v>
      </c>
      <c r="B44" s="707">
        <v>9240</v>
      </c>
      <c r="C44" s="81" t="s">
        <v>947</v>
      </c>
      <c r="D44" s="96">
        <f>VLOOKUP($B44,'[13]Div 91 forecast'!$D$309:$AF$388,18,FALSE)</f>
        <v>-7314.2456320536457</v>
      </c>
      <c r="E44" s="96">
        <f>VLOOKUP($B44,'[13]Div 91 forecast'!$D$309:$AF$388,19,FALSE)</f>
        <v>-7152.5848982549996</v>
      </c>
      <c r="F44" s="96">
        <f>VLOOKUP($B44,'[13]Div 91 forecast'!$D$309:$AF$388,20,FALSE)</f>
        <v>-7151.5820401048841</v>
      </c>
      <c r="G44" s="96">
        <f>VLOOKUP($B44,'[13]Div 91 forecast'!$D$309:$AF$388,21,FALSE)</f>
        <v>-7101.8402758591474</v>
      </c>
      <c r="H44" s="96">
        <f>VLOOKUP($B44,'[13]Div 91 forecast'!$D$309:$AF$388,22,FALSE)</f>
        <v>-7120.2928658212741</v>
      </c>
      <c r="I44" s="96">
        <f>VLOOKUP($B44,'[13]Div 91 forecast'!$D$309:$AF$388,23,FALSE)</f>
        <v>-7151.7826117349068</v>
      </c>
      <c r="J44" s="96">
        <f>VLOOKUP($B44,'[13]Div 91 forecast'!$D$309:$AF$388,24,FALSE)</f>
        <v>-6781.5273827122001</v>
      </c>
      <c r="K44" s="96">
        <f>VLOOKUP($B44,'[13]Div 91 forecast'!$D$309:$AF$388,25,FALSE)</f>
        <v>-6840.4954419390033</v>
      </c>
      <c r="L44" s="96">
        <f>VLOOKUP($B44,'[13]Div 91 forecast'!$D$309:$AF$388,26,FALSE)</f>
        <v>-6856.5411723408524</v>
      </c>
      <c r="M44" s="96">
        <f>VLOOKUP($B44,'[13]Div 91 forecast'!$D$309:$AF$388,27,FALSE)</f>
        <v>-7073.3591043958604</v>
      </c>
      <c r="N44" s="96">
        <f>VLOOKUP($B44,'[13]Div 91 forecast'!$D$309:$AF$388,28,FALSE)</f>
        <v>-6901.6697890960586</v>
      </c>
      <c r="O44" s="96">
        <f>VLOOKUP($B44,'[13]Div 91 forecast'!$D$309:$AF$388,29,FALSE)</f>
        <v>-7160.006048565856</v>
      </c>
      <c r="P44" s="81">
        <f t="shared" si="0"/>
        <v>-84605.9272628787</v>
      </c>
      <c r="Q44" s="81"/>
      <c r="R44" s="707"/>
    </row>
    <row r="45" spans="1:18">
      <c r="A45" s="851">
        <f t="shared" si="1"/>
        <v>34</v>
      </c>
      <c r="B45" s="707">
        <v>9250</v>
      </c>
      <c r="C45" s="81" t="s">
        <v>948</v>
      </c>
      <c r="D45" s="96">
        <f>VLOOKUP($B45,'[13]Div 91 forecast'!$D$309:$AF$388,18,FALSE)</f>
        <v>38899.331037523989</v>
      </c>
      <c r="E45" s="96">
        <f>VLOOKUP($B45,'[13]Div 91 forecast'!$D$309:$AF$388,19,FALSE)</f>
        <v>39391.89365379318</v>
      </c>
      <c r="F45" s="96">
        <f>VLOOKUP($B45,'[13]Div 91 forecast'!$D$309:$AF$388,20,FALSE)</f>
        <v>36867.441258708466</v>
      </c>
      <c r="G45" s="96">
        <f>VLOOKUP($B45,'[13]Div 91 forecast'!$D$309:$AF$388,21,FALSE)</f>
        <v>39261.292152417074</v>
      </c>
      <c r="H45" s="96">
        <f>VLOOKUP($B45,'[13]Div 91 forecast'!$D$309:$AF$388,22,FALSE)</f>
        <v>38440.370536875431</v>
      </c>
      <c r="I45" s="96">
        <f>VLOOKUP($B45,'[13]Div 91 forecast'!$D$309:$AF$388,23,FALSE)</f>
        <v>37677.010791056455</v>
      </c>
      <c r="J45" s="96">
        <f>VLOOKUP($B45,'[13]Div 91 forecast'!$D$309:$AF$388,24,FALSE)</f>
        <v>37671.268971167177</v>
      </c>
      <c r="K45" s="96">
        <f>VLOOKUP($B45,'[13]Div 91 forecast'!$D$309:$AF$388,25,FALSE)</f>
        <v>36779.704524074637</v>
      </c>
      <c r="L45" s="96">
        <f>VLOOKUP($B45,'[13]Div 91 forecast'!$D$309:$AF$388,26,FALSE)</f>
        <v>35798.506429085406</v>
      </c>
      <c r="M45" s="96">
        <f>VLOOKUP($B45,'[13]Div 91 forecast'!$D$309:$AF$388,27,FALSE)</f>
        <v>38280.697294239515</v>
      </c>
      <c r="N45" s="96">
        <f>VLOOKUP($B45,'[13]Div 91 forecast'!$D$309:$AF$388,28,FALSE)</f>
        <v>34878.046027623626</v>
      </c>
      <c r="O45" s="96">
        <f>VLOOKUP($B45,'[13]Div 91 forecast'!$D$309:$AF$388,29,FALSE)</f>
        <v>36432.228114864403</v>
      </c>
      <c r="P45" s="81">
        <f t="shared" si="0"/>
        <v>450377.79079142929</v>
      </c>
      <c r="Q45" s="81"/>
      <c r="R45" s="707"/>
    </row>
    <row r="46" spans="1:18">
      <c r="A46" s="851">
        <f t="shared" si="1"/>
        <v>35</v>
      </c>
      <c r="B46" s="909">
        <v>9260</v>
      </c>
      <c r="C46" s="81" t="s">
        <v>949</v>
      </c>
      <c r="D46" s="96">
        <f>VLOOKUP($B46,'[13]Div 91 forecast'!$D$309:$AF$388,18,FALSE)</f>
        <v>154857.16640891612</v>
      </c>
      <c r="E46" s="96">
        <f>VLOOKUP($B46,'[13]Div 91 forecast'!$D$309:$AF$388,19,FALSE)</f>
        <v>224403.63683829253</v>
      </c>
      <c r="F46" s="96">
        <f>VLOOKUP($B46,'[13]Div 91 forecast'!$D$309:$AF$388,20,FALSE)</f>
        <v>145259.71104519337</v>
      </c>
      <c r="G46" s="96">
        <f>VLOOKUP($B46,'[13]Div 91 forecast'!$D$309:$AF$388,21,FALSE)</f>
        <v>282772.12377076474</v>
      </c>
      <c r="H46" s="96">
        <f>VLOOKUP($B46,'[13]Div 91 forecast'!$D$309:$AF$388,22,FALSE)</f>
        <v>82187.307898539802</v>
      </c>
      <c r="I46" s="96">
        <f>VLOOKUP($B46,'[13]Div 91 forecast'!$D$309:$AF$388,23,FALSE)</f>
        <v>79832.470084015949</v>
      </c>
      <c r="J46" s="96">
        <f>VLOOKUP($B46,'[13]Div 91 forecast'!$D$309:$AF$388,24,FALSE)</f>
        <v>147541.12804323694</v>
      </c>
      <c r="K46" s="96">
        <f>VLOOKUP($B46,'[13]Div 91 forecast'!$D$309:$AF$388,25,FALSE)</f>
        <v>162964.97680672829</v>
      </c>
      <c r="L46" s="96">
        <f>VLOOKUP($B46,'[13]Div 91 forecast'!$D$309:$AF$388,26,FALSE)</f>
        <v>171607.29918879559</v>
      </c>
      <c r="M46" s="96">
        <f>VLOOKUP($B46,'[13]Div 91 forecast'!$D$309:$AF$388,27,FALSE)</f>
        <v>191430.53361629174</v>
      </c>
      <c r="N46" s="96">
        <f>VLOOKUP($B46,'[13]Div 91 forecast'!$D$309:$AF$388,28,FALSE)</f>
        <v>166790.27063888812</v>
      </c>
      <c r="O46" s="96">
        <f>VLOOKUP($B46,'[13]Div 91 forecast'!$D$309:$AF$388,29,FALSE)</f>
        <v>157794.49555056795</v>
      </c>
      <c r="P46" s="81">
        <f t="shared" si="0"/>
        <v>1967441.1198902314</v>
      </c>
      <c r="Q46" s="81"/>
      <c r="R46" s="707"/>
    </row>
    <row r="47" spans="1:18">
      <c r="A47" s="1156">
        <f t="shared" si="1"/>
        <v>36</v>
      </c>
      <c r="B47" s="909">
        <v>9280</v>
      </c>
      <c r="C47" s="80" t="s">
        <v>951</v>
      </c>
      <c r="D47" s="96">
        <f>VLOOKUP($B47,'[13]Div 91 forecast'!$D$309:$AF$388,18,FALSE)</f>
        <v>73.458264713530369</v>
      </c>
      <c r="E47" s="96">
        <f>VLOOKUP($B47,'[13]Div 91 forecast'!$D$309:$AF$388,19,FALSE)</f>
        <v>82.946623905694707</v>
      </c>
      <c r="F47" s="96">
        <f>VLOOKUP($B47,'[13]Div 91 forecast'!$D$309:$AF$388,20,FALSE)</f>
        <v>126.48594955361011</v>
      </c>
      <c r="G47" s="96">
        <f>VLOOKUP($B47,'[13]Div 91 forecast'!$D$309:$AF$388,21,FALSE)</f>
        <v>64.352500650082334</v>
      </c>
      <c r="H47" s="96">
        <f>VLOOKUP($B47,'[13]Div 91 forecast'!$D$309:$AF$388,22,FALSE)</f>
        <v>69.708832452110599</v>
      </c>
      <c r="I47" s="96">
        <f>VLOOKUP($B47,'[13]Div 91 forecast'!$D$309:$AF$388,23,FALSE)</f>
        <v>68.408009014475155</v>
      </c>
      <c r="J47" s="96">
        <f>VLOOKUP($B47,'[13]Div 91 forecast'!$D$309:$AF$388,24,FALSE)</f>
        <v>211.80466325734591</v>
      </c>
      <c r="K47" s="96">
        <f>VLOOKUP($B47,'[13]Div 91 forecast'!$D$309:$AF$388,25,FALSE)</f>
        <v>142.24886885672183</v>
      </c>
      <c r="L47" s="96">
        <f>VLOOKUP($B47,'[13]Div 91 forecast'!$D$309:$AF$388,26,FALSE)</f>
        <v>74.070416919476457</v>
      </c>
      <c r="M47" s="96">
        <f>VLOOKUP($B47,'[13]Div 91 forecast'!$D$309:$AF$388,27,FALSE)</f>
        <v>172.39736499956661</v>
      </c>
      <c r="N47" s="96">
        <f>VLOOKUP($B47,'[13]Div 91 forecast'!$D$309:$AF$388,28,FALSE)</f>
        <v>53.945913148998869</v>
      </c>
      <c r="O47" s="96">
        <f>VLOOKUP($B47,'[13]Div 91 forecast'!$D$309:$AF$388,29,FALSE)</f>
        <v>68.561047065961674</v>
      </c>
      <c r="P47" s="81">
        <f t="shared" ref="P47" si="3">SUM(D47:O47)</f>
        <v>1208.3884545375747</v>
      </c>
      <c r="Q47" s="81"/>
      <c r="R47" s="707"/>
    </row>
    <row r="48" spans="1:18">
      <c r="A48" s="1156">
        <f t="shared" si="1"/>
        <v>37</v>
      </c>
      <c r="B48" s="707">
        <v>9302</v>
      </c>
      <c r="C48" s="81" t="s">
        <v>857</v>
      </c>
      <c r="D48" s="96">
        <f>VLOOKUP($B48,'[13]Div 91 forecast'!$D$309:$AF$388,18,FALSE)</f>
        <v>8710.2822963478702</v>
      </c>
      <c r="E48" s="96">
        <f>VLOOKUP($B48,'[13]Div 91 forecast'!$D$309:$AF$388,19,FALSE)</f>
        <v>26021.425406671307</v>
      </c>
      <c r="F48" s="96">
        <f>VLOOKUP($B48,'[13]Div 91 forecast'!$D$309:$AF$388,20,FALSE)</f>
        <v>7267.0738654345214</v>
      </c>
      <c r="G48" s="96">
        <f>VLOOKUP($B48,'[13]Div 91 forecast'!$D$309:$AF$388,21,FALSE)</f>
        <v>11650.594974365466</v>
      </c>
      <c r="H48" s="96">
        <f>VLOOKUP($B48,'[13]Div 91 forecast'!$D$309:$AF$388,22,FALSE)</f>
        <v>18337.647952402051</v>
      </c>
      <c r="I48" s="96">
        <f>VLOOKUP($B48,'[13]Div 91 forecast'!$D$309:$AF$388,23,FALSE)</f>
        <v>12328.090385467434</v>
      </c>
      <c r="J48" s="96">
        <f>VLOOKUP($B48,'[13]Div 91 forecast'!$D$309:$AF$388,24,FALSE)</f>
        <v>7214.0641812772956</v>
      </c>
      <c r="K48" s="96">
        <f>VLOOKUP($B48,'[13]Div 91 forecast'!$D$309:$AF$388,25,FALSE)</f>
        <v>7144.4395214887018</v>
      </c>
      <c r="L48" s="96">
        <f>VLOOKUP($B48,'[13]Div 91 forecast'!$D$309:$AF$388,26,FALSE)</f>
        <v>7479.1126020634219</v>
      </c>
      <c r="M48" s="96">
        <f>VLOOKUP($B48,'[13]Div 91 forecast'!$D$309:$AF$388,27,FALSE)</f>
        <v>7161.8456864358504</v>
      </c>
      <c r="N48" s="96">
        <f>VLOOKUP($B48,'[13]Div 91 forecast'!$D$309:$AF$388,28,FALSE)</f>
        <v>8197.6390910817136</v>
      </c>
      <c r="O48" s="96">
        <f>VLOOKUP($B48,'[13]Div 91 forecast'!$D$309:$AF$388,29,FALSE)</f>
        <v>7506.0130387999243</v>
      </c>
      <c r="P48" s="81">
        <f t="shared" si="0"/>
        <v>129018.22900183556</v>
      </c>
      <c r="Q48" s="81"/>
      <c r="R48" s="707"/>
    </row>
    <row r="49" spans="1:17">
      <c r="A49" s="1156">
        <f t="shared" si="1"/>
        <v>38</v>
      </c>
      <c r="B49" s="707">
        <v>9310</v>
      </c>
      <c r="C49" s="81" t="s">
        <v>184</v>
      </c>
      <c r="D49" s="96">
        <f>VLOOKUP($B49,'[13]Div 91 forecast'!$D$309:$AF$388,18,FALSE)</f>
        <v>0</v>
      </c>
      <c r="E49" s="96">
        <f>VLOOKUP($B49,'[13]Div 91 forecast'!$D$309:$AF$388,19,FALSE)</f>
        <v>0</v>
      </c>
      <c r="F49" s="96">
        <f>VLOOKUP($B49,'[13]Div 91 forecast'!$D$309:$AF$388,20,FALSE)</f>
        <v>0</v>
      </c>
      <c r="G49" s="96">
        <f>VLOOKUP($B49,'[13]Div 91 forecast'!$D$309:$AF$388,21,FALSE)</f>
        <v>0</v>
      </c>
      <c r="H49" s="96">
        <f>VLOOKUP($B49,'[13]Div 91 forecast'!$D$309:$AF$388,22,FALSE)</f>
        <v>0</v>
      </c>
      <c r="I49" s="96">
        <f>VLOOKUP($B49,'[13]Div 91 forecast'!$D$309:$AF$388,23,FALSE)</f>
        <v>0</v>
      </c>
      <c r="J49" s="96">
        <f>VLOOKUP($B49,'[13]Div 91 forecast'!$D$309:$AF$388,24,FALSE)</f>
        <v>0</v>
      </c>
      <c r="K49" s="96">
        <f>VLOOKUP($B49,'[13]Div 91 forecast'!$D$309:$AF$388,25,FALSE)</f>
        <v>0</v>
      </c>
      <c r="L49" s="96">
        <f>VLOOKUP($B49,'[13]Div 91 forecast'!$D$309:$AF$388,26,FALSE)</f>
        <v>0</v>
      </c>
      <c r="M49" s="96">
        <f>VLOOKUP($B49,'[13]Div 91 forecast'!$D$309:$AF$388,27,FALSE)</f>
        <v>0</v>
      </c>
      <c r="N49" s="96">
        <f>VLOOKUP($B49,'[13]Div 91 forecast'!$D$309:$AF$388,28,FALSE)</f>
        <v>0</v>
      </c>
      <c r="O49" s="96">
        <f>VLOOKUP($B49,'[13]Div 91 forecast'!$D$309:$AF$388,29,FALSE)</f>
        <v>0</v>
      </c>
      <c r="P49" s="81">
        <f t="shared" si="0"/>
        <v>0</v>
      </c>
      <c r="Q49" s="81"/>
    </row>
    <row r="50" spans="1:17">
      <c r="A50" s="1156">
        <f t="shared" si="1"/>
        <v>39</v>
      </c>
      <c r="B50" s="81"/>
      <c r="C50" s="875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81"/>
      <c r="P50" s="81"/>
      <c r="Q50" s="671"/>
    </row>
    <row r="51" spans="1:17" ht="15.75" thickBot="1">
      <c r="A51" s="1156">
        <f t="shared" si="1"/>
        <v>40</v>
      </c>
      <c r="B51" s="81" t="s">
        <v>734</v>
      </c>
      <c r="C51" s="875"/>
      <c r="D51" s="899">
        <f t="shared" ref="D51:P51" si="4">SUM(D12:D50)</f>
        <v>1.5279510989785194E-10</v>
      </c>
      <c r="E51" s="899">
        <f t="shared" si="4"/>
        <v>-1.2369127944111824E-10</v>
      </c>
      <c r="F51" s="899">
        <f t="shared" si="4"/>
        <v>-9.6406438387930393E-11</v>
      </c>
      <c r="G51" s="899">
        <f t="shared" si="4"/>
        <v>-2.2009771782904863E-10</v>
      </c>
      <c r="H51" s="899">
        <f t="shared" si="4"/>
        <v>4.7293724492192268E-11</v>
      </c>
      <c r="I51" s="899">
        <f t="shared" si="4"/>
        <v>8.5492501966655254E-11</v>
      </c>
      <c r="J51" s="899">
        <f t="shared" si="4"/>
        <v>1.3824319466948509E-10</v>
      </c>
      <c r="K51" s="899">
        <f t="shared" si="4"/>
        <v>-6.3664629124104977E-11</v>
      </c>
      <c r="L51" s="899">
        <f t="shared" si="4"/>
        <v>-6.3664629124104977E-12</v>
      </c>
      <c r="M51" s="899">
        <f t="shared" si="4"/>
        <v>-1.482476363889873E-10</v>
      </c>
      <c r="N51" s="899">
        <f t="shared" si="4"/>
        <v>1.0004441719502211E-10</v>
      </c>
      <c r="O51" s="899">
        <f t="shared" si="4"/>
        <v>-9.9134922493249178E-11</v>
      </c>
      <c r="P51" s="899">
        <f t="shared" si="4"/>
        <v>5.6606950238347054E-9</v>
      </c>
      <c r="Q51" s="81"/>
    </row>
    <row r="52" spans="1:17" ht="15.75" thickTop="1">
      <c r="A52" s="1156">
        <f t="shared" si="1"/>
        <v>41</v>
      </c>
      <c r="B52" s="81"/>
      <c r="C52" s="875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>
      <c r="A53" s="1156">
        <f t="shared" si="1"/>
        <v>42</v>
      </c>
      <c r="B53" s="707">
        <f t="shared" ref="B53:O53" si="5">B42</f>
        <v>9220</v>
      </c>
      <c r="C53" s="81" t="str">
        <f t="shared" si="5"/>
        <v>A&amp;G-Administrative expense transferred-Credit</v>
      </c>
      <c r="D53" s="81">
        <f t="shared" si="5"/>
        <v>-1048918.3637999995</v>
      </c>
      <c r="E53" s="81">
        <f t="shared" si="5"/>
        <v>-1139040.5995</v>
      </c>
      <c r="F53" s="81">
        <f t="shared" si="5"/>
        <v>-946981.03720000014</v>
      </c>
      <c r="G53" s="81">
        <f t="shared" si="5"/>
        <v>-1078096.5879000004</v>
      </c>
      <c r="H53" s="81">
        <f t="shared" si="5"/>
        <v>-884992.57380000001</v>
      </c>
      <c r="I53" s="81">
        <f t="shared" si="5"/>
        <v>-975236.68479999993</v>
      </c>
      <c r="J53" s="81">
        <f t="shared" si="5"/>
        <v>-898719.62929901981</v>
      </c>
      <c r="K53" s="81">
        <f t="shared" si="5"/>
        <v>-973684.94514259754</v>
      </c>
      <c r="L53" s="81">
        <f t="shared" si="5"/>
        <v>-945343.63978579221</v>
      </c>
      <c r="M53" s="81">
        <f t="shared" si="5"/>
        <v>-1072764.0430990201</v>
      </c>
      <c r="N53" s="81">
        <f t="shared" si="5"/>
        <v>-1002031.0108589251</v>
      </c>
      <c r="O53" s="81">
        <f t="shared" si="5"/>
        <v>-1020835.0116857925</v>
      </c>
      <c r="P53" s="81">
        <f>SUM(D53:O53)</f>
        <v>-11986644.126871146</v>
      </c>
      <c r="Q53" s="81"/>
    </row>
    <row r="54" spans="1:17">
      <c r="A54" s="1156">
        <f t="shared" si="1"/>
        <v>43</v>
      </c>
      <c r="B54" s="81"/>
      <c r="C54" s="81" t="s">
        <v>195</v>
      </c>
      <c r="D54" s="906">
        <f>Allocation!$E$17</f>
        <v>0.49780000000000002</v>
      </c>
      <c r="E54" s="906">
        <f>D54</f>
        <v>0.49780000000000002</v>
      </c>
      <c r="F54" s="906">
        <f t="shared" ref="F54:O54" si="6">E54</f>
        <v>0.49780000000000002</v>
      </c>
      <c r="G54" s="906">
        <f t="shared" si="6"/>
        <v>0.49780000000000002</v>
      </c>
      <c r="H54" s="906">
        <f t="shared" si="6"/>
        <v>0.49780000000000002</v>
      </c>
      <c r="I54" s="906">
        <f t="shared" si="6"/>
        <v>0.49780000000000002</v>
      </c>
      <c r="J54" s="906">
        <f t="shared" si="6"/>
        <v>0.49780000000000002</v>
      </c>
      <c r="K54" s="906">
        <f t="shared" si="6"/>
        <v>0.49780000000000002</v>
      </c>
      <c r="L54" s="906">
        <f t="shared" si="6"/>
        <v>0.49780000000000002</v>
      </c>
      <c r="M54" s="906">
        <f t="shared" si="6"/>
        <v>0.49780000000000002</v>
      </c>
      <c r="N54" s="906">
        <f t="shared" si="6"/>
        <v>0.49780000000000002</v>
      </c>
      <c r="O54" s="906">
        <f t="shared" si="6"/>
        <v>0.49780000000000002</v>
      </c>
      <c r="P54" s="910">
        <f>P55/P53</f>
        <v>0.49780000000000008</v>
      </c>
      <c r="Q54" s="81"/>
    </row>
    <row r="55" spans="1:17">
      <c r="A55" s="1156">
        <f t="shared" si="1"/>
        <v>44</v>
      </c>
      <c r="B55" s="81"/>
      <c r="C55" s="81" t="s">
        <v>210</v>
      </c>
      <c r="D55" s="81">
        <f>D53*D54</f>
        <v>-522151.56149963976</v>
      </c>
      <c r="E55" s="81">
        <f t="shared" ref="E55:O55" si="7">E53*E54</f>
        <v>-567014.41043110006</v>
      </c>
      <c r="F55" s="81">
        <f t="shared" si="7"/>
        <v>-471407.16031816008</v>
      </c>
      <c r="G55" s="81">
        <f t="shared" si="7"/>
        <v>-536676.48145662027</v>
      </c>
      <c r="H55" s="81">
        <f t="shared" si="7"/>
        <v>-440549.30323764001</v>
      </c>
      <c r="I55" s="81">
        <f t="shared" si="7"/>
        <v>-485472.82169343997</v>
      </c>
      <c r="J55" s="81">
        <f t="shared" si="7"/>
        <v>-447382.63146505208</v>
      </c>
      <c r="K55" s="81">
        <f t="shared" si="7"/>
        <v>-484700.36569198506</v>
      </c>
      <c r="L55" s="81">
        <f t="shared" si="7"/>
        <v>-470592.06388536736</v>
      </c>
      <c r="M55" s="81">
        <f t="shared" si="7"/>
        <v>-534021.94065469224</v>
      </c>
      <c r="N55" s="81">
        <f t="shared" si="7"/>
        <v>-498811.03720557294</v>
      </c>
      <c r="O55" s="81">
        <f t="shared" si="7"/>
        <v>-508171.66881718748</v>
      </c>
      <c r="P55" s="81">
        <f>SUM(D55:O55)</f>
        <v>-5966951.4463564577</v>
      </c>
      <c r="Q55" s="81"/>
    </row>
    <row r="56" spans="1:17">
      <c r="A56" s="81"/>
      <c r="B56" s="81"/>
      <c r="C56" s="875"/>
      <c r="D56" s="650"/>
      <c r="E56" s="81"/>
      <c r="F56" s="81"/>
      <c r="G56" s="81"/>
      <c r="H56" s="81"/>
      <c r="I56" s="81"/>
      <c r="J56" s="74"/>
      <c r="K56" s="74"/>
      <c r="L56" s="74"/>
      <c r="M56" s="74"/>
      <c r="N56" s="74"/>
      <c r="O56" s="74"/>
      <c r="P56" s="74"/>
      <c r="Q56" s="81"/>
    </row>
    <row r="57" spans="1:17">
      <c r="A57" s="81"/>
      <c r="B57" s="81"/>
      <c r="C57" s="875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4"/>
      <c r="O57" s="74"/>
      <c r="P57" s="81"/>
      <c r="Q57" s="81"/>
    </row>
    <row r="58" spans="1:17">
      <c r="A58" s="81"/>
      <c r="B58" s="81" t="s">
        <v>562</v>
      </c>
      <c r="C58" s="875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4"/>
      <c r="O58" s="74"/>
      <c r="P58" s="81"/>
      <c r="Q58" s="81"/>
    </row>
    <row r="59" spans="1:17">
      <c r="A59" s="81"/>
      <c r="B59" s="81"/>
      <c r="C59" s="875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74"/>
      <c r="O59" s="74"/>
      <c r="P59" s="81"/>
      <c r="Q59" s="81"/>
    </row>
    <row r="60" spans="1:17">
      <c r="A60" s="81"/>
      <c r="B60" s="81"/>
      <c r="C60" s="17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>
      <c r="A61" s="81"/>
      <c r="B61" s="81"/>
      <c r="C61" s="81"/>
      <c r="D61" s="81">
        <f>D53</f>
        <v>-1048918.3637999995</v>
      </c>
      <c r="E61" s="81">
        <f t="shared" ref="E61:O61" si="8">E53</f>
        <v>-1139040.5995</v>
      </c>
      <c r="F61" s="81">
        <f t="shared" si="8"/>
        <v>-946981.03720000014</v>
      </c>
      <c r="G61" s="81">
        <f t="shared" si="8"/>
        <v>-1078096.5879000004</v>
      </c>
      <c r="H61" s="81">
        <f t="shared" si="8"/>
        <v>-884992.57380000001</v>
      </c>
      <c r="I61" s="81">
        <f t="shared" si="8"/>
        <v>-975236.68479999993</v>
      </c>
      <c r="J61" s="81">
        <f t="shared" si="8"/>
        <v>-898719.62929901981</v>
      </c>
      <c r="K61" s="81">
        <f t="shared" si="8"/>
        <v>-973684.94514259754</v>
      </c>
      <c r="L61" s="81">
        <f t="shared" si="8"/>
        <v>-945343.63978579221</v>
      </c>
      <c r="M61" s="81">
        <f t="shared" si="8"/>
        <v>-1072764.0430990201</v>
      </c>
      <c r="N61" s="81">
        <f t="shared" si="8"/>
        <v>-1002031.0108589251</v>
      </c>
      <c r="O61" s="81">
        <f t="shared" si="8"/>
        <v>-1020835.0116857925</v>
      </c>
      <c r="P61" s="81"/>
      <c r="Q61" s="81"/>
    </row>
    <row r="62" spans="1:17">
      <c r="A62" s="81"/>
      <c r="B62" s="81"/>
      <c r="C62" s="81"/>
      <c r="D62" s="81">
        <f>'[13]Div 91 forecast'!U297</f>
        <v>1048918.3637999999</v>
      </c>
      <c r="E62" s="81">
        <f>'[13]Div 91 forecast'!V297</f>
        <v>1139040.5995</v>
      </c>
      <c r="F62" s="81">
        <f>'[13]Div 91 forecast'!W297</f>
        <v>946981.03720000002</v>
      </c>
      <c r="G62" s="81">
        <f>'[13]Div 91 forecast'!X297</f>
        <v>1078096.5878999999</v>
      </c>
      <c r="H62" s="81">
        <f>'[13]Div 91 forecast'!Y297</f>
        <v>884992.5737999999</v>
      </c>
      <c r="I62" s="81">
        <f>'[13]Div 91 forecast'!Z297</f>
        <v>975236.68480000005</v>
      </c>
      <c r="J62" s="81">
        <f>'[13]Div 91 forecast'!AA297</f>
        <v>898719.62929901993</v>
      </c>
      <c r="K62" s="81">
        <f>'[13]Div 91 forecast'!AB297</f>
        <v>973684.94514259743</v>
      </c>
      <c r="L62" s="81">
        <f>'[13]Div 91 forecast'!AC297</f>
        <v>945343.63978579221</v>
      </c>
      <c r="M62" s="81">
        <f>'[13]Div 91 forecast'!AD297</f>
        <v>1072764.0430990199</v>
      </c>
      <c r="N62" s="81">
        <f>'[13]Div 91 forecast'!AE297</f>
        <v>1002031.0108589253</v>
      </c>
      <c r="O62" s="81">
        <f>'[13]Div 91 forecast'!AF297</f>
        <v>1020835.0116857922</v>
      </c>
      <c r="P62" s="81"/>
      <c r="Q62" s="81"/>
    </row>
    <row r="63" spans="1:17">
      <c r="A63" s="81"/>
      <c r="B63" s="81" t="s">
        <v>953</v>
      </c>
      <c r="C63" s="81"/>
      <c r="D63" s="81">
        <f>D61+D62</f>
        <v>0</v>
      </c>
      <c r="E63" s="81">
        <f t="shared" ref="E63:O63" si="9">E61+E62</f>
        <v>0</v>
      </c>
      <c r="F63" s="81">
        <f t="shared" si="9"/>
        <v>0</v>
      </c>
      <c r="G63" s="81">
        <f t="shared" si="9"/>
        <v>0</v>
      </c>
      <c r="H63" s="81">
        <f t="shared" si="9"/>
        <v>0</v>
      </c>
      <c r="I63" s="81">
        <f t="shared" si="9"/>
        <v>0</v>
      </c>
      <c r="J63" s="81">
        <f t="shared" si="9"/>
        <v>0</v>
      </c>
      <c r="K63" s="81">
        <f t="shared" si="9"/>
        <v>0</v>
      </c>
      <c r="L63" s="81">
        <f t="shared" si="9"/>
        <v>0</v>
      </c>
      <c r="M63" s="81">
        <f t="shared" si="9"/>
        <v>0</v>
      </c>
      <c r="N63" s="81">
        <f t="shared" si="9"/>
        <v>0</v>
      </c>
      <c r="O63" s="81">
        <f t="shared" si="9"/>
        <v>0</v>
      </c>
      <c r="P63" s="81"/>
      <c r="Q63" s="81"/>
    </row>
    <row r="64" spans="1:17">
      <c r="A64" s="81"/>
      <c r="B64" s="81" t="s">
        <v>1624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88"/>
      <c r="P64" s="81"/>
      <c r="Q64" s="81"/>
    </row>
    <row r="65" spans="1:17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170"/>
      <c r="P65" s="81"/>
      <c r="Q65" s="81"/>
    </row>
    <row r="66" spans="1:17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170"/>
      <c r="P66" s="81"/>
      <c r="Q66" s="81"/>
    </row>
    <row r="67" spans="1:17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>
      <c r="A68" s="81"/>
      <c r="Q68" s="81"/>
    </row>
    <row r="69" spans="1:17">
      <c r="A69" s="81"/>
      <c r="Q69" s="81"/>
    </row>
    <row r="70" spans="1:17">
      <c r="Q70" s="81"/>
    </row>
    <row r="71" spans="1:17">
      <c r="Q71" s="81"/>
    </row>
    <row r="72" spans="1:17">
      <c r="Q72" s="81"/>
    </row>
    <row r="73" spans="1:17">
      <c r="Q73" s="81"/>
    </row>
    <row r="74" spans="1:17">
      <c r="Q74" s="81"/>
    </row>
    <row r="75" spans="1:17">
      <c r="Q75" s="81"/>
    </row>
    <row r="76" spans="1:17">
      <c r="Q76" s="8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84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sqref="A1:O1"/>
    </sheetView>
  </sheetViews>
  <sheetFormatPr defaultRowHeight="15"/>
  <cols>
    <col min="1" max="1" width="4.6640625" style="195" customWidth="1"/>
    <col min="2" max="2" width="40.6640625" style="195" customWidth="1"/>
    <col min="3" max="3" width="9.5546875" style="195" bestFit="1" customWidth="1"/>
    <col min="4" max="4" width="10.6640625" style="195" customWidth="1"/>
    <col min="5" max="5" width="11.33203125" style="195" customWidth="1"/>
    <col min="6" max="6" width="12.33203125" style="195" customWidth="1"/>
    <col min="7" max="7" width="10.88671875" style="195" customWidth="1"/>
    <col min="8" max="8" width="11.77734375" style="195" customWidth="1"/>
    <col min="9" max="10" width="10.88671875" style="195" customWidth="1"/>
    <col min="11" max="11" width="10.33203125" style="195" customWidth="1"/>
    <col min="12" max="12" width="11.109375" style="195" customWidth="1"/>
    <col min="13" max="13" width="12.33203125" style="195" customWidth="1"/>
    <col min="14" max="14" width="12.6640625" style="195" customWidth="1"/>
    <col min="15" max="15" width="13.77734375" style="195" customWidth="1"/>
    <col min="16" max="16" width="9.77734375" style="195" bestFit="1" customWidth="1"/>
    <col min="17" max="17" width="11.44140625" style="195" bestFit="1" customWidth="1"/>
    <col min="18" max="16384" width="8.88671875" style="195"/>
  </cols>
  <sheetData>
    <row r="1" spans="1:19" s="81" customFormat="1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</row>
    <row r="2" spans="1:19" s="81" customFormat="1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</row>
    <row r="3" spans="1:19" s="81" customFormat="1">
      <c r="A3" s="1210" t="s">
        <v>192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</row>
    <row r="4" spans="1:19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81"/>
      <c r="Q4" s="691"/>
    </row>
    <row r="5" spans="1:19">
      <c r="A5" s="81"/>
      <c r="B5" s="150"/>
      <c r="C5" s="150"/>
      <c r="D5" s="150"/>
      <c r="E5" s="150"/>
      <c r="F5" s="870"/>
      <c r="G5" s="201"/>
      <c r="H5" s="201"/>
      <c r="I5" s="201"/>
      <c r="J5" s="671"/>
      <c r="K5" s="691"/>
      <c r="Q5" s="796"/>
    </row>
    <row r="6" spans="1:19">
      <c r="A6" s="233" t="str">
        <f>'C.2.1 B'!A6</f>
        <v>Data:___X____Base Period________Forecasted Period</v>
      </c>
      <c r="I6" s="201"/>
      <c r="M6" s="230"/>
      <c r="O6" s="506" t="s">
        <v>1431</v>
      </c>
      <c r="P6" s="81"/>
    </row>
    <row r="7" spans="1:19">
      <c r="A7" s="233" t="str">
        <f>'C.2.1 B'!A7</f>
        <v>Type of Filing:___X____Original________Updated ________Revised</v>
      </c>
      <c r="E7" s="671"/>
      <c r="I7" s="201"/>
      <c r="J7" s="671"/>
      <c r="M7" s="230"/>
      <c r="N7" s="834"/>
      <c r="O7" s="507" t="s">
        <v>713</v>
      </c>
    </row>
    <row r="8" spans="1:19">
      <c r="A8" s="313" t="str">
        <f>'C.2.1 B'!A8</f>
        <v>Workpaper Reference No(s).____________________</v>
      </c>
      <c r="B8" s="237"/>
      <c r="C8" s="236"/>
      <c r="D8" s="236"/>
      <c r="E8" s="236"/>
      <c r="F8" s="236"/>
      <c r="G8" s="236"/>
      <c r="H8" s="236"/>
      <c r="I8" s="201"/>
      <c r="J8" s="236"/>
      <c r="K8" s="237"/>
      <c r="L8" s="237"/>
      <c r="M8" s="237"/>
      <c r="N8" s="203"/>
      <c r="O8" s="508" t="s">
        <v>1347</v>
      </c>
    </row>
    <row r="9" spans="1:19">
      <c r="A9" s="314" t="s">
        <v>93</v>
      </c>
      <c r="C9" s="295" t="str">
        <f>'C.2.2 B 09'!D9</f>
        <v>actual</v>
      </c>
      <c r="D9" s="295" t="str">
        <f>'C.2.2 B 09'!E9</f>
        <v>actual</v>
      </c>
      <c r="E9" s="295" t="str">
        <f>'C.2.2 B 09'!F9</f>
        <v>actual</v>
      </c>
      <c r="F9" s="295" t="str">
        <f>'C.2.2 B 09'!G9</f>
        <v>actual</v>
      </c>
      <c r="G9" s="295" t="str">
        <f>'C.2.2 B 09'!H9</f>
        <v>actual</v>
      </c>
      <c r="H9" s="295" t="str">
        <f>'C.2.2 B 09'!I9</f>
        <v>actual</v>
      </c>
      <c r="I9" s="835" t="str">
        <f>'C.2.2 B 09'!J9</f>
        <v>Forecasted</v>
      </c>
      <c r="J9" s="295" t="str">
        <f>'C.2.2 B 09'!K9</f>
        <v>Forecasted</v>
      </c>
      <c r="K9" s="295" t="str">
        <f>'C.2.2 B 09'!L9</f>
        <v>Forecasted</v>
      </c>
      <c r="L9" s="295" t="str">
        <f>'C.2.2 B 09'!M9</f>
        <v>Budgeted</v>
      </c>
      <c r="M9" s="295" t="str">
        <f>'C.2.2 B 09'!N9</f>
        <v>Budgeted</v>
      </c>
      <c r="N9" s="295" t="str">
        <f>'C.2.2 B 09'!O9</f>
        <v>Budgeted</v>
      </c>
      <c r="O9" s="874"/>
    </row>
    <row r="10" spans="1:19">
      <c r="A10" s="315" t="s">
        <v>99</v>
      </c>
      <c r="B10" s="203" t="s">
        <v>191</v>
      </c>
      <c r="C10" s="207">
        <f>'C.2.2 B 09'!D10</f>
        <v>43101</v>
      </c>
      <c r="D10" s="207">
        <f>'C.2.2 B 09'!E10</f>
        <v>43132</v>
      </c>
      <c r="E10" s="207">
        <f>'C.2.2 B 09'!F10</f>
        <v>43160</v>
      </c>
      <c r="F10" s="207">
        <f>'C.2.2 B 09'!G10</f>
        <v>43191</v>
      </c>
      <c r="G10" s="207">
        <f>'C.2.2 B 09'!H10</f>
        <v>43221</v>
      </c>
      <c r="H10" s="207">
        <f>'C.2.2 B 09'!I10</f>
        <v>43252</v>
      </c>
      <c r="I10" s="207">
        <f>'C.2.2 B 09'!J10</f>
        <v>43282</v>
      </c>
      <c r="J10" s="207">
        <f>'C.2.2 B 09'!K10</f>
        <v>43313</v>
      </c>
      <c r="K10" s="207">
        <f>'C.2.2 B 09'!L10</f>
        <v>43344</v>
      </c>
      <c r="L10" s="207">
        <f>'C.2.2 B 09'!M10</f>
        <v>43374</v>
      </c>
      <c r="M10" s="207">
        <f>'C.2.2 B 09'!N10</f>
        <v>43405</v>
      </c>
      <c r="N10" s="207">
        <f>'C.2.2 B 09'!O10</f>
        <v>43435</v>
      </c>
      <c r="O10" s="207" t="str">
        <f>'C.2.2 B 09'!P10</f>
        <v>Total</v>
      </c>
      <c r="P10" s="880"/>
    </row>
    <row r="11" spans="1:19" ht="15.75">
      <c r="B11" s="297" t="s">
        <v>193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1:19">
      <c r="A12" s="461">
        <v>1</v>
      </c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2"/>
      <c r="Q12" s="691"/>
      <c r="R12" s="671"/>
    </row>
    <row r="13" spans="1:19">
      <c r="A13" s="461">
        <f>A12+1</f>
        <v>2</v>
      </c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P13" s="912"/>
    </row>
    <row r="14" spans="1:19">
      <c r="A14" s="461">
        <f t="shared" ref="A14:A67" si="0">A13+1</f>
        <v>3</v>
      </c>
      <c r="B14" s="195" t="s">
        <v>1718</v>
      </c>
      <c r="C14" s="911">
        <f>[16]summary!C35+[16]summary!C36+[16]summary!C37</f>
        <v>43714.54</v>
      </c>
      <c r="D14" s="911">
        <f>[16]summary!D35+[16]summary!D36+[16]summary!D37</f>
        <v>22050.870000000003</v>
      </c>
      <c r="E14" s="911">
        <f>[16]summary!E35+[16]summary!E36+[16]summary!E37</f>
        <v>44848.97</v>
      </c>
      <c r="F14" s="911">
        <f>[16]summary!F35+[16]summary!F36+[16]summary!F37</f>
        <v>19471.760000000002</v>
      </c>
      <c r="G14" s="911">
        <f>[16]summary!G35+[16]summary!G36+[16]summary!G37</f>
        <v>23062.050000000003</v>
      </c>
      <c r="H14" s="911">
        <f>[16]summary!H35+[16]summary!H36+[16]summary!H37</f>
        <v>24166.939999999995</v>
      </c>
      <c r="I14" s="911">
        <f>'[16]2018 PlanIt Budget'!N35</f>
        <v>25815</v>
      </c>
      <c r="J14" s="911">
        <f>'[16]2018 PlanIt Budget'!O35</f>
        <v>16772</v>
      </c>
      <c r="K14" s="911">
        <f>'[16]2018 PlanIt Budget'!P35</f>
        <v>47927</v>
      </c>
      <c r="L14" s="911">
        <f>'[16]2019 PlanIt Budget'!D35</f>
        <v>17707.460000000003</v>
      </c>
      <c r="M14" s="911">
        <f>'[16]2019 PlanIt Budget'!E35</f>
        <v>62409.38</v>
      </c>
      <c r="N14" s="911">
        <f>'[16]2019 PlanIt Budget'!F35</f>
        <v>10269.339999999995</v>
      </c>
      <c r="O14" s="911">
        <f t="shared" ref="O14:O22" si="1">SUM(C14:N14)</f>
        <v>358215.31</v>
      </c>
      <c r="P14" s="912"/>
    </row>
    <row r="15" spans="1:19">
      <c r="A15" s="461">
        <f t="shared" si="0"/>
        <v>4</v>
      </c>
      <c r="B15" s="81" t="s">
        <v>1223</v>
      </c>
      <c r="C15" s="911">
        <f>[16]summary!C38</f>
        <v>0</v>
      </c>
      <c r="D15" s="911">
        <f>[16]summary!D38</f>
        <v>0</v>
      </c>
      <c r="E15" s="911">
        <f>[16]summary!E38</f>
        <v>0</v>
      </c>
      <c r="F15" s="911">
        <f>[16]summary!F38</f>
        <v>0</v>
      </c>
      <c r="G15" s="911">
        <f>[16]summary!G38</f>
        <v>0</v>
      </c>
      <c r="H15" s="911">
        <f>[16]summary!H38</f>
        <v>0</v>
      </c>
      <c r="I15" s="911">
        <f>[16]summary!I38</f>
        <v>0</v>
      </c>
      <c r="J15" s="911">
        <f>[16]summary!J38</f>
        <v>0</v>
      </c>
      <c r="K15" s="911">
        <f>[16]summary!K38</f>
        <v>0</v>
      </c>
      <c r="L15" s="911">
        <f>[16]summary!L38</f>
        <v>0</v>
      </c>
      <c r="M15" s="911">
        <f>[16]summary!M38</f>
        <v>0</v>
      </c>
      <c r="N15" s="911">
        <f>[16]summary!N38</f>
        <v>0</v>
      </c>
      <c r="O15" s="195">
        <f t="shared" si="1"/>
        <v>0</v>
      </c>
      <c r="P15" s="912"/>
    </row>
    <row r="16" spans="1:19">
      <c r="A16" s="461">
        <f t="shared" si="0"/>
        <v>5</v>
      </c>
      <c r="B16" s="195" t="s">
        <v>109</v>
      </c>
      <c r="C16" s="911">
        <f>[16]summary!C39</f>
        <v>418588</v>
      </c>
      <c r="D16" s="911">
        <f>[16]summary!D39</f>
        <v>418588</v>
      </c>
      <c r="E16" s="911">
        <f>[16]summary!E39</f>
        <v>418588</v>
      </c>
      <c r="F16" s="911">
        <f>[16]summary!F39</f>
        <v>418588</v>
      </c>
      <c r="G16" s="911">
        <f>[16]summary!G39</f>
        <v>418588</v>
      </c>
      <c r="H16" s="911">
        <f>[16]summary!H39</f>
        <v>418588</v>
      </c>
      <c r="I16" s="911">
        <f>[16]summary!I39</f>
        <v>410845</v>
      </c>
      <c r="J16" s="911">
        <f>[16]summary!J39</f>
        <v>410845</v>
      </c>
      <c r="K16" s="911">
        <f>[16]summary!K39</f>
        <v>410841</v>
      </c>
      <c r="L16" s="911">
        <f>'[17]FY 2019 Budget'!$D$15</f>
        <v>485000</v>
      </c>
      <c r="M16" s="911">
        <f>'[17]FY 2019 Budget'!$D$15</f>
        <v>485000</v>
      </c>
      <c r="N16" s="911">
        <f>'[17]FY 2019 Budget'!$D$15</f>
        <v>485000</v>
      </c>
      <c r="O16" s="195">
        <f t="shared" si="1"/>
        <v>5199059</v>
      </c>
      <c r="P16" s="912"/>
      <c r="R16" s="913"/>
      <c r="S16" s="913"/>
    </row>
    <row r="17" spans="1:18">
      <c r="A17" s="461">
        <f t="shared" si="0"/>
        <v>6</v>
      </c>
      <c r="B17" s="195" t="s">
        <v>1354</v>
      </c>
      <c r="C17" s="911">
        <f>[16]summary!C40</f>
        <v>0</v>
      </c>
      <c r="D17" s="911">
        <f>[16]summary!D40</f>
        <v>0</v>
      </c>
      <c r="E17" s="911">
        <f>[16]summary!E40</f>
        <v>0</v>
      </c>
      <c r="F17" s="911">
        <f>[16]summary!F40</f>
        <v>0</v>
      </c>
      <c r="G17" s="911">
        <f>[16]summary!G40</f>
        <v>137061.62</v>
      </c>
      <c r="H17" s="911">
        <f>[16]summary!H40</f>
        <v>0</v>
      </c>
      <c r="I17" s="911">
        <f>[16]summary!I40</f>
        <v>0</v>
      </c>
      <c r="J17" s="911">
        <f>[16]summary!J40</f>
        <v>0</v>
      </c>
      <c r="K17" s="911">
        <f>[16]summary!K40</f>
        <v>0</v>
      </c>
      <c r="L17" s="911">
        <f>[16]summary!L40</f>
        <v>0</v>
      </c>
      <c r="M17" s="911">
        <f>[16]summary!M40</f>
        <v>0</v>
      </c>
      <c r="N17" s="911">
        <f>[16]summary!N40</f>
        <v>0</v>
      </c>
      <c r="O17" s="195">
        <f t="shared" si="1"/>
        <v>137061.62</v>
      </c>
      <c r="P17" s="912"/>
    </row>
    <row r="18" spans="1:18">
      <c r="A18" s="461">
        <f t="shared" si="0"/>
        <v>7</v>
      </c>
      <c r="B18" s="195" t="s">
        <v>108</v>
      </c>
      <c r="C18" s="911">
        <f>[16]summary!C41</f>
        <v>22304.63</v>
      </c>
      <c r="D18" s="911">
        <f>[16]summary!D41</f>
        <v>0</v>
      </c>
      <c r="E18" s="911">
        <f>[16]summary!E41</f>
        <v>2868.8900000000003</v>
      </c>
      <c r="F18" s="911">
        <f>[16]summary!F41</f>
        <v>45644.119999999995</v>
      </c>
      <c r="G18" s="911">
        <f>[16]summary!G41</f>
        <v>42.9</v>
      </c>
      <c r="H18" s="911">
        <f>[16]summary!H41</f>
        <v>0</v>
      </c>
      <c r="I18" s="911">
        <f>[16]summary!I41</f>
        <v>15032</v>
      </c>
      <c r="J18" s="911">
        <f>[16]summary!J41</f>
        <v>191</v>
      </c>
      <c r="K18" s="911">
        <f>[16]summary!K41</f>
        <v>47280</v>
      </c>
      <c r="L18" s="911">
        <f>[16]summary!L41</f>
        <v>11109.77</v>
      </c>
      <c r="M18" s="911">
        <f>[16]summary!M41</f>
        <v>66</v>
      </c>
      <c r="N18" s="911">
        <f>[16]summary!N41</f>
        <v>338</v>
      </c>
      <c r="O18" s="195">
        <f t="shared" si="1"/>
        <v>144877.30999999997</v>
      </c>
      <c r="P18" s="912"/>
    </row>
    <row r="19" spans="1:18" ht="17.25" customHeight="1">
      <c r="A19" s="461">
        <f t="shared" si="0"/>
        <v>8</v>
      </c>
      <c r="B19" s="195" t="s">
        <v>290</v>
      </c>
      <c r="C19" s="911">
        <f>[16]summary!C42</f>
        <v>24522.720000000001</v>
      </c>
      <c r="D19" s="911">
        <f>[16]summary!D42</f>
        <v>24522.720000000001</v>
      </c>
      <c r="E19" s="911">
        <f>[16]summary!E42</f>
        <v>24522.720000000001</v>
      </c>
      <c r="F19" s="911">
        <f>[16]summary!F42</f>
        <v>24522.720000000001</v>
      </c>
      <c r="G19" s="911">
        <f>[16]summary!G42</f>
        <v>24522.720000000001</v>
      </c>
      <c r="H19" s="911">
        <f>[16]summary!H42</f>
        <v>24522.76</v>
      </c>
      <c r="I19" s="911">
        <f>[16]summary!I42</f>
        <v>26088</v>
      </c>
      <c r="J19" s="911">
        <f>[16]summary!J42</f>
        <v>26088</v>
      </c>
      <c r="K19" s="911">
        <f>[16]summary!K42</f>
        <v>26088</v>
      </c>
      <c r="L19" s="911">
        <f>[16]summary!L42</f>
        <v>27296</v>
      </c>
      <c r="M19" s="911">
        <f>[16]summary!M42</f>
        <v>27296</v>
      </c>
      <c r="N19" s="911">
        <f>[16]summary!N42</f>
        <v>27296</v>
      </c>
      <c r="O19" s="195">
        <f t="shared" si="1"/>
        <v>307288.36</v>
      </c>
      <c r="P19" s="912"/>
    </row>
    <row r="20" spans="1:18">
      <c r="A20" s="461">
        <f t="shared" si="0"/>
        <v>9</v>
      </c>
      <c r="B20" s="195" t="s">
        <v>42</v>
      </c>
      <c r="C20" s="911">
        <f>[16]summary!C43</f>
        <v>16726.78</v>
      </c>
      <c r="D20" s="911">
        <f>[16]summary!D43</f>
        <v>11571.12</v>
      </c>
      <c r="E20" s="911">
        <f>[16]summary!E43</f>
        <v>13827.51</v>
      </c>
      <c r="F20" s="911">
        <f>[16]summary!F43</f>
        <v>12398.48</v>
      </c>
      <c r="G20" s="911">
        <f>[16]summary!G43</f>
        <v>15151.86</v>
      </c>
      <c r="H20" s="911">
        <f>[16]summary!H43</f>
        <v>11197.18</v>
      </c>
      <c r="I20" s="430">
        <f t="shared" ref="I20:K20" si="2">I52</f>
        <v>15400.073784014967</v>
      </c>
      <c r="J20" s="430">
        <f t="shared" si="2"/>
        <v>15400.073784014967</v>
      </c>
      <c r="K20" s="430">
        <f t="shared" si="2"/>
        <v>15400.073784014967</v>
      </c>
      <c r="L20" s="430">
        <f t="shared" ref="L20:N20" si="3">L52</f>
        <v>15511.59004566883</v>
      </c>
      <c r="M20" s="430">
        <f t="shared" si="3"/>
        <v>15511.59004566883</v>
      </c>
      <c r="N20" s="430">
        <f t="shared" si="3"/>
        <v>15511.59004566883</v>
      </c>
      <c r="O20" s="195">
        <f t="shared" si="1"/>
        <v>173607.92148905137</v>
      </c>
      <c r="P20" s="671"/>
      <c r="Q20" s="671"/>
      <c r="R20" s="691"/>
    </row>
    <row r="21" spans="1:18" ht="15.75">
      <c r="A21" s="461">
        <f t="shared" si="0"/>
        <v>10</v>
      </c>
      <c r="B21" s="195" t="s">
        <v>1001</v>
      </c>
      <c r="C21" s="911">
        <f>[16]summary!C44</f>
        <v>21550.87</v>
      </c>
      <c r="D21" s="911">
        <f>[16]summary!D44</f>
        <v>15312.85</v>
      </c>
      <c r="E21" s="911">
        <f>[16]summary!E44</f>
        <v>15558.85</v>
      </c>
      <c r="F21" s="911">
        <f>[16]summary!F44</f>
        <v>16300.88</v>
      </c>
      <c r="G21" s="911">
        <f>[16]summary!G44</f>
        <v>20184.490000000002</v>
      </c>
      <c r="H21" s="911">
        <f>[16]summary!H44</f>
        <v>-41809.89</v>
      </c>
      <c r="I21" s="430">
        <f t="shared" ref="I21:K21" si="4">I39</f>
        <v>22152.171683200002</v>
      </c>
      <c r="J21" s="430">
        <f t="shared" si="4"/>
        <v>22152.171683200002</v>
      </c>
      <c r="K21" s="430">
        <f t="shared" si="4"/>
        <v>22152.171683200002</v>
      </c>
      <c r="L21" s="430">
        <f t="shared" ref="L21:N21" si="5">L39</f>
        <v>23138.257729600002</v>
      </c>
      <c r="M21" s="430">
        <f t="shared" si="5"/>
        <v>23138.257729600002</v>
      </c>
      <c r="N21" s="430">
        <f t="shared" si="5"/>
        <v>23138.257729600002</v>
      </c>
      <c r="O21" s="195">
        <f t="shared" si="1"/>
        <v>182969.33823840003</v>
      </c>
      <c r="P21" s="671"/>
      <c r="Q21" s="671"/>
      <c r="R21" s="902"/>
    </row>
    <row r="22" spans="1:18">
      <c r="A22" s="461">
        <f t="shared" si="0"/>
        <v>11</v>
      </c>
      <c r="B22" s="195" t="s">
        <v>1224</v>
      </c>
      <c r="C22" s="911">
        <f>[16]summary!C45</f>
        <v>18808.73</v>
      </c>
      <c r="D22" s="911">
        <f>[16]summary!D45</f>
        <v>-179541.32</v>
      </c>
      <c r="E22" s="911">
        <f>[16]summary!E45</f>
        <v>7557.2</v>
      </c>
      <c r="F22" s="911">
        <f>[16]summary!F45</f>
        <v>16024.58</v>
      </c>
      <c r="G22" s="911">
        <f>[16]summary!G45</f>
        <v>18266.22</v>
      </c>
      <c r="H22" s="911">
        <f>[16]summary!H45</f>
        <v>15728.75</v>
      </c>
      <c r="I22" s="430">
        <f t="shared" ref="I22:K22" si="6">I67</f>
        <v>6203.0857999999998</v>
      </c>
      <c r="J22" s="430">
        <f t="shared" si="6"/>
        <v>4651.4432000000006</v>
      </c>
      <c r="K22" s="430">
        <f t="shared" si="6"/>
        <v>12071.1522</v>
      </c>
      <c r="L22" s="430">
        <f t="shared" ref="L22:N22" si="7">L67</f>
        <v>18155.433052</v>
      </c>
      <c r="M22" s="430">
        <f t="shared" si="7"/>
        <v>36895.034403999998</v>
      </c>
      <c r="N22" s="430">
        <f t="shared" si="7"/>
        <v>13674.426616000001</v>
      </c>
      <c r="O22" s="195">
        <f t="shared" si="1"/>
        <v>-11505.264728000006</v>
      </c>
      <c r="P22" s="671"/>
      <c r="Q22" s="671"/>
      <c r="R22" s="691"/>
    </row>
    <row r="23" spans="1:18">
      <c r="A23" s="461">
        <f t="shared" si="0"/>
        <v>12</v>
      </c>
    </row>
    <row r="24" spans="1:18">
      <c r="A24" s="461">
        <f t="shared" si="0"/>
        <v>13</v>
      </c>
      <c r="B24" s="195" t="s">
        <v>96</v>
      </c>
      <c r="C24" s="545">
        <f t="shared" ref="C24:H24" si="8">SUM(C12:C22)</f>
        <v>566216.27</v>
      </c>
      <c r="D24" s="545">
        <f t="shared" si="8"/>
        <v>312504.23999999993</v>
      </c>
      <c r="E24" s="545">
        <f t="shared" si="8"/>
        <v>527772.1399999999</v>
      </c>
      <c r="F24" s="545">
        <f t="shared" si="8"/>
        <v>552950.53999999992</v>
      </c>
      <c r="G24" s="545">
        <f t="shared" si="8"/>
        <v>656879.85999999987</v>
      </c>
      <c r="H24" s="545">
        <f t="shared" si="8"/>
        <v>452393.74</v>
      </c>
      <c r="I24" s="545">
        <f t="shared" ref="I24:N24" si="9">SUM(I12:I23)</f>
        <v>521535.33126721496</v>
      </c>
      <c r="J24" s="545">
        <f t="shared" si="9"/>
        <v>496099.68866721494</v>
      </c>
      <c r="K24" s="545">
        <f t="shared" si="9"/>
        <v>581759.39766721497</v>
      </c>
      <c r="L24" s="545">
        <f t="shared" si="9"/>
        <v>597918.51082726882</v>
      </c>
      <c r="M24" s="545">
        <f t="shared" si="9"/>
        <v>650316.26217926887</v>
      </c>
      <c r="N24" s="545">
        <f t="shared" si="9"/>
        <v>575227.61439126881</v>
      </c>
      <c r="O24" s="545">
        <f>SUM(C24:N24)</f>
        <v>6491573.5949994512</v>
      </c>
      <c r="P24" s="671"/>
    </row>
    <row r="25" spans="1:18">
      <c r="A25" s="461">
        <f t="shared" si="0"/>
        <v>14</v>
      </c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230"/>
    </row>
    <row r="26" spans="1:18" ht="15.75">
      <c r="A26" s="461">
        <f t="shared" si="0"/>
        <v>15</v>
      </c>
      <c r="B26" s="297" t="s">
        <v>76</v>
      </c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P26" s="691"/>
    </row>
    <row r="27" spans="1:18">
      <c r="A27" s="461">
        <f t="shared" si="0"/>
        <v>16</v>
      </c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Q27" s="691"/>
    </row>
    <row r="28" spans="1:18">
      <c r="A28" s="461">
        <f t="shared" si="0"/>
        <v>17</v>
      </c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</row>
    <row r="29" spans="1:18">
      <c r="A29" s="461">
        <f t="shared" si="0"/>
        <v>18</v>
      </c>
      <c r="B29" s="195" t="s">
        <v>1718</v>
      </c>
      <c r="C29" s="911">
        <f>[16]summary!C5+[16]summary!C6+[16]summary!C7</f>
        <v>346571.42</v>
      </c>
      <c r="D29" s="911">
        <f>[16]summary!D5+[16]summary!D6+[16]summary!D7</f>
        <v>226079.32</v>
      </c>
      <c r="E29" s="911">
        <f>[16]summary!E5+[16]summary!E6+[16]summary!E7</f>
        <v>217301.77999999997</v>
      </c>
      <c r="F29" s="911">
        <f>[16]summary!F5+[16]summary!F6+[16]summary!F7</f>
        <v>244421.21999999997</v>
      </c>
      <c r="G29" s="911">
        <f>[16]summary!G5+[16]summary!G6+[16]summary!G7</f>
        <v>335872.86</v>
      </c>
      <c r="H29" s="911">
        <f>[16]summary!H5+[16]summary!H6+[16]summary!H7</f>
        <v>218311.18</v>
      </c>
      <c r="I29" s="911">
        <f>[16]summary!I5+[16]summary!I6+[16]summary!I7</f>
        <v>338716.3318998469</v>
      </c>
      <c r="J29" s="911">
        <f>[16]summary!J5+[16]summary!J6+[16]summary!J7</f>
        <v>338716.3318998469</v>
      </c>
      <c r="K29" s="911">
        <f>[16]summary!K5+[16]summary!K6+[16]summary!K7</f>
        <v>338716.3318998469</v>
      </c>
      <c r="L29" s="911">
        <f>[16]summary!L5+[16]summary!L6+[16]summary!L7</f>
        <v>353794.0160813728</v>
      </c>
      <c r="M29" s="911">
        <f>[16]summary!M5+[16]summary!M6+[16]summary!M7</f>
        <v>353794.0160813728</v>
      </c>
      <c r="N29" s="911">
        <f>[16]summary!N5+[16]summary!N6+[16]summary!N7</f>
        <v>353794.0160813728</v>
      </c>
      <c r="O29" s="195">
        <f t="shared" ref="O29:O34" si="10">SUM(C29:N29)</f>
        <v>3666088.8239436592</v>
      </c>
    </row>
    <row r="30" spans="1:18">
      <c r="A30" s="461">
        <f t="shared" si="0"/>
        <v>19</v>
      </c>
      <c r="B30" s="195" t="s">
        <v>289</v>
      </c>
      <c r="C30" s="911">
        <f>[16]summary!C8</f>
        <v>69700</v>
      </c>
      <c r="D30" s="911">
        <f>[16]summary!D8</f>
        <v>69700</v>
      </c>
      <c r="E30" s="911">
        <f>[16]summary!E8</f>
        <v>69700</v>
      </c>
      <c r="F30" s="911">
        <f>[16]summary!F8</f>
        <v>69700</v>
      </c>
      <c r="G30" s="911">
        <f>[16]summary!G8</f>
        <v>69700</v>
      </c>
      <c r="H30" s="911">
        <f>[16]summary!H8</f>
        <v>69700</v>
      </c>
      <c r="I30" s="911">
        <f>[16]summary!I8</f>
        <v>89169.668100153067</v>
      </c>
      <c r="J30" s="911">
        <f>[16]summary!J8</f>
        <v>89169.668100153067</v>
      </c>
      <c r="K30" s="911">
        <f>[16]summary!K8</f>
        <v>89169.668100153067</v>
      </c>
      <c r="L30" s="911">
        <f>[16]summary!L8</f>
        <v>93138.983918627186</v>
      </c>
      <c r="M30" s="911">
        <f>[16]summary!M8</f>
        <v>93138.983918627186</v>
      </c>
      <c r="N30" s="911">
        <f>[16]summary!N8</f>
        <v>93138.983918627186</v>
      </c>
      <c r="O30" s="195">
        <f t="shared" si="10"/>
        <v>965125.95605634071</v>
      </c>
      <c r="P30" s="671"/>
    </row>
    <row r="31" spans="1:18">
      <c r="A31" s="461">
        <f t="shared" si="0"/>
        <v>20</v>
      </c>
      <c r="B31" s="195" t="s">
        <v>1223</v>
      </c>
      <c r="C31" s="911">
        <f>[16]summary!C10</f>
        <v>0</v>
      </c>
      <c r="D31" s="911">
        <f>[16]summary!D10</f>
        <v>0</v>
      </c>
      <c r="E31" s="911">
        <f>[16]summary!E10</f>
        <v>13529.26</v>
      </c>
      <c r="F31" s="911">
        <f>[16]summary!F10</f>
        <v>742.73</v>
      </c>
      <c r="G31" s="911">
        <f>[16]summary!G10</f>
        <v>151.59</v>
      </c>
      <c r="H31" s="911">
        <f>[16]summary!H10</f>
        <v>0</v>
      </c>
      <c r="I31" s="911">
        <f>[16]summary!I10</f>
        <v>0</v>
      </c>
      <c r="J31" s="911">
        <f>[16]summary!J10</f>
        <v>0</v>
      </c>
      <c r="K31" s="911">
        <f>[16]summary!K10</f>
        <v>0</v>
      </c>
      <c r="L31" s="911">
        <f>[16]summary!L10</f>
        <v>0</v>
      </c>
      <c r="M31" s="911">
        <f>[16]summary!M10</f>
        <v>0</v>
      </c>
      <c r="N31" s="911">
        <f>[16]summary!N10</f>
        <v>0</v>
      </c>
      <c r="O31" s="195">
        <f t="shared" si="10"/>
        <v>14423.58</v>
      </c>
    </row>
    <row r="32" spans="1:18">
      <c r="A32" s="461">
        <f t="shared" si="0"/>
        <v>21</v>
      </c>
      <c r="B32" s="195" t="s">
        <v>206</v>
      </c>
      <c r="C32" s="911">
        <f>[16]summary!C9</f>
        <v>0</v>
      </c>
      <c r="D32" s="911">
        <f>[16]summary!D9</f>
        <v>0</v>
      </c>
      <c r="E32" s="911">
        <f>[16]summary!E9</f>
        <v>0</v>
      </c>
      <c r="F32" s="911">
        <f>[16]summary!F9</f>
        <v>0</v>
      </c>
      <c r="G32" s="911">
        <f>[16]summary!G9</f>
        <v>-15845.68</v>
      </c>
      <c r="H32" s="911">
        <f>[16]summary!H9</f>
        <v>-1095601</v>
      </c>
      <c r="I32" s="911">
        <f>[16]summary!I9</f>
        <v>0</v>
      </c>
      <c r="J32" s="911">
        <f>[16]summary!J9</f>
        <v>0</v>
      </c>
      <c r="K32" s="911">
        <f>[16]summary!K9</f>
        <v>0</v>
      </c>
      <c r="L32" s="911">
        <f>[16]summary!L9</f>
        <v>0</v>
      </c>
      <c r="M32" s="911">
        <f>[16]summary!M9</f>
        <v>0</v>
      </c>
      <c r="N32" s="911">
        <f>[16]summary!N9</f>
        <v>0</v>
      </c>
      <c r="O32" s="195">
        <f t="shared" si="10"/>
        <v>-1111446.68</v>
      </c>
      <c r="Q32" s="103"/>
      <c r="R32" s="691"/>
    </row>
    <row r="33" spans="1:17">
      <c r="A33" s="461">
        <f t="shared" si="0"/>
        <v>22</v>
      </c>
      <c r="B33" s="80"/>
      <c r="C33" s="630"/>
      <c r="D33" s="630"/>
      <c r="E33" s="630"/>
      <c r="F33" s="513"/>
      <c r="G33" s="513"/>
      <c r="H33" s="513"/>
      <c r="I33" s="513"/>
      <c r="J33" s="513"/>
      <c r="K33" s="513"/>
      <c r="L33" s="513"/>
      <c r="M33" s="513"/>
      <c r="N33" s="513"/>
    </row>
    <row r="34" spans="1:17">
      <c r="A34" s="461">
        <f t="shared" si="0"/>
        <v>23</v>
      </c>
      <c r="B34" s="195" t="s">
        <v>207</v>
      </c>
      <c r="C34" s="545">
        <f t="shared" ref="C34:N34" si="11">SUM(C27:C32)</f>
        <v>416271.42</v>
      </c>
      <c r="D34" s="545">
        <f t="shared" si="11"/>
        <v>295779.32</v>
      </c>
      <c r="E34" s="545">
        <f t="shared" si="11"/>
        <v>300531.03999999998</v>
      </c>
      <c r="F34" s="545">
        <f t="shared" si="11"/>
        <v>314863.94999999995</v>
      </c>
      <c r="G34" s="545">
        <f t="shared" si="11"/>
        <v>389878.77</v>
      </c>
      <c r="H34" s="545">
        <f t="shared" si="11"/>
        <v>-807589.82000000007</v>
      </c>
      <c r="I34" s="545">
        <f t="shared" si="11"/>
        <v>427886</v>
      </c>
      <c r="J34" s="545">
        <f t="shared" si="11"/>
        <v>427886</v>
      </c>
      <c r="K34" s="545">
        <f t="shared" si="11"/>
        <v>427886</v>
      </c>
      <c r="L34" s="545">
        <f t="shared" si="11"/>
        <v>446933</v>
      </c>
      <c r="M34" s="545">
        <f t="shared" si="11"/>
        <v>446933</v>
      </c>
      <c r="N34" s="545">
        <f t="shared" si="11"/>
        <v>446933</v>
      </c>
      <c r="O34" s="545">
        <f t="shared" si="10"/>
        <v>3534191.6799999997</v>
      </c>
    </row>
    <row r="35" spans="1:17">
      <c r="A35" s="461">
        <f t="shared" si="0"/>
        <v>24</v>
      </c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</row>
    <row r="36" spans="1:17">
      <c r="A36" s="461">
        <f t="shared" si="0"/>
        <v>25</v>
      </c>
      <c r="B36" s="195" t="s">
        <v>208</v>
      </c>
      <c r="C36" s="319"/>
      <c r="D36" s="319"/>
      <c r="E36" s="319"/>
      <c r="F36" s="319"/>
      <c r="G36" s="319"/>
      <c r="H36" s="319"/>
      <c r="I36" s="319">
        <f>Allocation!$G$14</f>
        <v>0.104</v>
      </c>
      <c r="J36" s="319">
        <f>Allocation!$G$14</f>
        <v>0.104</v>
      </c>
      <c r="K36" s="319">
        <f>Allocation!$G$14</f>
        <v>0.104</v>
      </c>
      <c r="L36" s="319">
        <f>Allocation!$G$14</f>
        <v>0.104</v>
      </c>
      <c r="M36" s="319">
        <f t="shared" ref="M36:N36" si="12">L36</f>
        <v>0.104</v>
      </c>
      <c r="N36" s="319">
        <f t="shared" si="12"/>
        <v>0.104</v>
      </c>
    </row>
    <row r="37" spans="1:17">
      <c r="A37" s="461">
        <f t="shared" si="0"/>
        <v>26</v>
      </c>
      <c r="B37" s="195" t="s">
        <v>209</v>
      </c>
      <c r="C37" s="580"/>
      <c r="D37" s="580"/>
      <c r="E37" s="580"/>
      <c r="F37" s="580"/>
      <c r="G37" s="580"/>
      <c r="H37" s="580"/>
      <c r="I37" s="580">
        <f>Allocation!$H$14</f>
        <v>0.49780000000000002</v>
      </c>
      <c r="J37" s="580">
        <f>Allocation!$H$14</f>
        <v>0.49780000000000002</v>
      </c>
      <c r="K37" s="580">
        <f>Allocation!$H$14</f>
        <v>0.49780000000000002</v>
      </c>
      <c r="L37" s="580">
        <f>Allocation!$H$14</f>
        <v>0.49780000000000002</v>
      </c>
      <c r="M37" s="319">
        <f t="shared" ref="M37:N37" si="13">L37</f>
        <v>0.49780000000000002</v>
      </c>
      <c r="N37" s="319">
        <f t="shared" si="13"/>
        <v>0.49780000000000002</v>
      </c>
    </row>
    <row r="38" spans="1:17">
      <c r="A38" s="461">
        <f t="shared" si="0"/>
        <v>27</v>
      </c>
    </row>
    <row r="39" spans="1:17">
      <c r="A39" s="461">
        <f t="shared" si="0"/>
        <v>28</v>
      </c>
      <c r="B39" s="195" t="s">
        <v>210</v>
      </c>
      <c r="C39" s="545">
        <f t="shared" ref="C39:H39" si="14">C21</f>
        <v>21550.87</v>
      </c>
      <c r="D39" s="545">
        <f t="shared" si="14"/>
        <v>15312.85</v>
      </c>
      <c r="E39" s="545">
        <f t="shared" si="14"/>
        <v>15558.85</v>
      </c>
      <c r="F39" s="545">
        <f t="shared" si="14"/>
        <v>16300.88</v>
      </c>
      <c r="G39" s="545">
        <f t="shared" si="14"/>
        <v>20184.490000000002</v>
      </c>
      <c r="H39" s="545">
        <f t="shared" si="14"/>
        <v>-41809.89</v>
      </c>
      <c r="I39" s="545">
        <f t="shared" ref="I39:K39" si="15">(I34)*I36*I37</f>
        <v>22152.171683200002</v>
      </c>
      <c r="J39" s="545">
        <f t="shared" si="15"/>
        <v>22152.171683200002</v>
      </c>
      <c r="K39" s="545">
        <f t="shared" si="15"/>
        <v>22152.171683200002</v>
      </c>
      <c r="L39" s="545">
        <f t="shared" ref="L39:N39" si="16">(L34)*L36*L37</f>
        <v>23138.257729600002</v>
      </c>
      <c r="M39" s="545">
        <f t="shared" si="16"/>
        <v>23138.257729600002</v>
      </c>
      <c r="N39" s="545">
        <f t="shared" si="16"/>
        <v>23138.257729600002</v>
      </c>
      <c r="O39" s="545">
        <f>SUM(C39:N39)</f>
        <v>182969.33823840003</v>
      </c>
    </row>
    <row r="40" spans="1:17">
      <c r="A40" s="461">
        <f t="shared" si="0"/>
        <v>29</v>
      </c>
    </row>
    <row r="41" spans="1:17" ht="15.75">
      <c r="A41" s="461">
        <f t="shared" si="0"/>
        <v>30</v>
      </c>
      <c r="B41" s="297" t="s">
        <v>77</v>
      </c>
    </row>
    <row r="42" spans="1:17">
      <c r="A42" s="461">
        <f t="shared" si="0"/>
        <v>31</v>
      </c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671"/>
    </row>
    <row r="43" spans="1:17">
      <c r="A43" s="461">
        <f t="shared" si="0"/>
        <v>32</v>
      </c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  <c r="N43" s="911"/>
    </row>
    <row r="44" spans="1:17">
      <c r="A44" s="461">
        <f t="shared" si="0"/>
        <v>33</v>
      </c>
      <c r="B44" s="195" t="s">
        <v>1718</v>
      </c>
      <c r="C44" s="911">
        <f>[16]summary!C15+[16]summary!C16+[16]summary!C17</f>
        <v>243898.34</v>
      </c>
      <c r="D44" s="911">
        <f>[16]summary!D15+[16]summary!D16+[16]summary!D17</f>
        <v>152509.45000000001</v>
      </c>
      <c r="E44" s="911">
        <f>[16]summary!E15+[16]summary!E16+[16]summary!E17</f>
        <v>192506.03000000003</v>
      </c>
      <c r="F44" s="911">
        <f>[16]summary!F15+[16]summary!F16+[16]summary!F17</f>
        <v>167175.08999999997</v>
      </c>
      <c r="G44" s="911">
        <f>[16]summary!G15+[16]summary!G16+[16]summary!G17</f>
        <v>215981.43</v>
      </c>
      <c r="H44" s="911">
        <f>[16]summary!H15+[16]summary!H16+[16]summary!H17</f>
        <v>145880.86000000002</v>
      </c>
      <c r="I44" s="911">
        <f>[16]summary!I15+[16]summary!I16+[16]summary!I17</f>
        <v>212892.10597458956</v>
      </c>
      <c r="J44" s="911">
        <f>[16]summary!J15+[16]summary!J16+[16]summary!J17</f>
        <v>212892.10597458956</v>
      </c>
      <c r="K44" s="911">
        <f>[16]summary!K15+[16]summary!K16+[16]summary!K17</f>
        <v>212892.10597458956</v>
      </c>
      <c r="L44" s="911">
        <f>[16]summary!L15+[16]summary!L16+[16]summary!L17</f>
        <v>222368.81178209756</v>
      </c>
      <c r="M44" s="911">
        <f>[16]summary!M15+[16]summary!M16+[16]summary!M17</f>
        <v>222368.81178209756</v>
      </c>
      <c r="N44" s="911">
        <f>[16]summary!N15+[16]summary!N16+[16]summary!N17</f>
        <v>222368.81178209756</v>
      </c>
      <c r="O44" s="195">
        <f t="shared" ref="O44:O47" si="17">SUM(C44:N44)</f>
        <v>2423733.9532700609</v>
      </c>
    </row>
    <row r="45" spans="1:17">
      <c r="A45" s="461">
        <f t="shared" si="0"/>
        <v>34</v>
      </c>
      <c r="B45" s="195" t="s">
        <v>289</v>
      </c>
      <c r="C45" s="911">
        <f>[16]summary!C18</f>
        <v>52600</v>
      </c>
      <c r="D45" s="911">
        <f>[16]summary!D18</f>
        <v>52600</v>
      </c>
      <c r="E45" s="911">
        <f>[16]summary!E18</f>
        <v>52600</v>
      </c>
      <c r="F45" s="911">
        <f>[16]summary!F18</f>
        <v>52600</v>
      </c>
      <c r="G45" s="911">
        <f>[16]summary!G18</f>
        <v>52600</v>
      </c>
      <c r="H45" s="911">
        <f>[16]summary!H18</f>
        <v>52600</v>
      </c>
      <c r="I45" s="911">
        <f>[16]summary!I18</f>
        <v>60099.894025410482</v>
      </c>
      <c r="J45" s="911">
        <f>[16]summary!J18</f>
        <v>60099.894025410482</v>
      </c>
      <c r="K45" s="911">
        <f>[16]summary!K18</f>
        <v>60099.894025410482</v>
      </c>
      <c r="L45" s="911">
        <f>'[17]FY 2019 Budget'!$D$6</f>
        <v>52600</v>
      </c>
      <c r="M45" s="911">
        <f>'[17]FY 2019 Budget'!$D$6</f>
        <v>52600</v>
      </c>
      <c r="N45" s="911">
        <f>'[17]FY 2019 Budget'!$D$6</f>
        <v>52600</v>
      </c>
      <c r="O45" s="195">
        <f t="shared" si="17"/>
        <v>653699.68207623134</v>
      </c>
      <c r="P45" s="671"/>
    </row>
    <row r="46" spans="1:17">
      <c r="A46" s="461">
        <f t="shared" si="0"/>
        <v>35</v>
      </c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</row>
    <row r="47" spans="1:17">
      <c r="A47" s="461">
        <f t="shared" si="0"/>
        <v>36</v>
      </c>
      <c r="B47" s="195" t="s">
        <v>207</v>
      </c>
      <c r="C47" s="545">
        <f t="shared" ref="C47:N47" si="18">SUM(C42:C45)</f>
        <v>296498.33999999997</v>
      </c>
      <c r="D47" s="545">
        <f t="shared" si="18"/>
        <v>205109.45</v>
      </c>
      <c r="E47" s="545">
        <f t="shared" si="18"/>
        <v>245106.03000000003</v>
      </c>
      <c r="F47" s="545">
        <f t="shared" si="18"/>
        <v>219775.08999999997</v>
      </c>
      <c r="G47" s="545">
        <f t="shared" si="18"/>
        <v>268581.43</v>
      </c>
      <c r="H47" s="545">
        <f t="shared" si="18"/>
        <v>198480.86000000002</v>
      </c>
      <c r="I47" s="545">
        <f t="shared" si="18"/>
        <v>272992.00000000006</v>
      </c>
      <c r="J47" s="545">
        <f>SUM(J42:J45)</f>
        <v>272992.00000000006</v>
      </c>
      <c r="K47" s="545">
        <f t="shared" si="18"/>
        <v>272992.00000000006</v>
      </c>
      <c r="L47" s="545">
        <f t="shared" si="18"/>
        <v>274968.81178209756</v>
      </c>
      <c r="M47" s="545">
        <f t="shared" si="18"/>
        <v>274968.81178209756</v>
      </c>
      <c r="N47" s="545">
        <f t="shared" si="18"/>
        <v>274968.81178209756</v>
      </c>
      <c r="O47" s="545">
        <f t="shared" si="17"/>
        <v>3077433.6353462925</v>
      </c>
      <c r="Q47" s="103"/>
    </row>
    <row r="48" spans="1:17">
      <c r="A48" s="461">
        <f t="shared" si="0"/>
        <v>37</v>
      </c>
      <c r="C48" s="761"/>
      <c r="D48" s="761"/>
      <c r="E48" s="761"/>
      <c r="F48" s="761"/>
      <c r="G48" s="761"/>
      <c r="H48" s="761"/>
      <c r="I48" s="761"/>
      <c r="J48" s="761"/>
      <c r="K48" s="761"/>
      <c r="L48" s="761"/>
      <c r="M48" s="761"/>
      <c r="N48" s="761"/>
    </row>
    <row r="49" spans="1:17">
      <c r="A49" s="461">
        <f t="shared" si="0"/>
        <v>38</v>
      </c>
      <c r="B49" s="195" t="s">
        <v>208</v>
      </c>
      <c r="C49" s="580"/>
      <c r="D49" s="580"/>
      <c r="E49" s="580"/>
      <c r="F49" s="580"/>
      <c r="G49" s="580"/>
      <c r="H49" s="580"/>
      <c r="I49" s="580">
        <f>Allocation!$C$15</f>
        <v>0.1095</v>
      </c>
      <c r="J49" s="580">
        <f>Allocation!$C$15</f>
        <v>0.1095</v>
      </c>
      <c r="K49" s="580">
        <f>Allocation!$C$15</f>
        <v>0.1095</v>
      </c>
      <c r="L49" s="580">
        <f>Allocation!$C$15</f>
        <v>0.1095</v>
      </c>
      <c r="M49" s="580">
        <f t="shared" ref="M49:N49" si="19">L49</f>
        <v>0.1095</v>
      </c>
      <c r="N49" s="580">
        <f t="shared" si="19"/>
        <v>0.1095</v>
      </c>
    </row>
    <row r="50" spans="1:17">
      <c r="A50" s="461">
        <f t="shared" si="0"/>
        <v>39</v>
      </c>
      <c r="B50" s="195" t="s">
        <v>209</v>
      </c>
      <c r="C50" s="580"/>
      <c r="D50" s="825"/>
      <c r="E50" s="580"/>
      <c r="F50" s="580"/>
      <c r="G50" s="580"/>
      <c r="H50" s="580"/>
      <c r="I50" s="580">
        <f>Allocation!$D$15</f>
        <v>0.51517972406888612</v>
      </c>
      <c r="J50" s="580">
        <f>Allocation!$D$15</f>
        <v>0.51517972406888612</v>
      </c>
      <c r="K50" s="580">
        <f>Allocation!$D$15</f>
        <v>0.51517972406888612</v>
      </c>
      <c r="L50" s="580">
        <f>Allocation!$D$15</f>
        <v>0.51517972406888612</v>
      </c>
      <c r="M50" s="580">
        <f t="shared" ref="M50:N50" si="20">L50</f>
        <v>0.51517972406888612</v>
      </c>
      <c r="N50" s="580">
        <f t="shared" si="20"/>
        <v>0.51517972406888612</v>
      </c>
    </row>
    <row r="51" spans="1:17">
      <c r="A51" s="461">
        <f t="shared" si="0"/>
        <v>40</v>
      </c>
      <c r="J51" s="580"/>
    </row>
    <row r="52" spans="1:17">
      <c r="A52" s="461">
        <f t="shared" si="0"/>
        <v>41</v>
      </c>
      <c r="B52" s="195" t="s">
        <v>210</v>
      </c>
      <c r="C52" s="545">
        <f t="shared" ref="C52:H52" si="21">C20</f>
        <v>16726.78</v>
      </c>
      <c r="D52" s="545">
        <f t="shared" si="21"/>
        <v>11571.12</v>
      </c>
      <c r="E52" s="545">
        <f t="shared" si="21"/>
        <v>13827.51</v>
      </c>
      <c r="F52" s="545">
        <f t="shared" si="21"/>
        <v>12398.48</v>
      </c>
      <c r="G52" s="545">
        <f t="shared" si="21"/>
        <v>15151.86</v>
      </c>
      <c r="H52" s="545">
        <f t="shared" si="21"/>
        <v>11197.18</v>
      </c>
      <c r="I52" s="545">
        <f t="shared" ref="I52:K52" si="22">(I47)*I49*I50</f>
        <v>15400.073784014967</v>
      </c>
      <c r="J52" s="545">
        <f t="shared" si="22"/>
        <v>15400.073784014967</v>
      </c>
      <c r="K52" s="545">
        <f t="shared" si="22"/>
        <v>15400.073784014967</v>
      </c>
      <c r="L52" s="545">
        <f t="shared" ref="L52:N52" si="23">(L47)*L49*L50</f>
        <v>15511.59004566883</v>
      </c>
      <c r="M52" s="545">
        <f t="shared" si="23"/>
        <v>15511.59004566883</v>
      </c>
      <c r="N52" s="545">
        <f t="shared" si="23"/>
        <v>15511.59004566883</v>
      </c>
      <c r="O52" s="545">
        <f>SUM(C52:N52)</f>
        <v>173607.92148905137</v>
      </c>
    </row>
    <row r="53" spans="1:17">
      <c r="A53" s="461">
        <f t="shared" si="0"/>
        <v>42</v>
      </c>
    </row>
    <row r="54" spans="1:17" ht="15.75">
      <c r="A54" s="461">
        <f t="shared" si="0"/>
        <v>43</v>
      </c>
      <c r="B54" s="297" t="s">
        <v>78</v>
      </c>
    </row>
    <row r="55" spans="1:17">
      <c r="A55" s="461">
        <f t="shared" si="0"/>
        <v>44</v>
      </c>
      <c r="C55" s="911"/>
      <c r="D55" s="911"/>
      <c r="E55" s="911"/>
      <c r="F55" s="911"/>
      <c r="G55" s="911"/>
      <c r="H55" s="911"/>
      <c r="I55" s="911"/>
      <c r="J55" s="911"/>
      <c r="K55" s="911"/>
      <c r="L55" s="911"/>
      <c r="M55" s="911"/>
      <c r="N55" s="911"/>
      <c r="O55" s="911"/>
    </row>
    <row r="56" spans="1:17">
      <c r="A56" s="461">
        <f t="shared" si="0"/>
        <v>45</v>
      </c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</row>
    <row r="57" spans="1:17">
      <c r="A57" s="461">
        <f t="shared" si="0"/>
        <v>46</v>
      </c>
      <c r="B57" s="195" t="s">
        <v>1718</v>
      </c>
      <c r="C57" s="911">
        <f>[16]summary!C24+[16]summary!C25+[16]summary!C26</f>
        <v>37483.709999999992</v>
      </c>
      <c r="D57" s="911">
        <f>[16]summary!D24+[16]summary!D25+[16]summary!D26</f>
        <v>35783.57</v>
      </c>
      <c r="E57" s="911">
        <f>[16]summary!E24+[16]summary!E25+[16]summary!E26</f>
        <v>14839.5</v>
      </c>
      <c r="F57" s="911">
        <f>[16]summary!F24+[16]summary!F25+[16]summary!F26</f>
        <v>31890.789999999997</v>
      </c>
      <c r="G57" s="911">
        <f>[16]summary!G24+[16]summary!G25+[16]summary!G26</f>
        <v>36393.94000000001</v>
      </c>
      <c r="H57" s="911">
        <f>[16]summary!H24+[16]summary!H25+[16]summary!H26</f>
        <v>30796.469999999998</v>
      </c>
      <c r="I57" s="911">
        <f>'[16]2018 PlanIt Budget'!N34</f>
        <v>11661</v>
      </c>
      <c r="J57" s="911">
        <f>'[16]2018 PlanIt Budget'!O34</f>
        <v>8544</v>
      </c>
      <c r="K57" s="911">
        <f>'[16]2018 PlanIt Budget'!P34</f>
        <v>23449</v>
      </c>
      <c r="L57" s="911">
        <f>'[16]2019 PlanIt Budget'!D34</f>
        <v>35671.339999999997</v>
      </c>
      <c r="M57" s="911">
        <f>'[16]2019 PlanIt Budget'!E34</f>
        <v>73316.179999999993</v>
      </c>
      <c r="N57" s="911">
        <f>'[16]2019 PlanIt Budget'!F34</f>
        <v>26669.72</v>
      </c>
      <c r="O57" s="911">
        <f t="shared" ref="O57:O62" si="24">SUM(C57:N57)</f>
        <v>366499.22</v>
      </c>
    </row>
    <row r="58" spans="1:17">
      <c r="A58" s="461">
        <f t="shared" si="0"/>
        <v>47</v>
      </c>
      <c r="B58" s="80" t="s">
        <v>1223</v>
      </c>
      <c r="C58" s="911">
        <f>[16]summary!C27</f>
        <v>0</v>
      </c>
      <c r="D58" s="911">
        <f>[16]summary!D27</f>
        <v>20.84</v>
      </c>
      <c r="E58" s="911">
        <f>[16]summary!E27</f>
        <v>41.69</v>
      </c>
      <c r="F58" s="911">
        <f>[16]summary!F27</f>
        <v>0</v>
      </c>
      <c r="G58" s="911">
        <f>[16]summary!G27</f>
        <v>0</v>
      </c>
      <c r="H58" s="911">
        <f>[16]summary!H27</f>
        <v>0</v>
      </c>
      <c r="I58" s="911">
        <f>[16]summary!I27</f>
        <v>0</v>
      </c>
      <c r="J58" s="911">
        <f>[16]summary!J27</f>
        <v>0</v>
      </c>
      <c r="K58" s="911">
        <f>[16]summary!K27</f>
        <v>0</v>
      </c>
      <c r="L58" s="911">
        <f>[16]summary!L27</f>
        <v>0</v>
      </c>
      <c r="M58" s="911">
        <f>[16]summary!M27</f>
        <v>0</v>
      </c>
      <c r="N58" s="911">
        <f>[16]summary!N27</f>
        <v>0</v>
      </c>
      <c r="O58" s="195">
        <f t="shared" si="24"/>
        <v>62.53</v>
      </c>
    </row>
    <row r="59" spans="1:17">
      <c r="A59" s="461">
        <f t="shared" si="0"/>
        <v>48</v>
      </c>
      <c r="B59" s="195" t="s">
        <v>289</v>
      </c>
      <c r="C59" s="911">
        <f>[16]summary!C28</f>
        <v>300</v>
      </c>
      <c r="D59" s="911">
        <f>[16]summary!D28</f>
        <v>-396474</v>
      </c>
      <c r="E59" s="911">
        <f>[16]summary!E28</f>
        <v>300</v>
      </c>
      <c r="F59" s="911">
        <f>[16]summary!F28</f>
        <v>300</v>
      </c>
      <c r="G59" s="911">
        <f>[16]summary!G28</f>
        <v>300</v>
      </c>
      <c r="H59" s="911">
        <f>[16]summary!H28</f>
        <v>800</v>
      </c>
      <c r="I59" s="911">
        <f>[16]summary!I28</f>
        <v>800</v>
      </c>
      <c r="J59" s="911">
        <f>[16]summary!J28</f>
        <v>800</v>
      </c>
      <c r="K59" s="911">
        <f>[16]summary!K28</f>
        <v>800</v>
      </c>
      <c r="L59" s="911">
        <f>'[17]FY 2019 Budget'!$D$19</f>
        <v>800</v>
      </c>
      <c r="M59" s="911">
        <f>'[17]FY 2019 Budget'!$D$19</f>
        <v>800</v>
      </c>
      <c r="N59" s="911">
        <f>'[17]FY 2019 Budget'!$D$19</f>
        <v>800</v>
      </c>
      <c r="O59" s="195">
        <f t="shared" si="24"/>
        <v>-389674</v>
      </c>
    </row>
    <row r="60" spans="1:17">
      <c r="A60" s="461">
        <f t="shared" si="0"/>
        <v>49</v>
      </c>
      <c r="B60" s="103" t="s">
        <v>1353</v>
      </c>
      <c r="C60" s="911">
        <f>[16]summary!C29</f>
        <v>0</v>
      </c>
      <c r="D60" s="911">
        <f>[16]summary!D29</f>
        <v>0</v>
      </c>
      <c r="E60" s="911">
        <f>[16]summary!E29</f>
        <v>0</v>
      </c>
      <c r="F60" s="911">
        <f>[16]summary!F29</f>
        <v>0</v>
      </c>
      <c r="G60" s="911">
        <f>[16]summary!G29</f>
        <v>0</v>
      </c>
      <c r="H60" s="911">
        <f>[16]summary!H29</f>
        <v>0</v>
      </c>
      <c r="I60" s="911">
        <f>[16]summary!I29</f>
        <v>0</v>
      </c>
      <c r="J60" s="911">
        <f>[16]summary!J29</f>
        <v>0</v>
      </c>
      <c r="K60" s="911">
        <f>[16]summary!K29</f>
        <v>0</v>
      </c>
      <c r="L60" s="911">
        <f>[16]summary!L29</f>
        <v>0</v>
      </c>
      <c r="M60" s="911">
        <f>[16]summary!M29</f>
        <v>0</v>
      </c>
      <c r="N60" s="911">
        <f>[16]summary!N29</f>
        <v>0</v>
      </c>
      <c r="O60" s="195">
        <f t="shared" si="24"/>
        <v>0</v>
      </c>
    </row>
    <row r="61" spans="1:17">
      <c r="A61" s="461">
        <f t="shared" si="0"/>
        <v>50</v>
      </c>
      <c r="B61" s="80"/>
      <c r="C61" s="513"/>
      <c r="D61" s="513"/>
      <c r="E61" s="630"/>
      <c r="F61" s="630"/>
      <c r="G61" s="513"/>
      <c r="H61" s="513"/>
      <c r="I61" s="513"/>
      <c r="J61" s="513"/>
      <c r="K61" s="513"/>
      <c r="L61" s="513"/>
      <c r="M61" s="513"/>
      <c r="N61" s="513"/>
      <c r="Q61" s="103"/>
    </row>
    <row r="62" spans="1:17">
      <c r="A62" s="461">
        <f t="shared" si="0"/>
        <v>51</v>
      </c>
      <c r="B62" s="195" t="s">
        <v>207</v>
      </c>
      <c r="C62" s="545">
        <f t="shared" ref="C62:N62" si="25">SUM(C55:C60)</f>
        <v>37783.709999999992</v>
      </c>
      <c r="D62" s="545">
        <f t="shared" si="25"/>
        <v>-360669.59</v>
      </c>
      <c r="E62" s="545">
        <f t="shared" si="25"/>
        <v>15181.19</v>
      </c>
      <c r="F62" s="545">
        <f t="shared" si="25"/>
        <v>32190.789999999997</v>
      </c>
      <c r="G62" s="545">
        <f t="shared" si="25"/>
        <v>36693.94000000001</v>
      </c>
      <c r="H62" s="545">
        <f t="shared" si="25"/>
        <v>31596.469999999998</v>
      </c>
      <c r="I62" s="545">
        <f t="shared" si="25"/>
        <v>12461</v>
      </c>
      <c r="J62" s="545">
        <f t="shared" si="25"/>
        <v>9344</v>
      </c>
      <c r="K62" s="545">
        <f t="shared" si="25"/>
        <v>24249</v>
      </c>
      <c r="L62" s="545">
        <f t="shared" si="25"/>
        <v>36471.339999999997</v>
      </c>
      <c r="M62" s="545">
        <f t="shared" si="25"/>
        <v>74116.179999999993</v>
      </c>
      <c r="N62" s="545">
        <f t="shared" si="25"/>
        <v>27469.72</v>
      </c>
      <c r="O62" s="545">
        <f t="shared" si="24"/>
        <v>-23112.250000000029</v>
      </c>
    </row>
    <row r="63" spans="1:17">
      <c r="A63" s="461">
        <f t="shared" si="0"/>
        <v>52</v>
      </c>
      <c r="C63" s="761"/>
      <c r="D63" s="761"/>
      <c r="E63" s="761"/>
      <c r="F63" s="761"/>
      <c r="G63" s="761"/>
      <c r="H63" s="761"/>
      <c r="I63" s="761"/>
      <c r="J63" s="761"/>
      <c r="K63" s="761"/>
      <c r="L63" s="761"/>
      <c r="M63" s="761"/>
      <c r="N63" s="761"/>
    </row>
    <row r="64" spans="1:17">
      <c r="A64" s="461">
        <f t="shared" si="0"/>
        <v>53</v>
      </c>
      <c r="B64" s="195" t="s">
        <v>208</v>
      </c>
      <c r="C64" s="580"/>
      <c r="D64" s="580"/>
      <c r="E64" s="580"/>
      <c r="F64" s="580"/>
      <c r="G64" s="580"/>
      <c r="H64" s="580"/>
      <c r="I64" s="580">
        <v>1</v>
      </c>
      <c r="J64" s="580">
        <v>1</v>
      </c>
      <c r="K64" s="580">
        <v>1</v>
      </c>
      <c r="L64" s="580">
        <v>1</v>
      </c>
      <c r="M64" s="580">
        <f t="shared" ref="M64:N64" si="26">L64</f>
        <v>1</v>
      </c>
      <c r="N64" s="580">
        <f t="shared" si="26"/>
        <v>1</v>
      </c>
    </row>
    <row r="65" spans="1:16">
      <c r="A65" s="461">
        <f t="shared" si="0"/>
        <v>54</v>
      </c>
      <c r="B65" s="195" t="s">
        <v>209</v>
      </c>
      <c r="C65" s="580"/>
      <c r="D65" s="580"/>
      <c r="E65" s="580"/>
      <c r="F65" s="580"/>
      <c r="G65" s="580"/>
      <c r="H65" s="580"/>
      <c r="I65" s="580">
        <f>Allocation!$H$17</f>
        <v>0.49780000000000002</v>
      </c>
      <c r="J65" s="580">
        <f>Allocation!$H$17</f>
        <v>0.49780000000000002</v>
      </c>
      <c r="K65" s="580">
        <f>Allocation!$H$17</f>
        <v>0.49780000000000002</v>
      </c>
      <c r="L65" s="580">
        <f>Allocation!$H$17</f>
        <v>0.49780000000000002</v>
      </c>
      <c r="M65" s="580">
        <f t="shared" ref="M65:N65" si="27">L65</f>
        <v>0.49780000000000002</v>
      </c>
      <c r="N65" s="580">
        <f t="shared" si="27"/>
        <v>0.49780000000000002</v>
      </c>
    </row>
    <row r="66" spans="1:16">
      <c r="A66" s="461">
        <f t="shared" si="0"/>
        <v>55</v>
      </c>
    </row>
    <row r="67" spans="1:16">
      <c r="A67" s="461">
        <f t="shared" si="0"/>
        <v>56</v>
      </c>
      <c r="B67" s="195" t="s">
        <v>210</v>
      </c>
      <c r="C67" s="545">
        <f t="shared" ref="C67:H67" si="28">C22</f>
        <v>18808.73</v>
      </c>
      <c r="D67" s="545">
        <f t="shared" si="28"/>
        <v>-179541.32</v>
      </c>
      <c r="E67" s="545">
        <f t="shared" si="28"/>
        <v>7557.2</v>
      </c>
      <c r="F67" s="545">
        <f t="shared" si="28"/>
        <v>16024.58</v>
      </c>
      <c r="G67" s="545">
        <f t="shared" si="28"/>
        <v>18266.22</v>
      </c>
      <c r="H67" s="545">
        <f t="shared" si="28"/>
        <v>15728.75</v>
      </c>
      <c r="I67" s="545">
        <f t="shared" ref="I67:K67" si="29">(I62)*I64*I65</f>
        <v>6203.0857999999998</v>
      </c>
      <c r="J67" s="545">
        <f t="shared" si="29"/>
        <v>4651.4432000000006</v>
      </c>
      <c r="K67" s="545">
        <f t="shared" si="29"/>
        <v>12071.1522</v>
      </c>
      <c r="L67" s="545">
        <f t="shared" ref="L67:N67" si="30">(L62)*L64*L65</f>
        <v>18155.433052</v>
      </c>
      <c r="M67" s="545">
        <f t="shared" si="30"/>
        <v>36895.034403999998</v>
      </c>
      <c r="N67" s="545">
        <f t="shared" si="30"/>
        <v>13674.426616000001</v>
      </c>
      <c r="O67" s="545">
        <f>SUM(C67:N67)</f>
        <v>-11505.264728000006</v>
      </c>
    </row>
    <row r="68" spans="1:16">
      <c r="C68" s="761"/>
    </row>
    <row r="70" spans="1:16">
      <c r="B70" s="506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671"/>
    </row>
    <row r="71" spans="1:16">
      <c r="B71" s="506"/>
      <c r="C71" s="580"/>
      <c r="D71" s="580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P71" s="671"/>
    </row>
    <row r="72" spans="1:16">
      <c r="B72" s="506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P72" s="671"/>
    </row>
    <row r="73" spans="1:16">
      <c r="P73" s="671"/>
    </row>
    <row r="74" spans="1:16">
      <c r="P74" s="671"/>
    </row>
    <row r="75" spans="1:16">
      <c r="E75" s="671"/>
      <c r="J75" s="691"/>
    </row>
    <row r="78" spans="1:16">
      <c r="J78" s="671"/>
      <c r="K78" s="671"/>
    </row>
    <row r="79" spans="1:16">
      <c r="J79" s="671"/>
      <c r="K79" s="671"/>
    </row>
    <row r="80" spans="1:16">
      <c r="J80" s="671"/>
      <c r="K80" s="671"/>
    </row>
    <row r="81" spans="10:11">
      <c r="J81" s="671"/>
      <c r="K81" s="671"/>
    </row>
    <row r="82" spans="10:11">
      <c r="J82" s="671"/>
      <c r="K82" s="671"/>
    </row>
    <row r="83" spans="10:11">
      <c r="J83" s="671"/>
      <c r="K83" s="671"/>
    </row>
    <row r="84" spans="10:11">
      <c r="J84" s="671"/>
      <c r="K84" s="671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9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sqref="A1:O1"/>
    </sheetView>
  </sheetViews>
  <sheetFormatPr defaultRowHeight="15"/>
  <cols>
    <col min="1" max="1" width="4.6640625" style="81" customWidth="1"/>
    <col min="2" max="2" width="40.6640625" style="81" customWidth="1"/>
    <col min="3" max="8" width="10" style="81" customWidth="1"/>
    <col min="9" max="11" width="11.109375" style="81" customWidth="1"/>
    <col min="12" max="14" width="10" style="81" customWidth="1"/>
    <col min="15" max="15" width="13.88671875" style="81" customWidth="1"/>
    <col min="16" max="16" width="13.109375" style="81" bestFit="1" customWidth="1"/>
    <col min="17" max="17" width="12" style="81" bestFit="1" customWidth="1"/>
    <col min="18" max="18" width="11.44140625" style="81" bestFit="1" customWidth="1"/>
    <col min="19" max="16384" width="8.88671875" style="81"/>
  </cols>
  <sheetData>
    <row r="1" spans="1:19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</row>
    <row r="2" spans="1:19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</row>
    <row r="3" spans="1:19">
      <c r="A3" s="1210" t="s">
        <v>192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Q3" s="691"/>
    </row>
    <row r="4" spans="1:19">
      <c r="A4" s="1210" t="str">
        <f>'Table of Contents'!A4:C4</f>
        <v>Forecasted Test Period: Twelve Months Ended March 31, 2020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</row>
    <row r="5" spans="1:19">
      <c r="B5" s="150"/>
      <c r="C5" s="150"/>
      <c r="D5" s="150"/>
      <c r="E5" s="150"/>
      <c r="F5" s="870"/>
      <c r="G5" s="150"/>
      <c r="H5" s="150"/>
      <c r="I5" s="150"/>
      <c r="J5" s="150"/>
      <c r="K5" s="150"/>
      <c r="L5" s="150"/>
      <c r="M5" s="371"/>
      <c r="N5" s="150"/>
    </row>
    <row r="6" spans="1:19">
      <c r="A6" s="88" t="str">
        <f>'C.2.1 F'!A6</f>
        <v>Data:________Base Period___X____Forecasted Period</v>
      </c>
      <c r="M6" s="74"/>
      <c r="O6" s="170" t="s">
        <v>1431</v>
      </c>
    </row>
    <row r="7" spans="1:19">
      <c r="A7" s="88" t="str">
        <f>'C.2.1 F'!A7</f>
        <v>Type of Filing:___X____Original________Updated ________Revised</v>
      </c>
      <c r="E7" s="671"/>
      <c r="H7" s="671"/>
      <c r="M7" s="74"/>
      <c r="N7" s="914"/>
      <c r="O7" s="509" t="s">
        <v>714</v>
      </c>
    </row>
    <row r="8" spans="1:19">
      <c r="A8" s="391" t="str">
        <f>'C.2.1 F'!A8</f>
        <v>Workpaper Reference No(s).____________________</v>
      </c>
      <c r="B8" s="82"/>
      <c r="C8" s="151"/>
      <c r="D8" s="151"/>
      <c r="E8" s="151"/>
      <c r="F8" s="151"/>
      <c r="G8" s="151"/>
      <c r="H8" s="151"/>
      <c r="I8" s="151"/>
      <c r="J8" s="151"/>
      <c r="K8" s="151"/>
      <c r="L8" s="82"/>
      <c r="M8" s="82"/>
      <c r="N8" s="361"/>
      <c r="O8" s="915" t="str">
        <f>LEFT('C.1'!J9,15)</f>
        <v>Witness: Waller</v>
      </c>
    </row>
    <row r="9" spans="1:19">
      <c r="A9" s="392" t="s">
        <v>93</v>
      </c>
      <c r="C9" s="852" t="str">
        <f>'C.2.2-F 09'!D9</f>
        <v>Forecasted</v>
      </c>
      <c r="D9" s="852" t="str">
        <f>'C.2.2-F 09'!E9</f>
        <v>Forecasted</v>
      </c>
      <c r="E9" s="852" t="str">
        <f>'C.2.2-F 09'!F9</f>
        <v>Forecasted</v>
      </c>
      <c r="F9" s="852" t="str">
        <f>'C.2.2-F 09'!G9</f>
        <v>Forecasted</v>
      </c>
      <c r="G9" s="852" t="str">
        <f>'C.2.2-F 09'!H9</f>
        <v>Forecasted</v>
      </c>
      <c r="H9" s="852" t="str">
        <f>'C.2.2-F 09'!I9</f>
        <v>Forecasted</v>
      </c>
      <c r="I9" s="852" t="str">
        <f>'C.2.2-F 09'!J9</f>
        <v>Forecasted</v>
      </c>
      <c r="J9" s="852" t="str">
        <f>'C.2.2-F 09'!K9</f>
        <v>Forecasted</v>
      </c>
      <c r="K9" s="852" t="str">
        <f>'C.2.2-F 09'!L9</f>
        <v>Forecasted</v>
      </c>
      <c r="L9" s="852" t="str">
        <f>'C.2.2-F 09'!M9</f>
        <v>Forecasted</v>
      </c>
      <c r="M9" s="852" t="str">
        <f>'C.2.2-F 09'!N9</f>
        <v>Forecasted</v>
      </c>
      <c r="N9" s="852" t="str">
        <f>'C.2.2-F 09'!O9</f>
        <v>Forecasted</v>
      </c>
      <c r="O9" s="904"/>
    </row>
    <row r="10" spans="1:19">
      <c r="A10" s="393" t="s">
        <v>99</v>
      </c>
      <c r="B10" s="361" t="s">
        <v>191</v>
      </c>
      <c r="C10" s="394">
        <f>'C.2.2-F 09'!D10</f>
        <v>43556</v>
      </c>
      <c r="D10" s="394">
        <f>'C.2.2-F 09'!E10</f>
        <v>43586</v>
      </c>
      <c r="E10" s="394">
        <f>'C.2.2-F 09'!F10</f>
        <v>43617</v>
      </c>
      <c r="F10" s="394">
        <f>'C.2.2-F 09'!G10</f>
        <v>43647</v>
      </c>
      <c r="G10" s="394">
        <f>'C.2.2-F 09'!H10</f>
        <v>43678</v>
      </c>
      <c r="H10" s="394">
        <f>'C.2.2-F 09'!I10</f>
        <v>43709</v>
      </c>
      <c r="I10" s="394">
        <f>'C.2.2-F 09'!J10</f>
        <v>43739</v>
      </c>
      <c r="J10" s="394">
        <f>'C.2.2-F 09'!K10</f>
        <v>43770</v>
      </c>
      <c r="K10" s="394">
        <f>'C.2.2-F 09'!L10</f>
        <v>43800</v>
      </c>
      <c r="L10" s="394">
        <f>'C.2.2-F 09'!M10</f>
        <v>43831</v>
      </c>
      <c r="M10" s="394">
        <f>'C.2.2-F 09'!N10</f>
        <v>43862</v>
      </c>
      <c r="N10" s="394">
        <f>'C.2.2-F 09'!O10</f>
        <v>43891</v>
      </c>
      <c r="O10" s="363" t="str">
        <f>'C.2.2 B 09'!P10</f>
        <v>Total</v>
      </c>
      <c r="P10" s="76"/>
    </row>
    <row r="11" spans="1:19" ht="15.75">
      <c r="B11" s="297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</row>
    <row r="12" spans="1:19" ht="15.75">
      <c r="B12" s="297" t="s">
        <v>193</v>
      </c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</row>
    <row r="13" spans="1:19">
      <c r="A13" s="851">
        <v>1</v>
      </c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346"/>
      <c r="P13" s="671"/>
      <c r="S13" s="691"/>
    </row>
    <row r="14" spans="1:19">
      <c r="A14" s="851">
        <f>A13+1</f>
        <v>2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430"/>
      <c r="P14" s="916"/>
    </row>
    <row r="15" spans="1:19">
      <c r="A15" s="851">
        <f t="shared" ref="A15:A68" si="0">A14+1</f>
        <v>3</v>
      </c>
      <c r="B15" s="81" t="s">
        <v>1717</v>
      </c>
      <c r="C15" s="513">
        <f>'[16]2019 PlanIt Budget'!J35</f>
        <v>19471.759999999998</v>
      </c>
      <c r="D15" s="513">
        <f>'[16]2019 PlanIt Budget'!K35</f>
        <v>23062.050000000003</v>
      </c>
      <c r="E15" s="513">
        <f>'[16]2019 PlanIt Budget'!L35</f>
        <v>20041.669999999995</v>
      </c>
      <c r="F15" s="513">
        <f>'[16]2019 PlanIt Budget'!M35</f>
        <v>22493.259999999995</v>
      </c>
      <c r="G15" s="513">
        <f>'[16]2019 PlanIt Budget'!N35</f>
        <v>13986.169999999998</v>
      </c>
      <c r="H15" s="513">
        <f>'[16]2019 PlanIt Budget'!O35</f>
        <v>49874.99</v>
      </c>
      <c r="I15" s="513">
        <f>'[16]2019 PlanIt Budget'!D35*1.03</f>
        <v>18238.683800000003</v>
      </c>
      <c r="J15" s="513">
        <f>'[16]2019 PlanIt Budget'!E35*1.03</f>
        <v>64281.661399999997</v>
      </c>
      <c r="K15" s="513">
        <f>'[16]2019 PlanIt Budget'!F35*1.03</f>
        <v>10577.420199999995</v>
      </c>
      <c r="L15" s="513">
        <f>'[16]2019 PlanIt Budget'!G35*1.03</f>
        <v>45025.976199999997</v>
      </c>
      <c r="M15" s="513">
        <f>'[16]2019 PlanIt Budget'!H35*1.03</f>
        <v>22712.396100000005</v>
      </c>
      <c r="N15" s="513">
        <f>'[16]2019 PlanIt Budget'!I35*1.03</f>
        <v>46194.439100000003</v>
      </c>
      <c r="O15" s="430">
        <f t="shared" ref="O15:O23" si="1">SUM(C15:N15)</f>
        <v>355960.4768</v>
      </c>
      <c r="P15" s="916"/>
    </row>
    <row r="16" spans="1:19">
      <c r="A16" s="851">
        <f t="shared" si="0"/>
        <v>4</v>
      </c>
      <c r="B16" s="81" t="s">
        <v>1223</v>
      </c>
      <c r="C16" s="513">
        <f>'C.2.3 B'!F15*1.03</f>
        <v>0</v>
      </c>
      <c r="D16" s="513">
        <f>'C.2.3 B'!G15*1.03</f>
        <v>0</v>
      </c>
      <c r="E16" s="513">
        <f>'C.2.3 B'!H15*1.03</f>
        <v>0</v>
      </c>
      <c r="F16" s="513">
        <f>'C.2.3 B'!I15</f>
        <v>0</v>
      </c>
      <c r="G16" s="513">
        <f>'C.2.3 B'!J15</f>
        <v>0</v>
      </c>
      <c r="H16" s="513">
        <f>'C.2.3 B'!K15</f>
        <v>0</v>
      </c>
      <c r="I16" s="513">
        <f>'C.2.3 B'!L15</f>
        <v>0</v>
      </c>
      <c r="J16" s="513">
        <f>'C.2.3 B'!M15</f>
        <v>0</v>
      </c>
      <c r="K16" s="513">
        <f>'C.2.3 B'!N15</f>
        <v>0</v>
      </c>
      <c r="L16" s="630">
        <f>'C.2.3 B'!C15*1.03</f>
        <v>0</v>
      </c>
      <c r="M16" s="630">
        <f>'C.2.3 B'!M15</f>
        <v>0</v>
      </c>
      <c r="N16" s="630">
        <f>'C.2.3 B'!N15</f>
        <v>0</v>
      </c>
      <c r="O16" s="430">
        <f t="shared" si="1"/>
        <v>0</v>
      </c>
      <c r="P16" s="671"/>
      <c r="R16" s="886"/>
    </row>
    <row r="17" spans="1:18">
      <c r="A17" s="851">
        <f t="shared" si="0"/>
        <v>5</v>
      </c>
      <c r="B17" s="81" t="s">
        <v>109</v>
      </c>
      <c r="C17" s="513">
        <f>(('C.2.3 B'!$O$16/'B.1 B'!$D$15)*'B.1 F '!$D$15)/12</f>
        <v>492510.152042236</v>
      </c>
      <c r="D17" s="513">
        <f>(('C.2.3 B'!$O$16/'B.1 B'!$D$15)*'B.1 F '!$D$15)/12</f>
        <v>492510.152042236</v>
      </c>
      <c r="E17" s="513">
        <f>(('C.2.3 B'!$O$16/'B.1 B'!$D$15)*'B.1 F '!$D$15)/12</f>
        <v>492510.152042236</v>
      </c>
      <c r="F17" s="513">
        <f>(('C.2.3 B'!$O$16/'B.1 B'!$D$15)*'B.1 F '!$D$15)/12</f>
        <v>492510.152042236</v>
      </c>
      <c r="G17" s="513">
        <f>(('C.2.3 B'!$O$16/'B.1 B'!$D$15)*'B.1 F '!$D$15)/12</f>
        <v>492510.152042236</v>
      </c>
      <c r="H17" s="513">
        <f>(('C.2.3 B'!$O$16/'B.1 B'!$D$15)*'B.1 F '!$D$15)/12</f>
        <v>492510.152042236</v>
      </c>
      <c r="I17" s="513">
        <f>(('C.2.3 B'!$O$16/'B.1 B'!$D$15)*'B.1 F '!$D$15)/12</f>
        <v>492510.152042236</v>
      </c>
      <c r="J17" s="513">
        <f>(('C.2.3 B'!$O$16/'B.1 B'!$D$15)*'B.1 F '!$D$15)/12</f>
        <v>492510.152042236</v>
      </c>
      <c r="K17" s="513">
        <f>(('C.2.3 B'!$O$16/'B.1 B'!$D$15)*'B.1 F '!$D$15)/12</f>
        <v>492510.152042236</v>
      </c>
      <c r="L17" s="513">
        <f>(('C.2.3 B'!$O$16/'B.1 B'!$D$15)*'B.1 F '!$D$15)/12</f>
        <v>492510.152042236</v>
      </c>
      <c r="M17" s="513">
        <f>(('C.2.3 B'!$O$16/'B.1 B'!$D$15)*'B.1 F '!$D$15)/12</f>
        <v>492510.152042236</v>
      </c>
      <c r="N17" s="513">
        <f>(('C.2.3 B'!$O$16/'B.1 B'!$D$15)*'B.1 F '!$D$15)/12</f>
        <v>492510.152042236</v>
      </c>
      <c r="O17" s="513">
        <f>SUM(C17:N17)</f>
        <v>5910121.8245068332</v>
      </c>
      <c r="P17" s="627"/>
      <c r="Q17" s="627"/>
      <c r="R17" s="671"/>
    </row>
    <row r="18" spans="1:18">
      <c r="A18" s="851">
        <f t="shared" si="0"/>
        <v>6</v>
      </c>
      <c r="B18" s="195" t="s">
        <v>1354</v>
      </c>
      <c r="C18" s="513">
        <f>'[16]2019 PlanIt Budget'!J11</f>
        <v>0</v>
      </c>
      <c r="D18" s="513">
        <f>'[16]2019 PlanIt Budget'!K11</f>
        <v>137062</v>
      </c>
      <c r="E18" s="513">
        <f>'[16]2019 PlanIt Budget'!L11</f>
        <v>0</v>
      </c>
      <c r="F18" s="513">
        <f>'[16]2019 PlanIt Budget'!M11</f>
        <v>0</v>
      </c>
      <c r="G18" s="513">
        <f>'[16]2019 PlanIt Budget'!N11</f>
        <v>0</v>
      </c>
      <c r="H18" s="513">
        <f>'[16]2019 PlanIt Budget'!O11</f>
        <v>0</v>
      </c>
      <c r="I18" s="513">
        <f>'[16]2019 PlanIt Budget'!D11</f>
        <v>0</v>
      </c>
      <c r="J18" s="513">
        <f>'[16]2019 PlanIt Budget'!E11</f>
        <v>0</v>
      </c>
      <c r="K18" s="513">
        <f>'[16]2019 PlanIt Budget'!F11</f>
        <v>0</v>
      </c>
      <c r="L18" s="513">
        <f>'[16]2019 PlanIt Budget'!G11</f>
        <v>0</v>
      </c>
      <c r="M18" s="513">
        <f>'[16]2019 PlanIt Budget'!H11</f>
        <v>0</v>
      </c>
      <c r="N18" s="513">
        <f>'[16]2019 PlanIt Budget'!I11</f>
        <v>0</v>
      </c>
      <c r="O18" s="430">
        <f t="shared" si="1"/>
        <v>137062</v>
      </c>
      <c r="Q18" s="917"/>
    </row>
    <row r="19" spans="1:18">
      <c r="A19" s="851">
        <f t="shared" si="0"/>
        <v>7</v>
      </c>
      <c r="B19" s="81" t="s">
        <v>108</v>
      </c>
      <c r="C19" s="513">
        <f>'[16]2019 PlanIt Budget'!J8+'[16]2019 PlanIt Budget'!J10</f>
        <v>45643.839999999997</v>
      </c>
      <c r="D19" s="513">
        <f>'[16]2019 PlanIt Budget'!K8+'[16]2019 PlanIt Budget'!K10</f>
        <v>43</v>
      </c>
      <c r="E19" s="513">
        <f>'[16]2019 PlanIt Budget'!L8+'[16]2019 PlanIt Budget'!L10</f>
        <v>0</v>
      </c>
      <c r="F19" s="513">
        <f>'[16]2019 PlanIt Budget'!M8+'[16]2019 PlanIt Budget'!M10</f>
        <v>16430.509999999998</v>
      </c>
      <c r="G19" s="513">
        <f>'[16]2019 PlanIt Budget'!N8+'[16]2019 PlanIt Budget'!N10</f>
        <v>211</v>
      </c>
      <c r="H19" s="513">
        <f>'[16]2019 PlanIt Budget'!O8+'[16]2019 PlanIt Budget'!O10</f>
        <v>83</v>
      </c>
      <c r="I19" s="513">
        <f>'[16]2019 PlanIt Budget'!D8+'[16]2019 PlanIt Budget'!D10</f>
        <v>11109.77</v>
      </c>
      <c r="J19" s="513">
        <f>'[16]2019 PlanIt Budget'!E8+'[16]2019 PlanIt Budget'!E10</f>
        <v>66</v>
      </c>
      <c r="K19" s="513">
        <f>'[16]2019 PlanIt Budget'!F8+'[16]2019 PlanIt Budget'!F10</f>
        <v>338</v>
      </c>
      <c r="L19" s="513">
        <f>'[16]2019 PlanIt Budget'!G8+'[16]2019 PlanIt Budget'!G10</f>
        <v>22304.83</v>
      </c>
      <c r="M19" s="513">
        <f>'[16]2019 PlanIt Budget'!H8+'[16]2019 PlanIt Budget'!H10</f>
        <v>0</v>
      </c>
      <c r="N19" s="513">
        <f>'[16]2019 PlanIt Budget'!I8+'[16]2019 PlanIt Budget'!I10</f>
        <v>2868.59</v>
      </c>
      <c r="O19" s="430">
        <f t="shared" si="1"/>
        <v>99098.54</v>
      </c>
      <c r="P19" s="671"/>
      <c r="Q19" s="917"/>
    </row>
    <row r="20" spans="1:18">
      <c r="A20" s="851">
        <f t="shared" si="0"/>
        <v>8</v>
      </c>
      <c r="B20" s="81" t="s">
        <v>290</v>
      </c>
      <c r="C20" s="513">
        <f>$O20/12</f>
        <v>28286.310972825959</v>
      </c>
      <c r="D20" s="513">
        <f>C20</f>
        <v>28286.310972825959</v>
      </c>
      <c r="E20" s="513">
        <f t="shared" ref="E20" si="2">D20</f>
        <v>28286.310972825959</v>
      </c>
      <c r="F20" s="513">
        <f t="shared" ref="F20" si="3">E20</f>
        <v>28286.310972825959</v>
      </c>
      <c r="G20" s="513">
        <f t="shared" ref="G20" si="4">F20</f>
        <v>28286.310972825959</v>
      </c>
      <c r="H20" s="513">
        <f t="shared" ref="H20" si="5">G20</f>
        <v>28286.310972825959</v>
      </c>
      <c r="I20" s="513">
        <f t="shared" ref="I20" si="6">H20</f>
        <v>28286.310972825959</v>
      </c>
      <c r="J20" s="513">
        <f t="shared" ref="J20" si="7">I20</f>
        <v>28286.310972825959</v>
      </c>
      <c r="K20" s="513">
        <f t="shared" ref="K20" si="8">J20</f>
        <v>28286.310972825959</v>
      </c>
      <c r="L20" s="513">
        <f t="shared" ref="L20" si="9">K20</f>
        <v>28286.310972825959</v>
      </c>
      <c r="M20" s="513">
        <f t="shared" ref="M20" si="10">L20</f>
        <v>28286.310972825959</v>
      </c>
      <c r="N20" s="513">
        <f t="shared" ref="N20" si="11">M20</f>
        <v>28286.310972825959</v>
      </c>
      <c r="O20" s="513">
        <f>-H.1!$E$21*SUM('C.2.2-F 09'!$P$17:$P$28)</f>
        <v>339435.7316739115</v>
      </c>
      <c r="P20" s="918"/>
      <c r="Q20" s="671"/>
      <c r="R20" s="671"/>
    </row>
    <row r="21" spans="1:18">
      <c r="A21" s="851">
        <f t="shared" si="0"/>
        <v>9</v>
      </c>
      <c r="B21" s="81" t="s">
        <v>42</v>
      </c>
      <c r="C21" s="430">
        <f>C53</f>
        <v>15511.59004566883</v>
      </c>
      <c r="D21" s="430">
        <f t="shared" ref="D21:N21" si="12">D53</f>
        <v>15511.59004566883</v>
      </c>
      <c r="E21" s="430">
        <f t="shared" si="12"/>
        <v>15511.59004566883</v>
      </c>
      <c r="F21" s="430">
        <f t="shared" si="12"/>
        <v>15511.59004566883</v>
      </c>
      <c r="G21" s="430">
        <f t="shared" si="12"/>
        <v>15511.59004566883</v>
      </c>
      <c r="H21" s="430">
        <f t="shared" si="12"/>
        <v>15511.59004566883</v>
      </c>
      <c r="I21" s="430">
        <f t="shared" si="12"/>
        <v>15887.919327337308</v>
      </c>
      <c r="J21" s="430">
        <f t="shared" si="12"/>
        <v>15887.919327337308</v>
      </c>
      <c r="K21" s="430">
        <f t="shared" si="12"/>
        <v>15887.919327337308</v>
      </c>
      <c r="L21" s="430">
        <f t="shared" si="12"/>
        <v>15887.919327337308</v>
      </c>
      <c r="M21" s="430">
        <f t="shared" si="12"/>
        <v>15887.919327337308</v>
      </c>
      <c r="N21" s="430">
        <f t="shared" si="12"/>
        <v>15887.919327337308</v>
      </c>
      <c r="O21" s="430">
        <f t="shared" si="1"/>
        <v>188397.05623803678</v>
      </c>
      <c r="P21" s="627"/>
      <c r="Q21" s="671"/>
    </row>
    <row r="22" spans="1:18">
      <c r="A22" s="851">
        <f t="shared" si="0"/>
        <v>10</v>
      </c>
      <c r="B22" s="81" t="s">
        <v>1001</v>
      </c>
      <c r="C22" s="430">
        <f>C40</f>
        <v>23138.257729600002</v>
      </c>
      <c r="D22" s="430">
        <f t="shared" ref="D22:N22" si="13">D40</f>
        <v>23138.257729600002</v>
      </c>
      <c r="E22" s="430">
        <f t="shared" si="13"/>
        <v>23138.257729600002</v>
      </c>
      <c r="F22" s="430">
        <f t="shared" si="13"/>
        <v>23138.257729600002</v>
      </c>
      <c r="G22" s="430">
        <f t="shared" si="13"/>
        <v>23138.257729600002</v>
      </c>
      <c r="H22" s="430">
        <f t="shared" si="13"/>
        <v>23138.257729600002</v>
      </c>
      <c r="I22" s="430">
        <f t="shared" si="13"/>
        <v>23687.747952560559</v>
      </c>
      <c r="J22" s="430">
        <f t="shared" si="13"/>
        <v>23687.747952560559</v>
      </c>
      <c r="K22" s="430">
        <f t="shared" si="13"/>
        <v>23687.747952560559</v>
      </c>
      <c r="L22" s="430">
        <f t="shared" si="13"/>
        <v>23687.747952560559</v>
      </c>
      <c r="M22" s="430">
        <f t="shared" si="13"/>
        <v>23687.747952560559</v>
      </c>
      <c r="N22" s="430">
        <f t="shared" si="13"/>
        <v>23687.747952560559</v>
      </c>
      <c r="O22" s="430">
        <f t="shared" si="1"/>
        <v>280956.03409296332</v>
      </c>
      <c r="P22" s="627"/>
      <c r="Q22" s="671"/>
    </row>
    <row r="23" spans="1:18">
      <c r="A23" s="851">
        <f t="shared" si="0"/>
        <v>11</v>
      </c>
      <c r="B23" s="81" t="s">
        <v>1224</v>
      </c>
      <c r="C23" s="430">
        <f>C68</f>
        <v>16273.475262000002</v>
      </c>
      <c r="D23" s="430">
        <f t="shared" ref="D23:N23" si="14">D68</f>
        <v>18515.143332000007</v>
      </c>
      <c r="E23" s="430">
        <f t="shared" si="14"/>
        <v>15180.659900000001</v>
      </c>
      <c r="F23" s="430">
        <f t="shared" si="14"/>
        <v>13733.70464</v>
      </c>
      <c r="G23" s="430">
        <f t="shared" si="14"/>
        <v>17519.408926</v>
      </c>
      <c r="H23" s="430">
        <f t="shared" si="14"/>
        <v>2396.9318900000003</v>
      </c>
      <c r="I23" s="430">
        <f t="shared" si="14"/>
        <v>18688.14884356</v>
      </c>
      <c r="J23" s="430">
        <f t="shared" si="14"/>
        <v>37989.938236120004</v>
      </c>
      <c r="K23" s="430">
        <f t="shared" si="14"/>
        <v>14072.712214480001</v>
      </c>
      <c r="L23" s="430">
        <f t="shared" si="14"/>
        <v>19617.412563140002</v>
      </c>
      <c r="M23" s="430">
        <f t="shared" si="14"/>
        <v>18767.384294796801</v>
      </c>
      <c r="N23" s="430">
        <f t="shared" si="14"/>
        <v>8050.3492303338035</v>
      </c>
      <c r="O23" s="430">
        <f t="shared" si="1"/>
        <v>200805.26933243065</v>
      </c>
      <c r="P23" s="627"/>
      <c r="Q23" s="671"/>
    </row>
    <row r="24" spans="1:18">
      <c r="A24" s="851">
        <f t="shared" si="0"/>
        <v>12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</row>
    <row r="25" spans="1:18">
      <c r="A25" s="851">
        <f t="shared" si="0"/>
        <v>13</v>
      </c>
      <c r="B25" s="81" t="s">
        <v>96</v>
      </c>
      <c r="C25" s="546">
        <f t="shared" ref="C25:N25" si="15">SUM(C13:C24)</f>
        <v>640835.38605233084</v>
      </c>
      <c r="D25" s="546">
        <f t="shared" si="15"/>
        <v>738128.50412233081</v>
      </c>
      <c r="E25" s="546">
        <f t="shared" si="15"/>
        <v>594668.64069033077</v>
      </c>
      <c r="F25" s="546">
        <f t="shared" si="15"/>
        <v>612103.78543033078</v>
      </c>
      <c r="G25" s="546">
        <f t="shared" si="15"/>
        <v>591162.8897163308</v>
      </c>
      <c r="H25" s="546">
        <f t="shared" si="15"/>
        <v>611801.23268033087</v>
      </c>
      <c r="I25" s="546">
        <f t="shared" si="15"/>
        <v>608408.7329385198</v>
      </c>
      <c r="J25" s="546">
        <f t="shared" si="15"/>
        <v>662709.7299310799</v>
      </c>
      <c r="K25" s="546">
        <f t="shared" si="15"/>
        <v>585360.26270943985</v>
      </c>
      <c r="L25" s="546">
        <f t="shared" si="15"/>
        <v>647320.34905809979</v>
      </c>
      <c r="M25" s="546">
        <f t="shared" si="15"/>
        <v>601851.91068975662</v>
      </c>
      <c r="N25" s="546">
        <f t="shared" si="15"/>
        <v>617485.50862529362</v>
      </c>
      <c r="O25" s="546">
        <f>SUM(C25:N25)</f>
        <v>7511836.9326441754</v>
      </c>
      <c r="P25" s="917"/>
    </row>
    <row r="26" spans="1:18">
      <c r="A26" s="851">
        <f t="shared" si="0"/>
        <v>14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8" ht="15.75">
      <c r="A27" s="851">
        <f t="shared" si="0"/>
        <v>15</v>
      </c>
      <c r="B27" s="297" t="s">
        <v>76</v>
      </c>
    </row>
    <row r="28" spans="1:18">
      <c r="A28" s="851">
        <f t="shared" si="0"/>
        <v>16</v>
      </c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346"/>
    </row>
    <row r="29" spans="1:18">
      <c r="A29" s="851">
        <f t="shared" si="0"/>
        <v>17</v>
      </c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430"/>
    </row>
    <row r="30" spans="1:18">
      <c r="A30" s="851">
        <f t="shared" si="0"/>
        <v>18</v>
      </c>
      <c r="B30" s="81" t="s">
        <v>1718</v>
      </c>
      <c r="C30" s="911">
        <f>'C.2.3 B'!$N29</f>
        <v>353794.0160813728</v>
      </c>
      <c r="D30" s="911">
        <f>'C.2.3 B'!$N29</f>
        <v>353794.0160813728</v>
      </c>
      <c r="E30" s="911">
        <f>'C.2.3 B'!$N29</f>
        <v>353794.0160813728</v>
      </c>
      <c r="F30" s="911">
        <f>'C.2.3 B'!$N29</f>
        <v>353794.0160813728</v>
      </c>
      <c r="G30" s="911">
        <f>'C.2.3 B'!$N29</f>
        <v>353794.0160813728</v>
      </c>
      <c r="H30" s="911">
        <f>'C.2.3 B'!$N29</f>
        <v>353794.0160813728</v>
      </c>
      <c r="I30" s="911">
        <f t="shared" ref="I30:N30" si="16">$H30*1.03</f>
        <v>364407.83656381397</v>
      </c>
      <c r="J30" s="911">
        <f t="shared" si="16"/>
        <v>364407.83656381397</v>
      </c>
      <c r="K30" s="911">
        <f t="shared" si="16"/>
        <v>364407.83656381397</v>
      </c>
      <c r="L30" s="911">
        <f t="shared" si="16"/>
        <v>364407.83656381397</v>
      </c>
      <c r="M30" s="911">
        <f t="shared" si="16"/>
        <v>364407.83656381397</v>
      </c>
      <c r="N30" s="911">
        <f t="shared" si="16"/>
        <v>364407.83656381397</v>
      </c>
      <c r="O30" s="430">
        <f t="shared" ref="O30:O35" si="17">SUM(C30:N30)</f>
        <v>4309211.1158711202</v>
      </c>
    </row>
    <row r="31" spans="1:18">
      <c r="A31" s="851">
        <f t="shared" si="0"/>
        <v>19</v>
      </c>
      <c r="B31" s="81" t="s">
        <v>289</v>
      </c>
      <c r="C31" s="911">
        <f>'C.2.3 B'!$N30</f>
        <v>93138.983918627186</v>
      </c>
      <c r="D31" s="911">
        <f>'C.2.3 B'!$N30</f>
        <v>93138.983918627186</v>
      </c>
      <c r="E31" s="911">
        <f>'C.2.3 B'!$N30</f>
        <v>93138.983918627186</v>
      </c>
      <c r="F31" s="911">
        <f>'C.2.3 B'!$N30</f>
        <v>93138.983918627186</v>
      </c>
      <c r="G31" s="911">
        <f>'C.2.3 B'!$N30</f>
        <v>93138.983918627186</v>
      </c>
      <c r="H31" s="911">
        <f>'C.2.3 B'!$N30</f>
        <v>93138.983918627186</v>
      </c>
      <c r="I31" s="911">
        <f>'C.2.3 B'!$N30</f>
        <v>93138.983918627186</v>
      </c>
      <c r="J31" s="911">
        <f>'C.2.3 B'!$N30</f>
        <v>93138.983918627186</v>
      </c>
      <c r="K31" s="911">
        <f>'C.2.3 B'!$N30</f>
        <v>93138.983918627186</v>
      </c>
      <c r="L31" s="911">
        <f>'C.2.3 B'!$N30</f>
        <v>93138.983918627186</v>
      </c>
      <c r="M31" s="911">
        <f>'C.2.3 B'!$N30</f>
        <v>93138.983918627186</v>
      </c>
      <c r="N31" s="911">
        <f>'C.2.3 B'!$N30</f>
        <v>93138.983918627186</v>
      </c>
      <c r="O31" s="513">
        <f>SUM(C31:N31)</f>
        <v>1117667.8070235259</v>
      </c>
      <c r="P31" s="627"/>
      <c r="Q31" s="627"/>
      <c r="R31" s="671"/>
    </row>
    <row r="32" spans="1:18">
      <c r="A32" s="851">
        <f t="shared" si="0"/>
        <v>20</v>
      </c>
      <c r="B32" s="81" t="s">
        <v>205</v>
      </c>
      <c r="C32" s="513">
        <f>'C.2.3 B'!N31</f>
        <v>0</v>
      </c>
      <c r="D32" s="513">
        <f>C32</f>
        <v>0</v>
      </c>
      <c r="E32" s="513">
        <f t="shared" ref="E32:N32" si="18">D32</f>
        <v>0</v>
      </c>
      <c r="F32" s="513">
        <f t="shared" si="18"/>
        <v>0</v>
      </c>
      <c r="G32" s="513">
        <f t="shared" si="18"/>
        <v>0</v>
      </c>
      <c r="H32" s="513">
        <f t="shared" si="18"/>
        <v>0</v>
      </c>
      <c r="I32" s="513">
        <f t="shared" si="18"/>
        <v>0</v>
      </c>
      <c r="J32" s="513">
        <f t="shared" si="18"/>
        <v>0</v>
      </c>
      <c r="K32" s="513">
        <f t="shared" si="18"/>
        <v>0</v>
      </c>
      <c r="L32" s="513">
        <f t="shared" si="18"/>
        <v>0</v>
      </c>
      <c r="M32" s="513">
        <f t="shared" si="18"/>
        <v>0</v>
      </c>
      <c r="N32" s="513">
        <f t="shared" si="18"/>
        <v>0</v>
      </c>
      <c r="O32" s="430">
        <f t="shared" si="17"/>
        <v>0</v>
      </c>
    </row>
    <row r="33" spans="1:18">
      <c r="A33" s="851">
        <f t="shared" si="0"/>
        <v>21</v>
      </c>
      <c r="B33" s="81" t="s">
        <v>206</v>
      </c>
      <c r="C33" s="513">
        <f>'C.2.3 B'!N32</f>
        <v>0</v>
      </c>
      <c r="D33" s="513">
        <f>C33</f>
        <v>0</v>
      </c>
      <c r="E33" s="513">
        <f t="shared" ref="E33:N33" si="19">D33</f>
        <v>0</v>
      </c>
      <c r="F33" s="513">
        <f t="shared" si="19"/>
        <v>0</v>
      </c>
      <c r="G33" s="513">
        <f t="shared" si="19"/>
        <v>0</v>
      </c>
      <c r="H33" s="513">
        <f t="shared" si="19"/>
        <v>0</v>
      </c>
      <c r="I33" s="513">
        <f t="shared" si="19"/>
        <v>0</v>
      </c>
      <c r="J33" s="513">
        <f t="shared" si="19"/>
        <v>0</v>
      </c>
      <c r="K33" s="513">
        <f t="shared" si="19"/>
        <v>0</v>
      </c>
      <c r="L33" s="513">
        <f t="shared" si="19"/>
        <v>0</v>
      </c>
      <c r="M33" s="513">
        <f t="shared" si="19"/>
        <v>0</v>
      </c>
      <c r="N33" s="513">
        <f t="shared" si="19"/>
        <v>0</v>
      </c>
      <c r="O33" s="430">
        <f t="shared" si="17"/>
        <v>0</v>
      </c>
    </row>
    <row r="34" spans="1:18">
      <c r="A34" s="851">
        <f t="shared" si="0"/>
        <v>22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1:18">
      <c r="A35" s="851">
        <f t="shared" si="0"/>
        <v>23</v>
      </c>
      <c r="B35" s="81" t="s">
        <v>207</v>
      </c>
      <c r="C35" s="546">
        <f t="shared" ref="C35:N35" si="20">SUM(C28:C34)</f>
        <v>446933</v>
      </c>
      <c r="D35" s="546">
        <f t="shared" si="20"/>
        <v>446933</v>
      </c>
      <c r="E35" s="546">
        <f t="shared" si="20"/>
        <v>446933</v>
      </c>
      <c r="F35" s="546">
        <f t="shared" si="20"/>
        <v>446933</v>
      </c>
      <c r="G35" s="546">
        <f t="shared" si="20"/>
        <v>446933</v>
      </c>
      <c r="H35" s="546">
        <f t="shared" si="20"/>
        <v>446933</v>
      </c>
      <c r="I35" s="546">
        <f t="shared" si="20"/>
        <v>457546.82048244117</v>
      </c>
      <c r="J35" s="546">
        <f t="shared" si="20"/>
        <v>457546.82048244117</v>
      </c>
      <c r="K35" s="546">
        <f t="shared" si="20"/>
        <v>457546.82048244117</v>
      </c>
      <c r="L35" s="546">
        <f t="shared" si="20"/>
        <v>457546.82048244117</v>
      </c>
      <c r="M35" s="546">
        <f t="shared" si="20"/>
        <v>457546.82048244117</v>
      </c>
      <c r="N35" s="546">
        <f t="shared" si="20"/>
        <v>457546.82048244117</v>
      </c>
      <c r="O35" s="546">
        <f t="shared" si="17"/>
        <v>5426878.9228946473</v>
      </c>
    </row>
    <row r="36" spans="1:18">
      <c r="A36" s="851">
        <f t="shared" si="0"/>
        <v>24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8">
      <c r="A37" s="851">
        <f t="shared" si="0"/>
        <v>25</v>
      </c>
      <c r="B37" s="81" t="s">
        <v>208</v>
      </c>
      <c r="C37" s="319">
        <f>Allocation!C14</f>
        <v>0.104</v>
      </c>
      <c r="D37" s="319">
        <f>$C$37</f>
        <v>0.104</v>
      </c>
      <c r="E37" s="319">
        <f t="shared" ref="E37:N37" si="21">$C$37</f>
        <v>0.104</v>
      </c>
      <c r="F37" s="319">
        <f t="shared" si="21"/>
        <v>0.104</v>
      </c>
      <c r="G37" s="319">
        <f t="shared" si="21"/>
        <v>0.104</v>
      </c>
      <c r="H37" s="319">
        <f t="shared" si="21"/>
        <v>0.104</v>
      </c>
      <c r="I37" s="319">
        <f t="shared" si="21"/>
        <v>0.104</v>
      </c>
      <c r="J37" s="319">
        <f t="shared" si="21"/>
        <v>0.104</v>
      </c>
      <c r="K37" s="319">
        <f t="shared" si="21"/>
        <v>0.104</v>
      </c>
      <c r="L37" s="319">
        <f t="shared" si="21"/>
        <v>0.104</v>
      </c>
      <c r="M37" s="319">
        <f t="shared" si="21"/>
        <v>0.104</v>
      </c>
      <c r="N37" s="319">
        <f t="shared" si="21"/>
        <v>0.104</v>
      </c>
    </row>
    <row r="38" spans="1:18">
      <c r="A38" s="851">
        <f t="shared" si="0"/>
        <v>26</v>
      </c>
      <c r="B38" s="81" t="s">
        <v>209</v>
      </c>
      <c r="C38" s="580">
        <f>Allocation!D14</f>
        <v>0.49780000000000002</v>
      </c>
      <c r="D38" s="580">
        <f>$C$38</f>
        <v>0.49780000000000002</v>
      </c>
      <c r="E38" s="580">
        <f t="shared" ref="E38:N38" si="22">$C$38</f>
        <v>0.49780000000000002</v>
      </c>
      <c r="F38" s="580">
        <f t="shared" si="22"/>
        <v>0.49780000000000002</v>
      </c>
      <c r="G38" s="580">
        <f t="shared" si="22"/>
        <v>0.49780000000000002</v>
      </c>
      <c r="H38" s="580">
        <f t="shared" si="22"/>
        <v>0.49780000000000002</v>
      </c>
      <c r="I38" s="580">
        <f t="shared" si="22"/>
        <v>0.49780000000000002</v>
      </c>
      <c r="J38" s="580">
        <f t="shared" si="22"/>
        <v>0.49780000000000002</v>
      </c>
      <c r="K38" s="580">
        <f t="shared" si="22"/>
        <v>0.49780000000000002</v>
      </c>
      <c r="L38" s="580">
        <f t="shared" si="22"/>
        <v>0.49780000000000002</v>
      </c>
      <c r="M38" s="580">
        <f t="shared" si="22"/>
        <v>0.49780000000000002</v>
      </c>
      <c r="N38" s="580">
        <f t="shared" si="22"/>
        <v>0.49780000000000002</v>
      </c>
    </row>
    <row r="39" spans="1:18">
      <c r="A39" s="851">
        <f t="shared" si="0"/>
        <v>27</v>
      </c>
    </row>
    <row r="40" spans="1:18">
      <c r="A40" s="851">
        <f t="shared" si="0"/>
        <v>28</v>
      </c>
      <c r="B40" s="81" t="s">
        <v>1357</v>
      </c>
      <c r="C40" s="919">
        <f t="shared" ref="C40:N40" si="23">C35*C37*C38</f>
        <v>23138.257729600002</v>
      </c>
      <c r="D40" s="919">
        <f t="shared" si="23"/>
        <v>23138.257729600002</v>
      </c>
      <c r="E40" s="919">
        <f t="shared" si="23"/>
        <v>23138.257729600002</v>
      </c>
      <c r="F40" s="919">
        <f t="shared" si="23"/>
        <v>23138.257729600002</v>
      </c>
      <c r="G40" s="919">
        <f t="shared" si="23"/>
        <v>23138.257729600002</v>
      </c>
      <c r="H40" s="919">
        <f t="shared" si="23"/>
        <v>23138.257729600002</v>
      </c>
      <c r="I40" s="919">
        <f t="shared" si="23"/>
        <v>23687.747952560559</v>
      </c>
      <c r="J40" s="919">
        <f t="shared" si="23"/>
        <v>23687.747952560559</v>
      </c>
      <c r="K40" s="919">
        <f t="shared" si="23"/>
        <v>23687.747952560559</v>
      </c>
      <c r="L40" s="919">
        <f t="shared" si="23"/>
        <v>23687.747952560559</v>
      </c>
      <c r="M40" s="919">
        <f t="shared" si="23"/>
        <v>23687.747952560559</v>
      </c>
      <c r="N40" s="919">
        <f t="shared" si="23"/>
        <v>23687.747952560559</v>
      </c>
      <c r="O40" s="546">
        <f>SUM(C40:N40)</f>
        <v>280956.03409296332</v>
      </c>
    </row>
    <row r="41" spans="1:18">
      <c r="A41" s="851">
        <f t="shared" si="0"/>
        <v>29</v>
      </c>
    </row>
    <row r="42" spans="1:18" ht="15.75">
      <c r="A42" s="851">
        <f t="shared" si="0"/>
        <v>30</v>
      </c>
      <c r="B42" s="297" t="s">
        <v>77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</row>
    <row r="43" spans="1:18">
      <c r="A43" s="851">
        <f t="shared" si="0"/>
        <v>31</v>
      </c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  <c r="N43" s="911"/>
      <c r="O43" s="346"/>
      <c r="P43" s="671"/>
    </row>
    <row r="44" spans="1:18">
      <c r="A44" s="851">
        <f t="shared" si="0"/>
        <v>32</v>
      </c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430"/>
    </row>
    <row r="45" spans="1:18">
      <c r="A45" s="851">
        <f t="shared" si="0"/>
        <v>33</v>
      </c>
      <c r="B45" s="81" t="s">
        <v>1718</v>
      </c>
      <c r="C45" s="911">
        <f>'C.2.3 B'!$N44</f>
        <v>222368.81178209756</v>
      </c>
      <c r="D45" s="911">
        <f>'C.2.3 B'!$N44</f>
        <v>222368.81178209756</v>
      </c>
      <c r="E45" s="911">
        <f>'C.2.3 B'!$N44</f>
        <v>222368.81178209756</v>
      </c>
      <c r="F45" s="911">
        <f>'C.2.3 B'!$N44</f>
        <v>222368.81178209756</v>
      </c>
      <c r="G45" s="911">
        <f>'C.2.3 B'!$N44</f>
        <v>222368.81178209756</v>
      </c>
      <c r="H45" s="911">
        <f>'C.2.3 B'!$N44</f>
        <v>222368.81178209756</v>
      </c>
      <c r="I45" s="911">
        <f t="shared" ref="I45:N45" si="24">$H45*1.03</f>
        <v>229039.87613556048</v>
      </c>
      <c r="J45" s="911">
        <f t="shared" si="24"/>
        <v>229039.87613556048</v>
      </c>
      <c r="K45" s="911">
        <f t="shared" si="24"/>
        <v>229039.87613556048</v>
      </c>
      <c r="L45" s="911">
        <f t="shared" si="24"/>
        <v>229039.87613556048</v>
      </c>
      <c r="M45" s="911">
        <f t="shared" si="24"/>
        <v>229039.87613556048</v>
      </c>
      <c r="N45" s="911">
        <f t="shared" si="24"/>
        <v>229039.87613556048</v>
      </c>
      <c r="O45" s="430">
        <f t="shared" ref="O45:O48" si="25">SUM(C45:N45)</f>
        <v>2708452.1275059483</v>
      </c>
    </row>
    <row r="46" spans="1:18">
      <c r="A46" s="851">
        <f t="shared" si="0"/>
        <v>34</v>
      </c>
      <c r="B46" s="81" t="s">
        <v>289</v>
      </c>
      <c r="C46" s="911">
        <f>'C.2.3 B'!$N45</f>
        <v>52600</v>
      </c>
      <c r="D46" s="513">
        <f>C46</f>
        <v>52600</v>
      </c>
      <c r="E46" s="513">
        <f t="shared" ref="E46:N46" si="26">D46</f>
        <v>52600</v>
      </c>
      <c r="F46" s="513">
        <f t="shared" si="26"/>
        <v>52600</v>
      </c>
      <c r="G46" s="513">
        <f t="shared" si="26"/>
        <v>52600</v>
      </c>
      <c r="H46" s="513">
        <f t="shared" si="26"/>
        <v>52600</v>
      </c>
      <c r="I46" s="513">
        <f t="shared" si="26"/>
        <v>52600</v>
      </c>
      <c r="J46" s="513">
        <f t="shared" si="26"/>
        <v>52600</v>
      </c>
      <c r="K46" s="513">
        <f t="shared" si="26"/>
        <v>52600</v>
      </c>
      <c r="L46" s="513">
        <f t="shared" si="26"/>
        <v>52600</v>
      </c>
      <c r="M46" s="513">
        <f t="shared" si="26"/>
        <v>52600</v>
      </c>
      <c r="N46" s="513">
        <f t="shared" si="26"/>
        <v>52600</v>
      </c>
      <c r="O46" s="513">
        <f>SUM(C46:N46)</f>
        <v>631200</v>
      </c>
      <c r="P46" s="627"/>
      <c r="Q46" s="627"/>
      <c r="R46" s="671"/>
    </row>
    <row r="47" spans="1:18">
      <c r="A47" s="851">
        <f t="shared" si="0"/>
        <v>35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</row>
    <row r="48" spans="1:18">
      <c r="A48" s="851">
        <f t="shared" si="0"/>
        <v>36</v>
      </c>
      <c r="B48" s="81" t="s">
        <v>207</v>
      </c>
      <c r="C48" s="546">
        <f t="shared" ref="C48:N48" si="27">SUM(C43:C46)</f>
        <v>274968.81178209756</v>
      </c>
      <c r="D48" s="546">
        <f t="shared" si="27"/>
        <v>274968.81178209756</v>
      </c>
      <c r="E48" s="546">
        <f t="shared" si="27"/>
        <v>274968.81178209756</v>
      </c>
      <c r="F48" s="546">
        <f t="shared" si="27"/>
        <v>274968.81178209756</v>
      </c>
      <c r="G48" s="546">
        <f t="shared" si="27"/>
        <v>274968.81178209756</v>
      </c>
      <c r="H48" s="546">
        <f t="shared" si="27"/>
        <v>274968.81178209756</v>
      </c>
      <c r="I48" s="546">
        <f t="shared" si="27"/>
        <v>281639.87613556045</v>
      </c>
      <c r="J48" s="546">
        <f t="shared" si="27"/>
        <v>281639.87613556045</v>
      </c>
      <c r="K48" s="546">
        <f t="shared" si="27"/>
        <v>281639.87613556045</v>
      </c>
      <c r="L48" s="546">
        <f t="shared" si="27"/>
        <v>281639.87613556045</v>
      </c>
      <c r="M48" s="546">
        <f t="shared" si="27"/>
        <v>281639.87613556045</v>
      </c>
      <c r="N48" s="546">
        <f t="shared" si="27"/>
        <v>281639.87613556045</v>
      </c>
      <c r="O48" s="546">
        <f t="shared" si="25"/>
        <v>3339652.1275059488</v>
      </c>
    </row>
    <row r="49" spans="1:18">
      <c r="A49" s="851">
        <f t="shared" si="0"/>
        <v>37</v>
      </c>
    </row>
    <row r="50" spans="1:18">
      <c r="A50" s="851">
        <f t="shared" si="0"/>
        <v>38</v>
      </c>
      <c r="B50" s="81" t="s">
        <v>208</v>
      </c>
      <c r="C50" s="580">
        <f>Allocation!C15</f>
        <v>0.1095</v>
      </c>
      <c r="D50" s="580">
        <f>$C$50</f>
        <v>0.1095</v>
      </c>
      <c r="E50" s="580">
        <f t="shared" ref="E50:N50" si="28">$C$50</f>
        <v>0.1095</v>
      </c>
      <c r="F50" s="580">
        <f t="shared" si="28"/>
        <v>0.1095</v>
      </c>
      <c r="G50" s="580">
        <f t="shared" si="28"/>
        <v>0.1095</v>
      </c>
      <c r="H50" s="580">
        <f t="shared" si="28"/>
        <v>0.1095</v>
      </c>
      <c r="I50" s="580">
        <f t="shared" si="28"/>
        <v>0.1095</v>
      </c>
      <c r="J50" s="580">
        <f t="shared" si="28"/>
        <v>0.1095</v>
      </c>
      <c r="K50" s="580">
        <f t="shared" si="28"/>
        <v>0.1095</v>
      </c>
      <c r="L50" s="580">
        <f t="shared" si="28"/>
        <v>0.1095</v>
      </c>
      <c r="M50" s="580">
        <f t="shared" si="28"/>
        <v>0.1095</v>
      </c>
      <c r="N50" s="580">
        <f t="shared" si="28"/>
        <v>0.1095</v>
      </c>
    </row>
    <row r="51" spans="1:18">
      <c r="A51" s="851">
        <f t="shared" si="0"/>
        <v>39</v>
      </c>
      <c r="B51" s="81" t="s">
        <v>209</v>
      </c>
      <c r="C51" s="580">
        <f>Allocation!D15</f>
        <v>0.51517972406888612</v>
      </c>
      <c r="D51" s="580">
        <f>$C$51</f>
        <v>0.51517972406888612</v>
      </c>
      <c r="E51" s="580">
        <f t="shared" ref="E51:N51" si="29">$C$51</f>
        <v>0.51517972406888612</v>
      </c>
      <c r="F51" s="580">
        <f t="shared" si="29"/>
        <v>0.51517972406888612</v>
      </c>
      <c r="G51" s="580">
        <f t="shared" si="29"/>
        <v>0.51517972406888612</v>
      </c>
      <c r="H51" s="580">
        <f t="shared" si="29"/>
        <v>0.51517972406888612</v>
      </c>
      <c r="I51" s="580">
        <f t="shared" si="29"/>
        <v>0.51517972406888612</v>
      </c>
      <c r="J51" s="580">
        <f t="shared" si="29"/>
        <v>0.51517972406888612</v>
      </c>
      <c r="K51" s="580">
        <f t="shared" si="29"/>
        <v>0.51517972406888612</v>
      </c>
      <c r="L51" s="580">
        <f t="shared" si="29"/>
        <v>0.51517972406888612</v>
      </c>
      <c r="M51" s="580">
        <f t="shared" si="29"/>
        <v>0.51517972406888612</v>
      </c>
      <c r="N51" s="580">
        <f t="shared" si="29"/>
        <v>0.51517972406888612</v>
      </c>
    </row>
    <row r="52" spans="1:18">
      <c r="A52" s="851">
        <f t="shared" si="0"/>
        <v>40</v>
      </c>
    </row>
    <row r="53" spans="1:18">
      <c r="A53" s="851">
        <f t="shared" si="0"/>
        <v>41</v>
      </c>
      <c r="B53" s="81" t="s">
        <v>1356</v>
      </c>
      <c r="C53" s="919">
        <f t="shared" ref="C53:N53" si="30">C48*C50*C51</f>
        <v>15511.59004566883</v>
      </c>
      <c r="D53" s="919">
        <f t="shared" si="30"/>
        <v>15511.59004566883</v>
      </c>
      <c r="E53" s="919">
        <f t="shared" si="30"/>
        <v>15511.59004566883</v>
      </c>
      <c r="F53" s="919">
        <f t="shared" si="30"/>
        <v>15511.59004566883</v>
      </c>
      <c r="G53" s="919">
        <f t="shared" si="30"/>
        <v>15511.59004566883</v>
      </c>
      <c r="H53" s="919">
        <f t="shared" si="30"/>
        <v>15511.59004566883</v>
      </c>
      <c r="I53" s="919">
        <f t="shared" si="30"/>
        <v>15887.919327337308</v>
      </c>
      <c r="J53" s="919">
        <f t="shared" si="30"/>
        <v>15887.919327337308</v>
      </c>
      <c r="K53" s="919">
        <f t="shared" si="30"/>
        <v>15887.919327337308</v>
      </c>
      <c r="L53" s="919">
        <f t="shared" si="30"/>
        <v>15887.919327337308</v>
      </c>
      <c r="M53" s="919">
        <f t="shared" si="30"/>
        <v>15887.919327337308</v>
      </c>
      <c r="N53" s="919">
        <f t="shared" si="30"/>
        <v>15887.919327337308</v>
      </c>
      <c r="O53" s="546">
        <f>SUM(C53:N53)</f>
        <v>188397.05623803678</v>
      </c>
    </row>
    <row r="54" spans="1:18">
      <c r="A54" s="851">
        <f t="shared" si="0"/>
        <v>42</v>
      </c>
    </row>
    <row r="55" spans="1:18" ht="15.75">
      <c r="A55" s="851">
        <f t="shared" si="0"/>
        <v>43</v>
      </c>
      <c r="B55" s="297" t="s">
        <v>78</v>
      </c>
    </row>
    <row r="56" spans="1:18">
      <c r="A56" s="851">
        <f t="shared" si="0"/>
        <v>44</v>
      </c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  <c r="O56" s="346"/>
    </row>
    <row r="57" spans="1:18">
      <c r="A57" s="851">
        <f t="shared" si="0"/>
        <v>45</v>
      </c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430"/>
    </row>
    <row r="58" spans="1:18">
      <c r="A58" s="851">
        <f t="shared" si="0"/>
        <v>46</v>
      </c>
      <c r="B58" s="81" t="s">
        <v>1718</v>
      </c>
      <c r="C58" s="911">
        <f>'[16]2019 PlanIt Budget'!J34</f>
        <v>31890.79</v>
      </c>
      <c r="D58" s="911">
        <f>'[16]2019 PlanIt Budget'!K34</f>
        <v>36393.94000000001</v>
      </c>
      <c r="E58" s="911">
        <f>'[16]2019 PlanIt Budget'!L34</f>
        <v>29695.5</v>
      </c>
      <c r="F58" s="911">
        <f>'[16]2019 PlanIt Budget'!M34</f>
        <v>26788.799999999999</v>
      </c>
      <c r="G58" s="911">
        <f>'[16]2019 PlanIt Budget'!N34</f>
        <v>34393.67</v>
      </c>
      <c r="H58" s="911">
        <f>'[16]2019 PlanIt Budget'!O34</f>
        <v>4015.05</v>
      </c>
      <c r="I58" s="911">
        <f>'[16]2019 PlanIt Budget'!D34*1.03</f>
        <v>36741.480199999998</v>
      </c>
      <c r="J58" s="911">
        <f>'[16]2019 PlanIt Budget'!E34*1.03</f>
        <v>75515.665399999998</v>
      </c>
      <c r="K58" s="911">
        <f>'[16]2019 PlanIt Budget'!F34*1.03</f>
        <v>27469.811600000001</v>
      </c>
      <c r="L58" s="911">
        <f>'[16]2019 PlanIt Budget'!G34*1.03</f>
        <v>38608.221300000005</v>
      </c>
      <c r="M58" s="911">
        <f>'[16]2019 PlanIt Budget'!H34*1.03</f>
        <v>36878.542300000001</v>
      </c>
      <c r="N58" s="911">
        <f>'[16]2019 PlanIt Budget'!I34*1.03</f>
        <v>15327.625700000006</v>
      </c>
      <c r="O58" s="346">
        <f t="shared" ref="O58:O63" si="31">SUM(C58:N58)</f>
        <v>393719.09650000004</v>
      </c>
    </row>
    <row r="59" spans="1:18">
      <c r="A59" s="851">
        <f t="shared" si="0"/>
        <v>47</v>
      </c>
      <c r="B59" s="80" t="s">
        <v>1223</v>
      </c>
      <c r="C59" s="911">
        <f>'C.2.3 B'!F58*1.03</f>
        <v>0</v>
      </c>
      <c r="D59" s="911">
        <f>'C.2.3 B'!G58*1.03</f>
        <v>0</v>
      </c>
      <c r="E59" s="911">
        <f>'C.2.3 B'!H58*1.03</f>
        <v>0</v>
      </c>
      <c r="F59" s="911">
        <f>'C.2.3 B'!I58*1.03</f>
        <v>0</v>
      </c>
      <c r="G59" s="911">
        <f>'C.2.3 B'!J58*1.03</f>
        <v>0</v>
      </c>
      <c r="H59" s="911">
        <f>'C.2.3 B'!K58*1.03</f>
        <v>0</v>
      </c>
      <c r="I59" s="911">
        <f>'C.2.3 B'!L58*1.03</f>
        <v>0</v>
      </c>
      <c r="J59" s="911">
        <f>'C.2.3 B'!M58*1.03</f>
        <v>0</v>
      </c>
      <c r="K59" s="911">
        <f>'C.2.3 B'!N58*1.03</f>
        <v>0</v>
      </c>
      <c r="L59" s="911">
        <f>'C.2.3 B'!C58*1.03*1.03</f>
        <v>0</v>
      </c>
      <c r="M59" s="911">
        <f>'C.2.3 B'!D58*1.03*1.03</f>
        <v>22.109155999999999</v>
      </c>
      <c r="N59" s="911">
        <f>'C.2.3 B'!E58*1.03*1.03</f>
        <v>44.228921</v>
      </c>
      <c r="O59" s="430">
        <f t="shared" si="31"/>
        <v>66.338076999999998</v>
      </c>
    </row>
    <row r="60" spans="1:18">
      <c r="A60" s="851">
        <f t="shared" si="0"/>
        <v>48</v>
      </c>
      <c r="B60" s="81" t="s">
        <v>289</v>
      </c>
      <c r="C60" s="513">
        <f>'[17]FY 2019 Budget'!$E$19</f>
        <v>800</v>
      </c>
      <c r="D60" s="513">
        <f>C60</f>
        <v>800</v>
      </c>
      <c r="E60" s="513">
        <f t="shared" ref="E60:N60" si="32">D60</f>
        <v>800</v>
      </c>
      <c r="F60" s="513">
        <f t="shared" si="32"/>
        <v>800</v>
      </c>
      <c r="G60" s="513">
        <f t="shared" si="32"/>
        <v>800</v>
      </c>
      <c r="H60" s="513">
        <f t="shared" si="32"/>
        <v>800</v>
      </c>
      <c r="I60" s="513">
        <f t="shared" si="32"/>
        <v>800</v>
      </c>
      <c r="J60" s="513">
        <f t="shared" si="32"/>
        <v>800</v>
      </c>
      <c r="K60" s="513">
        <f t="shared" si="32"/>
        <v>800</v>
      </c>
      <c r="L60" s="513">
        <f t="shared" si="32"/>
        <v>800</v>
      </c>
      <c r="M60" s="513">
        <f t="shared" si="32"/>
        <v>800</v>
      </c>
      <c r="N60" s="513">
        <f t="shared" si="32"/>
        <v>800</v>
      </c>
      <c r="O60" s="513">
        <f>SUM(C60:N60)</f>
        <v>9600</v>
      </c>
      <c r="P60" s="627"/>
      <c r="Q60" s="627"/>
      <c r="R60" s="671"/>
    </row>
    <row r="61" spans="1:18">
      <c r="A61" s="851">
        <f t="shared" si="0"/>
        <v>49</v>
      </c>
      <c r="B61" s="103" t="s">
        <v>1353</v>
      </c>
      <c r="C61" s="513">
        <f>'C.2.3 B'!N60</f>
        <v>0</v>
      </c>
      <c r="D61" s="513">
        <f>C61</f>
        <v>0</v>
      </c>
      <c r="E61" s="513">
        <f t="shared" ref="E61:N61" si="33">D61</f>
        <v>0</v>
      </c>
      <c r="F61" s="513">
        <f t="shared" si="33"/>
        <v>0</v>
      </c>
      <c r="G61" s="513">
        <f t="shared" si="33"/>
        <v>0</v>
      </c>
      <c r="H61" s="513">
        <f t="shared" si="33"/>
        <v>0</v>
      </c>
      <c r="I61" s="513">
        <f t="shared" si="33"/>
        <v>0</v>
      </c>
      <c r="J61" s="513">
        <f t="shared" si="33"/>
        <v>0</v>
      </c>
      <c r="K61" s="513">
        <f t="shared" si="33"/>
        <v>0</v>
      </c>
      <c r="L61" s="513">
        <f t="shared" si="33"/>
        <v>0</v>
      </c>
      <c r="M61" s="513">
        <f t="shared" si="33"/>
        <v>0</v>
      </c>
      <c r="N61" s="513">
        <f t="shared" si="33"/>
        <v>0</v>
      </c>
      <c r="O61" s="430">
        <f t="shared" si="31"/>
        <v>0</v>
      </c>
      <c r="P61" s="917"/>
    </row>
    <row r="62" spans="1:18">
      <c r="A62" s="851">
        <f t="shared" si="0"/>
        <v>50</v>
      </c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</row>
    <row r="63" spans="1:18">
      <c r="A63" s="851">
        <f t="shared" si="0"/>
        <v>51</v>
      </c>
      <c r="B63" s="81" t="s">
        <v>207</v>
      </c>
      <c r="C63" s="546">
        <f t="shared" ref="C63:N63" si="34">SUM(C56:C62)</f>
        <v>32690.79</v>
      </c>
      <c r="D63" s="546">
        <f t="shared" si="34"/>
        <v>37193.94000000001</v>
      </c>
      <c r="E63" s="546">
        <f t="shared" si="34"/>
        <v>30495.5</v>
      </c>
      <c r="F63" s="546">
        <f t="shared" si="34"/>
        <v>27588.799999999999</v>
      </c>
      <c r="G63" s="546">
        <f t="shared" si="34"/>
        <v>35193.67</v>
      </c>
      <c r="H63" s="546">
        <f t="shared" si="34"/>
        <v>4815.05</v>
      </c>
      <c r="I63" s="546">
        <f t="shared" si="34"/>
        <v>37541.480199999998</v>
      </c>
      <c r="J63" s="546">
        <f t="shared" si="34"/>
        <v>76315.665399999998</v>
      </c>
      <c r="K63" s="546">
        <f t="shared" si="34"/>
        <v>28269.811600000001</v>
      </c>
      <c r="L63" s="546">
        <f t="shared" si="34"/>
        <v>39408.221300000005</v>
      </c>
      <c r="M63" s="546">
        <f t="shared" si="34"/>
        <v>37700.651456</v>
      </c>
      <c r="N63" s="546">
        <f t="shared" si="34"/>
        <v>16171.854621000006</v>
      </c>
      <c r="O63" s="546">
        <f t="shared" si="31"/>
        <v>403385.43457700004</v>
      </c>
    </row>
    <row r="64" spans="1:18">
      <c r="A64" s="851">
        <f t="shared" si="0"/>
        <v>52</v>
      </c>
      <c r="G64" s="916"/>
    </row>
    <row r="65" spans="1:15">
      <c r="A65" s="851">
        <f t="shared" si="0"/>
        <v>53</v>
      </c>
      <c r="B65" s="81" t="s">
        <v>208</v>
      </c>
      <c r="C65" s="580">
        <v>1</v>
      </c>
      <c r="D65" s="580">
        <f>$C$65</f>
        <v>1</v>
      </c>
      <c r="E65" s="580">
        <f t="shared" ref="E65:N65" si="35">$C$65</f>
        <v>1</v>
      </c>
      <c r="F65" s="580">
        <f t="shared" si="35"/>
        <v>1</v>
      </c>
      <c r="G65" s="580">
        <f t="shared" si="35"/>
        <v>1</v>
      </c>
      <c r="H65" s="580">
        <f t="shared" si="35"/>
        <v>1</v>
      </c>
      <c r="I65" s="580">
        <f t="shared" si="35"/>
        <v>1</v>
      </c>
      <c r="J65" s="580">
        <f t="shared" si="35"/>
        <v>1</v>
      </c>
      <c r="K65" s="580">
        <f t="shared" si="35"/>
        <v>1</v>
      </c>
      <c r="L65" s="580">
        <f t="shared" si="35"/>
        <v>1</v>
      </c>
      <c r="M65" s="580">
        <f t="shared" si="35"/>
        <v>1</v>
      </c>
      <c r="N65" s="580">
        <f t="shared" si="35"/>
        <v>1</v>
      </c>
    </row>
    <row r="66" spans="1:15">
      <c r="A66" s="851">
        <f t="shared" si="0"/>
        <v>54</v>
      </c>
      <c r="B66" s="81" t="s">
        <v>209</v>
      </c>
      <c r="C66" s="580">
        <f>Allocation!D17</f>
        <v>0.49780000000000002</v>
      </c>
      <c r="D66" s="580">
        <f>$C$66</f>
        <v>0.49780000000000002</v>
      </c>
      <c r="E66" s="580">
        <f t="shared" ref="E66:N66" si="36">$C$66</f>
        <v>0.49780000000000002</v>
      </c>
      <c r="F66" s="580">
        <f t="shared" si="36"/>
        <v>0.49780000000000002</v>
      </c>
      <c r="G66" s="580">
        <f t="shared" si="36"/>
        <v>0.49780000000000002</v>
      </c>
      <c r="H66" s="580">
        <f t="shared" si="36"/>
        <v>0.49780000000000002</v>
      </c>
      <c r="I66" s="580">
        <f t="shared" si="36"/>
        <v>0.49780000000000002</v>
      </c>
      <c r="J66" s="580">
        <f t="shared" si="36"/>
        <v>0.49780000000000002</v>
      </c>
      <c r="K66" s="580">
        <f t="shared" si="36"/>
        <v>0.49780000000000002</v>
      </c>
      <c r="L66" s="580">
        <f t="shared" si="36"/>
        <v>0.49780000000000002</v>
      </c>
      <c r="M66" s="580">
        <f t="shared" si="36"/>
        <v>0.49780000000000002</v>
      </c>
      <c r="N66" s="580">
        <f t="shared" si="36"/>
        <v>0.49780000000000002</v>
      </c>
    </row>
    <row r="67" spans="1:15">
      <c r="A67" s="851">
        <f t="shared" si="0"/>
        <v>55</v>
      </c>
    </row>
    <row r="68" spans="1:15">
      <c r="A68" s="851">
        <f t="shared" si="0"/>
        <v>56</v>
      </c>
      <c r="B68" s="81" t="s">
        <v>1355</v>
      </c>
      <c r="C68" s="919">
        <f>C63*C65*C66</f>
        <v>16273.475262000002</v>
      </c>
      <c r="D68" s="919">
        <f t="shared" ref="D68:N68" si="37">D63*D65*D66</f>
        <v>18515.143332000007</v>
      </c>
      <c r="E68" s="919">
        <f t="shared" si="37"/>
        <v>15180.659900000001</v>
      </c>
      <c r="F68" s="919">
        <f t="shared" si="37"/>
        <v>13733.70464</v>
      </c>
      <c r="G68" s="919">
        <f t="shared" si="37"/>
        <v>17519.408926</v>
      </c>
      <c r="H68" s="919">
        <f t="shared" si="37"/>
        <v>2396.9318900000003</v>
      </c>
      <c r="I68" s="919">
        <f t="shared" si="37"/>
        <v>18688.14884356</v>
      </c>
      <c r="J68" s="919">
        <f t="shared" si="37"/>
        <v>37989.938236120004</v>
      </c>
      <c r="K68" s="919">
        <f t="shared" si="37"/>
        <v>14072.712214480001</v>
      </c>
      <c r="L68" s="919">
        <f t="shared" si="37"/>
        <v>19617.412563140002</v>
      </c>
      <c r="M68" s="919">
        <f t="shared" si="37"/>
        <v>18767.384294796801</v>
      </c>
      <c r="N68" s="919">
        <f t="shared" si="37"/>
        <v>8050.3492303338035</v>
      </c>
      <c r="O68" s="546">
        <f>SUM(C68:N68)</f>
        <v>200805.26933243065</v>
      </c>
    </row>
    <row r="69" spans="1:15">
      <c r="B69" s="920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C66" sqref="C66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195" t="str">
        <f>'Table of Contents'!A1:C1</f>
        <v>Atmos Energy Corporation, Kentucky/Mid-States Division</v>
      </c>
      <c r="B1" s="1195"/>
      <c r="C1" s="1195"/>
    </row>
    <row r="2" spans="1:3">
      <c r="A2" s="1195" t="str">
        <f>'Table of Contents'!A2:C2</f>
        <v>Kentucky Jurisdiction Case No. 2018-00281</v>
      </c>
      <c r="B2" s="1195"/>
      <c r="C2" s="1195"/>
    </row>
    <row r="3" spans="1:3">
      <c r="A3" s="1195" t="str">
        <f>'Table of Contents'!A3:C3</f>
        <v>Base Period: Twelve Months Ended December 31, 2018</v>
      </c>
      <c r="B3" s="1195"/>
      <c r="C3" s="1195"/>
    </row>
    <row r="4" spans="1:3">
      <c r="A4" s="1195" t="str">
        <f>'Table of Contents'!A4:C4</f>
        <v>Forecasted Test Period: Twelve Months Ended March 31, 2020</v>
      </c>
      <c r="B4" s="1195"/>
      <c r="C4" s="1195"/>
    </row>
    <row r="13" spans="1:3">
      <c r="A13" s="1195" t="s">
        <v>1432</v>
      </c>
      <c r="B13" s="1195"/>
      <c r="C13" s="1195"/>
    </row>
    <row r="15" spans="1:3">
      <c r="A15" s="1195" t="s">
        <v>59</v>
      </c>
      <c r="B15" s="1195"/>
      <c r="C15" s="1195"/>
    </row>
    <row r="18" spans="1:3">
      <c r="A18" s="58" t="s">
        <v>58</v>
      </c>
      <c r="B18" s="58" t="s">
        <v>614</v>
      </c>
      <c r="C18" s="58" t="s">
        <v>985</v>
      </c>
    </row>
    <row r="20" spans="1:3">
      <c r="A20" t="s">
        <v>1065</v>
      </c>
      <c r="B20" s="53">
        <v>4</v>
      </c>
      <c r="C20" t="s">
        <v>1077</v>
      </c>
    </row>
    <row r="21" spans="1:3">
      <c r="A21" t="s">
        <v>470</v>
      </c>
      <c r="B21" s="53">
        <v>1</v>
      </c>
      <c r="C21" t="s">
        <v>430</v>
      </c>
    </row>
    <row r="22" spans="1:3">
      <c r="A22" t="s">
        <v>1089</v>
      </c>
      <c r="B22" s="53">
        <v>1</v>
      </c>
      <c r="C22" t="s">
        <v>430</v>
      </c>
    </row>
    <row r="23" spans="1:3">
      <c r="A23" t="s">
        <v>1091</v>
      </c>
      <c r="B23" s="53">
        <v>1</v>
      </c>
      <c r="C23" t="s">
        <v>430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87" right="0.69" top="1" bottom="1" header="0.5" footer="0.5"/>
  <pageSetup scale="94" orientation="portrait" r:id="rId1"/>
  <headerFooter alignWithMargins="0"/>
  <colBreaks count="1" manualBreakCount="1">
    <brk id="3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178"/>
  <sheetViews>
    <sheetView view="pageBreakPreview" zoomScale="60" zoomScaleNormal="85" workbookViewId="0">
      <pane ySplit="12" topLeftCell="A13" activePane="bottomLeft" state="frozen"/>
      <selection activeCell="H168" sqref="H168"/>
      <selection pane="bottomLeft" activeCell="F51" sqref="F51"/>
    </sheetView>
  </sheetViews>
  <sheetFormatPr defaultColWidth="7.109375" defaultRowHeight="15.75" customHeight="1"/>
  <cols>
    <col min="1" max="1" width="15.21875" style="62" customWidth="1"/>
    <col min="2" max="2" width="9.109375" style="62" customWidth="1"/>
    <col min="3" max="3" width="43.109375" style="62" customWidth="1"/>
    <col min="4" max="4" width="12.44140625" style="62" customWidth="1"/>
    <col min="5" max="5" width="1.44140625" style="62" customWidth="1"/>
    <col min="6" max="6" width="13.33203125" style="62" customWidth="1"/>
    <col min="7" max="7" width="1.44140625" style="62" customWidth="1"/>
    <col min="8" max="8" width="12.5546875" style="62" customWidth="1"/>
    <col min="9" max="9" width="1.44140625" style="62" customWidth="1"/>
    <col min="10" max="10" width="16" style="62" customWidth="1"/>
    <col min="11" max="11" width="1.44140625" style="62" customWidth="1"/>
    <col min="12" max="12" width="10" style="62" customWidth="1"/>
    <col min="13" max="13" width="1.44140625" style="62" customWidth="1"/>
    <col min="14" max="14" width="12" style="62" customWidth="1"/>
    <col min="15" max="15" width="1.44140625" style="62" customWidth="1"/>
    <col min="16" max="16" width="13.5546875" style="62" customWidth="1"/>
    <col min="17" max="17" width="6.6640625" style="62" customWidth="1"/>
    <col min="18" max="18" width="7.44140625" style="62" customWidth="1"/>
    <col min="19" max="19" width="9.5546875" style="62" customWidth="1"/>
    <col min="20" max="20" width="6.109375" style="62" customWidth="1"/>
    <col min="21" max="21" width="5.33203125" style="62" customWidth="1"/>
    <col min="22" max="22" width="7.44140625" style="62" customWidth="1"/>
    <col min="23" max="16384" width="7.109375" style="62"/>
  </cols>
  <sheetData>
    <row r="1" spans="1:16" ht="15.75" customHeight="1">
      <c r="A1" s="173" t="str">
        <f>'Table of Contents'!A1:C1</f>
        <v>Atmos Energy Corporation, Kentucky/Mid-States Division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ht="15.75" customHeight="1">
      <c r="A2" s="173" t="str">
        <f>'Table of Contents'!A2:C2</f>
        <v>Kentucky Jurisdiction Case No. 2018-00281</v>
      </c>
      <c r="B2" s="200"/>
      <c r="C2" s="200"/>
      <c r="D2" s="1074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5.75" customHeight="1">
      <c r="A3" s="65" t="s">
        <v>53</v>
      </c>
      <c r="B3" s="200"/>
      <c r="C3" s="200"/>
      <c r="D3" s="1075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 customHeight="1">
      <c r="A4" s="65" t="s">
        <v>851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5.75" customHeight="1">
      <c r="A5" s="65" t="str">
        <f>Allocation!A4</f>
        <v>Forecasted Test Period: Twelve Months Ended March 31, 2020</v>
      </c>
      <c r="B5" s="200"/>
      <c r="C5" s="200"/>
      <c r="D5" s="65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5.75" customHeight="1">
      <c r="A6" s="65"/>
      <c r="B6" s="200"/>
      <c r="C6" s="200"/>
      <c r="D6" s="65"/>
      <c r="E6" s="200"/>
      <c r="F6" s="200"/>
      <c r="G6" s="200"/>
      <c r="H6" s="200"/>
      <c r="I6" s="200"/>
      <c r="J6" s="200"/>
      <c r="K6" s="200"/>
      <c r="M6" s="200"/>
      <c r="N6" s="94"/>
      <c r="O6" s="200"/>
      <c r="P6" s="94"/>
    </row>
    <row r="7" spans="1:16" ht="15.75" customHeight="1">
      <c r="A7" s="66" t="s">
        <v>680</v>
      </c>
      <c r="N7" s="470"/>
      <c r="P7" s="1076" t="s">
        <v>1433</v>
      </c>
    </row>
    <row r="8" spans="1:16" ht="15.75" customHeight="1">
      <c r="A8" s="66" t="s">
        <v>1048</v>
      </c>
      <c r="P8" s="697" t="s">
        <v>677</v>
      </c>
    </row>
    <row r="9" spans="1:16" ht="15.75" customHeight="1">
      <c r="A9" s="239" t="s">
        <v>365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698"/>
      <c r="M9" s="240"/>
      <c r="N9" s="240"/>
      <c r="O9" s="240"/>
      <c r="P9" s="1077" t="s">
        <v>1710</v>
      </c>
    </row>
    <row r="10" spans="1:16" ht="15.75" customHeight="1">
      <c r="H10" s="241" t="s">
        <v>218</v>
      </c>
    </row>
    <row r="11" spans="1:16" ht="15.75" customHeight="1">
      <c r="A11" s="241" t="s">
        <v>93</v>
      </c>
      <c r="B11" s="276" t="s">
        <v>1306</v>
      </c>
      <c r="D11" s="241" t="s">
        <v>44</v>
      </c>
      <c r="F11" s="1078" t="s">
        <v>470</v>
      </c>
      <c r="G11" s="1079"/>
      <c r="H11" s="1078" t="s">
        <v>470</v>
      </c>
      <c r="I11" s="1080"/>
      <c r="J11" s="1078" t="s">
        <v>470</v>
      </c>
      <c r="K11" s="1079"/>
      <c r="L11" s="1081" t="s">
        <v>1089</v>
      </c>
      <c r="M11" s="1082"/>
      <c r="N11" s="1081" t="s">
        <v>1089</v>
      </c>
      <c r="O11" s="1079"/>
      <c r="P11" s="1078" t="s">
        <v>96</v>
      </c>
    </row>
    <row r="12" spans="1:16" ht="15.75" customHeight="1">
      <c r="A12" s="1083" t="s">
        <v>99</v>
      </c>
      <c r="B12" s="277" t="s">
        <v>219</v>
      </c>
      <c r="C12" s="240"/>
      <c r="D12" s="1083" t="s">
        <v>538</v>
      </c>
      <c r="E12" s="240"/>
      <c r="F12" s="1083" t="s">
        <v>606</v>
      </c>
      <c r="G12" s="239" t="s">
        <v>323</v>
      </c>
      <c r="H12" s="1083" t="s">
        <v>464</v>
      </c>
      <c r="I12" s="239" t="s">
        <v>323</v>
      </c>
      <c r="J12" s="1083" t="s">
        <v>465</v>
      </c>
      <c r="K12" s="239" t="s">
        <v>323</v>
      </c>
      <c r="L12" s="973" t="s">
        <v>466</v>
      </c>
      <c r="M12" s="969" t="s">
        <v>323</v>
      </c>
      <c r="N12" s="973" t="s">
        <v>467</v>
      </c>
      <c r="O12" s="240"/>
      <c r="P12" s="1083" t="s">
        <v>471</v>
      </c>
    </row>
    <row r="14" spans="1:16" ht="15.75" customHeight="1">
      <c r="B14" s="66" t="s">
        <v>1113</v>
      </c>
    </row>
    <row r="15" spans="1:16" ht="15.75" customHeight="1">
      <c r="A15" s="241" t="s">
        <v>366</v>
      </c>
      <c r="B15" s="66" t="s">
        <v>1015</v>
      </c>
      <c r="D15" s="86">
        <f>'C.2.1 B'!D15</f>
        <v>106055301.6128896</v>
      </c>
      <c r="E15" s="96"/>
      <c r="F15" s="86">
        <f>'D.2.1'!D15</f>
        <v>-9535811.4770186841</v>
      </c>
      <c r="G15" s="86"/>
      <c r="H15" s="86"/>
      <c r="I15" s="86"/>
      <c r="J15" s="86"/>
      <c r="K15" s="86"/>
      <c r="L15" s="86"/>
      <c r="M15" s="86"/>
      <c r="N15" s="86"/>
      <c r="O15" s="86"/>
      <c r="P15" s="86">
        <f>SUM(F15:O15)</f>
        <v>-9535811.4770186841</v>
      </c>
    </row>
    <row r="16" spans="1:16" ht="15.75" customHeight="1">
      <c r="A16" s="241">
        <f>A15+1</f>
        <v>2</v>
      </c>
      <c r="B16" s="66" t="s">
        <v>1016</v>
      </c>
      <c r="D16" s="86">
        <f>'C.2.1 B'!D17</f>
        <v>45531133.19149138</v>
      </c>
      <c r="E16" s="96"/>
      <c r="F16" s="86">
        <f>'D.2.1'!D20</f>
        <v>-3923113.0897309631</v>
      </c>
      <c r="G16" s="86"/>
      <c r="H16" s="86"/>
      <c r="I16" s="86"/>
      <c r="J16" s="86"/>
      <c r="K16" s="86"/>
      <c r="L16" s="86"/>
      <c r="M16" s="86"/>
      <c r="N16" s="86"/>
      <c r="O16" s="86"/>
      <c r="P16" s="86">
        <f>SUM(F16:O16)</f>
        <v>-3923113.0897309631</v>
      </c>
    </row>
    <row r="17" spans="1:16" ht="15.75" customHeight="1">
      <c r="A17" s="241">
        <f t="shared" ref="A17:A42" si="0">A16+1</f>
        <v>3</v>
      </c>
      <c r="B17" s="66" t="s">
        <v>1017</v>
      </c>
      <c r="D17" s="86">
        <f>'C.2.1 B'!D18</f>
        <v>6051221.3783209361</v>
      </c>
      <c r="E17" s="96"/>
      <c r="F17" s="86">
        <f>'D.2.1'!D25</f>
        <v>-680836.54199891351</v>
      </c>
      <c r="G17" s="86"/>
      <c r="H17" s="86"/>
      <c r="I17" s="86"/>
      <c r="J17" s="86"/>
      <c r="K17" s="86"/>
      <c r="L17" s="86"/>
      <c r="M17" s="86"/>
      <c r="N17" s="86"/>
      <c r="O17" s="86"/>
      <c r="P17" s="86">
        <f>SUM(F17:O17)</f>
        <v>-680836.54199891351</v>
      </c>
    </row>
    <row r="18" spans="1:16" ht="15.75" customHeight="1">
      <c r="A18" s="241">
        <f t="shared" si="0"/>
        <v>4</v>
      </c>
      <c r="B18" s="66" t="s">
        <v>1018</v>
      </c>
      <c r="D18" s="86">
        <f>'C.2.1 B'!D21</f>
        <v>7513898.4409779608</v>
      </c>
      <c r="E18" s="96"/>
      <c r="F18" s="86">
        <f>'D.2.1'!D30</f>
        <v>-764091.63213006873</v>
      </c>
      <c r="G18" s="86"/>
      <c r="H18" s="86"/>
      <c r="I18" s="86"/>
      <c r="J18" s="86"/>
      <c r="K18" s="86"/>
      <c r="L18" s="86"/>
      <c r="M18" s="86"/>
      <c r="N18" s="86"/>
      <c r="O18" s="86"/>
      <c r="P18" s="86">
        <f>SUM(F18:O18)</f>
        <v>-764091.63213006873</v>
      </c>
    </row>
    <row r="19" spans="1:16" ht="15.75" customHeight="1">
      <c r="A19" s="241">
        <f t="shared" si="0"/>
        <v>5</v>
      </c>
      <c r="B19" s="66"/>
      <c r="D19" s="462"/>
      <c r="E19" s="96"/>
      <c r="F19" s="125"/>
      <c r="G19" s="86"/>
      <c r="H19" s="125"/>
      <c r="I19" s="86"/>
      <c r="J19" s="125"/>
      <c r="K19" s="86"/>
      <c r="L19" s="125"/>
      <c r="M19" s="86"/>
      <c r="N19" s="125"/>
      <c r="O19" s="86"/>
      <c r="P19" s="125"/>
    </row>
    <row r="20" spans="1:16" ht="15.75" customHeight="1">
      <c r="A20" s="241">
        <f t="shared" si="0"/>
        <v>6</v>
      </c>
      <c r="D20" s="86"/>
      <c r="E20" s="9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.75" customHeight="1">
      <c r="A21" s="241">
        <f t="shared" si="0"/>
        <v>7</v>
      </c>
      <c r="B21" s="66" t="s">
        <v>580</v>
      </c>
      <c r="D21" s="86">
        <f>SUM(D15:D19)</f>
        <v>165151554.62367988</v>
      </c>
      <c r="E21" s="96"/>
      <c r="F21" s="86">
        <f>SUM(F15:F19)</f>
        <v>-14903852.74087863</v>
      </c>
      <c r="G21" s="86"/>
      <c r="H21" s="86">
        <f>SUM(H15:H19)</f>
        <v>0</v>
      </c>
      <c r="I21" s="86"/>
      <c r="J21" s="86">
        <f>SUM(J15:J19)</f>
        <v>0</v>
      </c>
      <c r="K21" s="86"/>
      <c r="L21" s="86">
        <f>SUM(L15:L19)</f>
        <v>0</v>
      </c>
      <c r="M21" s="86"/>
      <c r="N21" s="86">
        <f>SUM(N15:N19)</f>
        <v>0</v>
      </c>
      <c r="O21" s="86"/>
      <c r="P21" s="86">
        <f>SUM(F21:O21)</f>
        <v>-14903852.74087863</v>
      </c>
    </row>
    <row r="22" spans="1:16" ht="15.75" customHeight="1">
      <c r="A22" s="241">
        <f t="shared" si="0"/>
        <v>8</v>
      </c>
      <c r="D22" s="86"/>
      <c r="E22" s="9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.75" customHeight="1">
      <c r="A23" s="241">
        <f t="shared" si="0"/>
        <v>9</v>
      </c>
      <c r="B23" s="66" t="s">
        <v>434</v>
      </c>
      <c r="D23" s="86"/>
      <c r="E23" s="9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5.75" customHeight="1">
      <c r="A24" s="241">
        <f t="shared" si="0"/>
        <v>10</v>
      </c>
      <c r="B24" s="66" t="s">
        <v>230</v>
      </c>
      <c r="D24" s="86">
        <f>'C.2.1 B'!D26</f>
        <v>1388388.7278780227</v>
      </c>
      <c r="E24" s="96"/>
      <c r="F24" s="86"/>
      <c r="G24" s="86"/>
      <c r="H24" s="86">
        <f>'D.2.1'!D40</f>
        <v>-83424.164104840951</v>
      </c>
      <c r="I24" s="86"/>
      <c r="J24" s="86"/>
      <c r="K24" s="86"/>
      <c r="L24" s="86"/>
      <c r="M24" s="86"/>
      <c r="N24" s="86"/>
      <c r="O24" s="86"/>
      <c r="P24" s="86">
        <f>SUM(F24:O24)</f>
        <v>-83424.164104840951</v>
      </c>
    </row>
    <row r="25" spans="1:16" ht="15.75" customHeight="1">
      <c r="A25" s="241">
        <f t="shared" si="0"/>
        <v>11</v>
      </c>
      <c r="B25" s="66" t="s">
        <v>566</v>
      </c>
      <c r="D25" s="86">
        <f>'C.2.1 B'!D27</f>
        <v>792006</v>
      </c>
      <c r="E25" s="96"/>
      <c r="F25" s="86"/>
      <c r="G25" s="86"/>
      <c r="H25" s="86">
        <f>'D.2.1'!D45</f>
        <v>14048</v>
      </c>
      <c r="I25" s="86"/>
      <c r="J25" s="86"/>
      <c r="K25" s="86"/>
      <c r="L25" s="86"/>
      <c r="M25" s="86"/>
      <c r="N25" s="86"/>
      <c r="O25" s="86"/>
      <c r="P25" s="86">
        <f>SUM(F25:O25)</f>
        <v>14048</v>
      </c>
    </row>
    <row r="26" spans="1:16" ht="15.75" customHeight="1">
      <c r="A26" s="241">
        <f t="shared" si="0"/>
        <v>12</v>
      </c>
      <c r="B26" s="66" t="s">
        <v>1222</v>
      </c>
      <c r="D26" s="86">
        <f>'C.2.1 B'!D28</f>
        <v>17013346.017499994</v>
      </c>
      <c r="E26" s="96"/>
      <c r="F26" s="86"/>
      <c r="G26" s="86"/>
      <c r="H26" s="86">
        <f>'D.2.1'!D50</f>
        <v>-2131964.0276271123</v>
      </c>
      <c r="I26" s="86"/>
      <c r="J26" s="86"/>
      <c r="K26" s="86"/>
      <c r="L26" s="86"/>
      <c r="M26" s="86"/>
      <c r="N26" s="86"/>
      <c r="O26" s="86"/>
      <c r="P26" s="86">
        <f>SUM(F26:O26)</f>
        <v>-2131964.0276271123</v>
      </c>
    </row>
    <row r="27" spans="1:16" ht="15.75" customHeight="1">
      <c r="A27" s="241">
        <f t="shared" si="0"/>
        <v>13</v>
      </c>
      <c r="B27" s="66" t="s">
        <v>222</v>
      </c>
      <c r="D27" s="462">
        <f>'C.2.1 B'!D29</f>
        <v>1148568.27</v>
      </c>
      <c r="E27" s="96"/>
      <c r="F27" s="125"/>
      <c r="G27" s="86"/>
      <c r="H27" s="125">
        <f>'D.2.1'!D55</f>
        <v>1329195.1305084745</v>
      </c>
      <c r="I27" s="86"/>
      <c r="J27" s="125"/>
      <c r="K27" s="86"/>
      <c r="L27" s="125"/>
      <c r="M27" s="86"/>
      <c r="N27" s="125"/>
      <c r="O27" s="86"/>
      <c r="P27" s="125">
        <f>SUM(F27:O27)</f>
        <v>1329195.1305084745</v>
      </c>
    </row>
    <row r="28" spans="1:16" ht="15.75" customHeight="1">
      <c r="A28" s="241">
        <f t="shared" si="0"/>
        <v>14</v>
      </c>
      <c r="D28" s="86"/>
      <c r="E28" s="9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5.75" customHeight="1">
      <c r="A29" s="241">
        <f t="shared" si="0"/>
        <v>15</v>
      </c>
      <c r="B29" s="66" t="s">
        <v>1156</v>
      </c>
      <c r="D29" s="125">
        <f>SUM(D24:D27)</f>
        <v>20342309.015378017</v>
      </c>
      <c r="E29" s="96"/>
      <c r="F29" s="125">
        <f>SUM(F25:F27)</f>
        <v>0</v>
      </c>
      <c r="G29" s="86"/>
      <c r="H29" s="125">
        <f>SUM(H24:H27)</f>
        <v>-872145.06122347852</v>
      </c>
      <c r="I29" s="86"/>
      <c r="J29" s="125">
        <f>SUM(J25:J27)</f>
        <v>0</v>
      </c>
      <c r="K29" s="96"/>
      <c r="L29" s="125">
        <f>SUM(L25:L27)</f>
        <v>0</v>
      </c>
      <c r="M29" s="86"/>
      <c r="N29" s="125">
        <f>SUM(N25:N27)</f>
        <v>0</v>
      </c>
      <c r="O29" s="86"/>
      <c r="P29" s="125">
        <f>SUM(F29:O29)</f>
        <v>-872145.06122347852</v>
      </c>
    </row>
    <row r="30" spans="1:16" ht="15.75" customHeight="1">
      <c r="A30" s="241">
        <f t="shared" si="0"/>
        <v>16</v>
      </c>
      <c r="D30" s="86"/>
      <c r="E30" s="96"/>
      <c r="F30" s="86"/>
      <c r="G30" s="86"/>
      <c r="H30" s="86"/>
      <c r="I30" s="86"/>
      <c r="J30" s="86"/>
      <c r="K30" s="96"/>
      <c r="L30" s="86"/>
      <c r="M30" s="86"/>
      <c r="N30" s="86"/>
      <c r="O30" s="86"/>
      <c r="P30" s="86"/>
    </row>
    <row r="31" spans="1:16" ht="15.75" customHeight="1">
      <c r="A31" s="241">
        <f t="shared" si="0"/>
        <v>17</v>
      </c>
      <c r="B31" s="66" t="s">
        <v>485</v>
      </c>
      <c r="D31" s="285">
        <f>D21+D29</f>
        <v>185493863.6390579</v>
      </c>
      <c r="E31" s="96"/>
      <c r="F31" s="285">
        <f>F21+F29</f>
        <v>-14903852.74087863</v>
      </c>
      <c r="G31" s="86"/>
      <c r="H31" s="285">
        <f>H21+H29</f>
        <v>-872145.06122347852</v>
      </c>
      <c r="I31" s="86"/>
      <c r="J31" s="285">
        <f>J21+J29</f>
        <v>0</v>
      </c>
      <c r="K31" s="96"/>
      <c r="L31" s="285">
        <f>L21+L29</f>
        <v>0</v>
      </c>
      <c r="M31" s="86"/>
      <c r="N31" s="285">
        <f>N21+N29</f>
        <v>0</v>
      </c>
      <c r="O31" s="86"/>
      <c r="P31" s="285">
        <f>SUM(F31:O31)</f>
        <v>-15775997.802102109</v>
      </c>
    </row>
    <row r="32" spans="1:16" ht="15.75" customHeight="1">
      <c r="A32" s="241">
        <f t="shared" si="0"/>
        <v>18</v>
      </c>
      <c r="D32" s="86"/>
      <c r="E32" s="9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20" ht="15.75" customHeight="1">
      <c r="A33" s="241">
        <f t="shared" si="0"/>
        <v>19</v>
      </c>
      <c r="B33" s="66" t="s">
        <v>838</v>
      </c>
      <c r="D33" s="86"/>
      <c r="E33" s="9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20" ht="15.75" customHeight="1">
      <c r="A34" s="241">
        <f t="shared" si="0"/>
        <v>20</v>
      </c>
      <c r="B34" s="66" t="s">
        <v>223</v>
      </c>
      <c r="D34" s="125">
        <f>'C.2.1 B'!D105</f>
        <v>83882421.513938576</v>
      </c>
      <c r="E34" s="96"/>
      <c r="F34" s="125"/>
      <c r="G34" s="86"/>
      <c r="H34" s="125"/>
      <c r="I34" s="86"/>
      <c r="J34" s="125">
        <f>'D.2.1'!D60</f>
        <v>-5500067.3606826961</v>
      </c>
      <c r="K34" s="86"/>
      <c r="L34" s="125"/>
      <c r="M34" s="86"/>
      <c r="N34" s="125"/>
      <c r="O34" s="86"/>
      <c r="P34" s="125">
        <f>SUM(F34:O34)</f>
        <v>-5500067.3606826961</v>
      </c>
    </row>
    <row r="35" spans="1:20" ht="15.75" customHeight="1">
      <c r="A35" s="241">
        <f t="shared" si="0"/>
        <v>21</v>
      </c>
      <c r="D35" s="86"/>
      <c r="E35" s="9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20" ht="15.75" customHeight="1">
      <c r="A36" s="241">
        <f t="shared" si="0"/>
        <v>22</v>
      </c>
      <c r="B36" s="66" t="s">
        <v>839</v>
      </c>
      <c r="D36" s="125">
        <f>SUM(D34:D34)</f>
        <v>83882421.513938576</v>
      </c>
      <c r="E36" s="96"/>
      <c r="F36" s="125">
        <f>SUM(F34:F34)</f>
        <v>0</v>
      </c>
      <c r="G36" s="86"/>
      <c r="H36" s="125">
        <f>SUM(H34:H34)</f>
        <v>0</v>
      </c>
      <c r="I36" s="86"/>
      <c r="J36" s="125">
        <f>SUM(J34:J34)</f>
        <v>-5500067.3606826961</v>
      </c>
      <c r="K36" s="86"/>
      <c r="L36" s="125">
        <f>SUM(L34:L34)</f>
        <v>0</v>
      </c>
      <c r="M36" s="96"/>
      <c r="N36" s="125">
        <f>SUM(N34:N34)</f>
        <v>0</v>
      </c>
      <c r="O36" s="86"/>
      <c r="P36" s="125">
        <f>SUM(F36:O36)</f>
        <v>-5500067.3606826961</v>
      </c>
    </row>
    <row r="37" spans="1:20" ht="15.75" customHeight="1">
      <c r="A37" s="241">
        <f t="shared" si="0"/>
        <v>23</v>
      </c>
      <c r="D37" s="86"/>
      <c r="E37" s="9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20" ht="15.75" customHeight="1">
      <c r="A38" s="241">
        <f t="shared" si="0"/>
        <v>24</v>
      </c>
      <c r="B38" s="66" t="s">
        <v>486</v>
      </c>
      <c r="D38" s="285">
        <f>D31-D36</f>
        <v>101611442.12511933</v>
      </c>
      <c r="E38" s="96"/>
      <c r="F38" s="285">
        <f>F31-F36</f>
        <v>-14903852.74087863</v>
      </c>
      <c r="G38" s="86"/>
      <c r="H38" s="285">
        <f>H31-H36</f>
        <v>-872145.06122347852</v>
      </c>
      <c r="I38" s="86"/>
      <c r="J38" s="285">
        <f>J31-J36</f>
        <v>5500067.3606826961</v>
      </c>
      <c r="K38" s="86"/>
      <c r="L38" s="285">
        <f>L31-L36</f>
        <v>0</v>
      </c>
      <c r="M38" s="96"/>
      <c r="N38" s="285">
        <f>N31-N36</f>
        <v>0</v>
      </c>
      <c r="O38" s="86"/>
      <c r="P38" s="285">
        <f>SUM(F38:O38)</f>
        <v>-10275930.441419413</v>
      </c>
    </row>
    <row r="39" spans="1:20" ht="15.75" customHeight="1">
      <c r="A39" s="241">
        <f t="shared" si="0"/>
        <v>25</v>
      </c>
      <c r="D39" s="86"/>
      <c r="E39" s="9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20" ht="15.75" customHeight="1">
      <c r="A40" s="241">
        <f t="shared" si="0"/>
        <v>26</v>
      </c>
      <c r="B40" s="66" t="s">
        <v>224</v>
      </c>
      <c r="D40" s="1008">
        <f>Allocation!E25</f>
        <v>0.2495</v>
      </c>
      <c r="E40" s="96"/>
      <c r="F40" s="285">
        <f>F38*$D$40</f>
        <v>-3718511.2588492185</v>
      </c>
      <c r="G40" s="86"/>
      <c r="H40" s="285">
        <f>H38*$D$40</f>
        <v>-217600.19277525789</v>
      </c>
      <c r="I40" s="86"/>
      <c r="J40" s="285">
        <f>J38*$D$40</f>
        <v>1372266.8064903326</v>
      </c>
      <c r="K40" s="86"/>
      <c r="L40" s="285">
        <f>L38*$D$40</f>
        <v>0</v>
      </c>
      <c r="M40" s="86"/>
      <c r="N40" s="285">
        <f>N38*$D$40</f>
        <v>0</v>
      </c>
      <c r="O40" s="86"/>
      <c r="P40" s="285">
        <f>P38*$D$40</f>
        <v>-2563844.6451341435</v>
      </c>
    </row>
    <row r="41" spans="1:20" ht="15.75" customHeight="1">
      <c r="A41" s="241">
        <f t="shared" si="0"/>
        <v>27</v>
      </c>
      <c r="D41" s="1008"/>
      <c r="E41" s="9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20" ht="15.75" customHeight="1">
      <c r="A42" s="241">
        <f t="shared" si="0"/>
        <v>28</v>
      </c>
      <c r="B42" s="66" t="s">
        <v>840</v>
      </c>
      <c r="D42" s="86"/>
      <c r="E42" s="96"/>
      <c r="F42" s="285">
        <f>F38-F40</f>
        <v>-11185341.482029412</v>
      </c>
      <c r="G42" s="86"/>
      <c r="H42" s="285">
        <f>H38-H40</f>
        <v>-654544.86844822066</v>
      </c>
      <c r="I42" s="86"/>
      <c r="J42" s="285">
        <f>J38-J40</f>
        <v>4127800.5541923633</v>
      </c>
      <c r="K42" s="86"/>
      <c r="L42" s="285">
        <f>L38-L40</f>
        <v>0</v>
      </c>
      <c r="M42" s="86"/>
      <c r="N42" s="285">
        <f>N38-N40</f>
        <v>0</v>
      </c>
      <c r="O42" s="86"/>
      <c r="P42" s="285">
        <f>P38-P40</f>
        <v>-7712085.7962852698</v>
      </c>
    </row>
    <row r="43" spans="1:20" ht="15.75" customHeight="1">
      <c r="A43" s="241"/>
      <c r="B43" s="66"/>
      <c r="D43" s="86"/>
      <c r="E43" s="96"/>
      <c r="F43" s="285"/>
      <c r="G43" s="86"/>
      <c r="H43" s="285"/>
      <c r="I43" s="86"/>
      <c r="J43" s="285"/>
      <c r="K43" s="86"/>
      <c r="L43" s="285"/>
      <c r="M43" s="86"/>
      <c r="N43" s="285"/>
      <c r="O43" s="86"/>
      <c r="P43" s="285"/>
    </row>
    <row r="44" spans="1:20" ht="15.75" customHeight="1">
      <c r="D44" s="96"/>
      <c r="E44" s="96"/>
      <c r="F44" s="96"/>
      <c r="G44" s="96"/>
      <c r="H44" s="856" t="s">
        <v>218</v>
      </c>
      <c r="I44" s="96"/>
      <c r="J44" s="96"/>
      <c r="K44" s="96"/>
      <c r="L44" s="96"/>
      <c r="M44" s="96"/>
      <c r="N44" s="96"/>
      <c r="O44" s="96"/>
      <c r="P44" s="856" t="s">
        <v>1090</v>
      </c>
    </row>
    <row r="45" spans="1:20" ht="15.75" customHeight="1">
      <c r="A45" s="241" t="s">
        <v>93</v>
      </c>
      <c r="B45" s="276" t="s">
        <v>1126</v>
      </c>
      <c r="D45" s="856" t="s">
        <v>44</v>
      </c>
      <c r="E45" s="96"/>
      <c r="F45" s="1081" t="s">
        <v>1089</v>
      </c>
      <c r="G45" s="1084"/>
      <c r="H45" s="1081" t="s">
        <v>1089</v>
      </c>
      <c r="I45" s="1082"/>
      <c r="J45" s="1081" t="s">
        <v>1089</v>
      </c>
      <c r="K45" s="1082"/>
      <c r="L45" s="1081" t="s">
        <v>1089</v>
      </c>
      <c r="M45" s="1082"/>
      <c r="N45" s="1081" t="s">
        <v>1089</v>
      </c>
      <c r="O45" s="1082"/>
      <c r="P45" s="856" t="s">
        <v>96</v>
      </c>
    </row>
    <row r="46" spans="1:20" ht="15.75" customHeight="1">
      <c r="A46" s="1083" t="s">
        <v>99</v>
      </c>
      <c r="B46" s="277" t="s">
        <v>219</v>
      </c>
      <c r="C46" s="240"/>
      <c r="D46" s="973" t="s">
        <v>538</v>
      </c>
      <c r="E46" s="641"/>
      <c r="F46" s="973" t="s">
        <v>606</v>
      </c>
      <c r="G46" s="969" t="s">
        <v>323</v>
      </c>
      <c r="H46" s="973" t="s">
        <v>464</v>
      </c>
      <c r="I46" s="969" t="s">
        <v>323</v>
      </c>
      <c r="J46" s="973" t="s">
        <v>465</v>
      </c>
      <c r="K46" s="969" t="s">
        <v>323</v>
      </c>
      <c r="L46" s="973" t="s">
        <v>466</v>
      </c>
      <c r="M46" s="969" t="s">
        <v>323</v>
      </c>
      <c r="N46" s="973" t="s">
        <v>467</v>
      </c>
      <c r="O46" s="969" t="s">
        <v>323</v>
      </c>
      <c r="P46" s="973" t="s">
        <v>471</v>
      </c>
    </row>
    <row r="47" spans="1:20" ht="15.75" customHeight="1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20" ht="15.75" customHeight="1">
      <c r="A48" s="241">
        <f>A42+1</f>
        <v>29</v>
      </c>
      <c r="B48" s="1085">
        <v>7590</v>
      </c>
      <c r="C48" s="62" t="s">
        <v>110</v>
      </c>
      <c r="D48" s="353">
        <f>'C.2.1 B'!D38</f>
        <v>0</v>
      </c>
      <c r="E48" s="353"/>
      <c r="F48" s="353" t="e">
        <f>SUMIF('[13]Div 9 forecast'!$C$9:$C$575,$B48, '[13]Div 9 forecast'!$AL$9:$AL$575)</f>
        <v>#VALUE!</v>
      </c>
      <c r="G48" s="398"/>
      <c r="H48" s="353" t="e">
        <f>SUMIF('[13]Div 9 forecast'!$C$9:$C$575,$B48, '[13]Div 9 forecast'!$AM$9:$AM$575)</f>
        <v>#VALUE!</v>
      </c>
      <c r="I48" s="353"/>
      <c r="J48" s="353" t="e">
        <f>SUMIF('[13]Div 9 forecast'!$C$9:$C$575,$B48, '[13]Div 9 forecast'!$AM$9:$AN$575)</f>
        <v>#VALUE!</v>
      </c>
      <c r="K48" s="353"/>
      <c r="L48" s="353">
        <v>0</v>
      </c>
      <c r="M48" s="353"/>
      <c r="N48" s="353">
        <v>0</v>
      </c>
      <c r="O48" s="457"/>
      <c r="P48" s="353" t="e">
        <f t="shared" ref="P48:P93" si="1">SUM(F48:O48)</f>
        <v>#VALUE!</v>
      </c>
      <c r="T48" s="1085"/>
    </row>
    <row r="49" spans="1:21" ht="15.75" customHeight="1">
      <c r="A49" s="241">
        <f t="shared" ref="A49:A93" si="2">A48+1</f>
        <v>30</v>
      </c>
      <c r="B49" s="1085">
        <v>8140</v>
      </c>
      <c r="C49" s="62" t="s">
        <v>110</v>
      </c>
      <c r="D49" s="353">
        <f>'C.2.1 B'!D45</f>
        <v>0</v>
      </c>
      <c r="E49" s="353"/>
      <c r="F49" s="353" t="e">
        <f>SUMIF('[13]Div 9 forecast'!$C$9:$C$575,$B49, '[13]Div 9 forecast'!$AL$9:$AL$575)</f>
        <v>#VALUE!</v>
      </c>
      <c r="G49" s="398"/>
      <c r="H49" s="353" t="e">
        <f>SUMIF('[13]Div 9 forecast'!$C$9:$C$575,$B49, '[13]Div 9 forecast'!$AM$9:$AM$575)</f>
        <v>#VALUE!</v>
      </c>
      <c r="I49" s="353"/>
      <c r="J49" s="353" t="e">
        <f>SUMIF('[13]Div 9 forecast'!$C$9:$C$575,$B49, '[13]Div 9 forecast'!$AM$9:$AN$575)</f>
        <v>#VALUE!</v>
      </c>
      <c r="K49" s="353"/>
      <c r="L49" s="353">
        <v>0</v>
      </c>
      <c r="M49" s="353"/>
      <c r="N49" s="353"/>
      <c r="O49" s="457"/>
      <c r="P49" s="353" t="e">
        <f t="shared" si="1"/>
        <v>#VALUE!</v>
      </c>
      <c r="T49" s="1085"/>
    </row>
    <row r="50" spans="1:21" ht="15.75" customHeight="1">
      <c r="A50" s="241">
        <f t="shared" si="2"/>
        <v>31</v>
      </c>
      <c r="B50" s="1085">
        <v>8150</v>
      </c>
      <c r="C50" s="62" t="s">
        <v>231</v>
      </c>
      <c r="D50" s="353">
        <f>'C.2.1 B'!D46</f>
        <v>0</v>
      </c>
      <c r="E50" s="353"/>
      <c r="F50" s="353" t="e">
        <f>SUMIF('[13]Div 9 forecast'!$C$9:$C$575,$B50, '[13]Div 9 forecast'!$AL$9:$AL$575)</f>
        <v>#VALUE!</v>
      </c>
      <c r="G50" s="398"/>
      <c r="H50" s="353" t="e">
        <f>SUMIF('[13]Div 9 forecast'!$C$9:$C$575,$B50, '[13]Div 9 forecast'!$AM$9:$AM$575)</f>
        <v>#VALUE!</v>
      </c>
      <c r="I50" s="353"/>
      <c r="J50" s="353" t="e">
        <f>SUMIF('[13]Div 9 forecast'!$C$9:$C$575,$B50, '[13]Div 9 forecast'!$AM$9:$AN$575)</f>
        <v>#VALUE!</v>
      </c>
      <c r="K50" s="353"/>
      <c r="L50" s="353">
        <v>0</v>
      </c>
      <c r="M50" s="353"/>
      <c r="N50" s="353">
        <v>0</v>
      </c>
      <c r="O50" s="457"/>
      <c r="P50" s="353" t="e">
        <f t="shared" si="1"/>
        <v>#VALUE!</v>
      </c>
      <c r="T50" s="1085"/>
    </row>
    <row r="51" spans="1:21" ht="15.75" customHeight="1">
      <c r="A51" s="241">
        <f t="shared" si="2"/>
        <v>32</v>
      </c>
      <c r="B51" s="1085">
        <v>8160</v>
      </c>
      <c r="C51" s="62" t="s">
        <v>111</v>
      </c>
      <c r="D51" s="353">
        <f>'C.2.1 B'!D47</f>
        <v>326733.70703518647</v>
      </c>
      <c r="E51" s="353"/>
      <c r="F51" s="353" t="e">
        <f>SUMIF('[13]Div 9 forecast'!$C$9:$C$575,$B51, '[13]Div 9 forecast'!$AL$9:$AL$575)</f>
        <v>#VALUE!</v>
      </c>
      <c r="G51" s="398"/>
      <c r="H51" s="353" t="e">
        <f>SUMIF('[13]Div 9 forecast'!$C$9:$C$575,$B51, '[13]Div 9 forecast'!$AM$9:$AM$575)</f>
        <v>#VALUE!</v>
      </c>
      <c r="I51" s="353"/>
      <c r="J51" s="353" t="e">
        <f>SUMIF('[13]Div 9 forecast'!$C$9:$C$575,$B51, '[13]Div 9 forecast'!$AM$9:$AN$575)</f>
        <v>#VALUE!</v>
      </c>
      <c r="K51" s="353"/>
      <c r="L51" s="353">
        <v>0</v>
      </c>
      <c r="M51" s="353"/>
      <c r="N51" s="353">
        <v>0</v>
      </c>
      <c r="O51" s="353"/>
      <c r="P51" s="353" t="e">
        <f t="shared" si="1"/>
        <v>#VALUE!</v>
      </c>
      <c r="T51" s="1085"/>
      <c r="U51" s="1085"/>
    </row>
    <row r="52" spans="1:21" ht="15.75" customHeight="1">
      <c r="A52" s="241">
        <f t="shared" si="2"/>
        <v>33</v>
      </c>
      <c r="B52" s="1085">
        <v>8170</v>
      </c>
      <c r="C52" s="62" t="s">
        <v>1192</v>
      </c>
      <c r="D52" s="353">
        <f>'C.2.1 B'!D48</f>
        <v>22639.166517089205</v>
      </c>
      <c r="E52" s="353"/>
      <c r="F52" s="353" t="e">
        <f>SUMIF('[13]Div 9 forecast'!$C$9:$C$575,$B52, '[13]Div 9 forecast'!$AL$9:$AL$575)</f>
        <v>#VALUE!</v>
      </c>
      <c r="G52" s="398"/>
      <c r="H52" s="353" t="e">
        <f>SUMIF('[13]Div 9 forecast'!$C$9:$C$575,$B52, '[13]Div 9 forecast'!$AM$9:$AM$575)</f>
        <v>#VALUE!</v>
      </c>
      <c r="I52" s="353"/>
      <c r="J52" s="353" t="e">
        <f>SUMIF('[13]Div 9 forecast'!$C$9:$C$575,$B52, '[13]Div 9 forecast'!$AM$9:$AN$575)</f>
        <v>#VALUE!</v>
      </c>
      <c r="K52" s="353"/>
      <c r="L52" s="353">
        <v>0</v>
      </c>
      <c r="M52" s="353"/>
      <c r="N52" s="353">
        <v>0</v>
      </c>
      <c r="O52" s="353"/>
      <c r="P52" s="353" t="e">
        <f t="shared" si="1"/>
        <v>#VALUE!</v>
      </c>
      <c r="T52" s="1085"/>
      <c r="U52" s="1085"/>
    </row>
    <row r="53" spans="1:21" ht="15.75" customHeight="1">
      <c r="A53" s="241">
        <f t="shared" si="2"/>
        <v>34</v>
      </c>
      <c r="B53" s="1085">
        <v>8180</v>
      </c>
      <c r="C53" s="62" t="s">
        <v>1193</v>
      </c>
      <c r="D53" s="353">
        <f>'C.2.1 B'!D49</f>
        <v>28860.318027231671</v>
      </c>
      <c r="E53" s="353"/>
      <c r="F53" s="353" t="e">
        <f>SUMIF('[13]Div 9 forecast'!$C$9:$C$575,$B53, '[13]Div 9 forecast'!$AL$9:$AL$575)</f>
        <v>#VALUE!</v>
      </c>
      <c r="G53" s="398"/>
      <c r="H53" s="353" t="e">
        <f>SUMIF('[13]Div 9 forecast'!$C$9:$C$575,$B53, '[13]Div 9 forecast'!$AM$9:$AM$575)</f>
        <v>#VALUE!</v>
      </c>
      <c r="I53" s="353"/>
      <c r="J53" s="353" t="e">
        <f>SUMIF('[13]Div 9 forecast'!$C$9:$C$575,$B53, '[13]Div 9 forecast'!$AM$9:$AN$575)</f>
        <v>#VALUE!</v>
      </c>
      <c r="K53" s="353"/>
      <c r="L53" s="353">
        <v>0</v>
      </c>
      <c r="M53" s="353"/>
      <c r="N53" s="353">
        <v>0</v>
      </c>
      <c r="O53" s="353"/>
      <c r="P53" s="353" t="e">
        <f t="shared" si="1"/>
        <v>#VALUE!</v>
      </c>
      <c r="T53" s="1085"/>
      <c r="U53" s="1085"/>
    </row>
    <row r="54" spans="1:21" ht="15.75" customHeight="1">
      <c r="A54" s="241">
        <f t="shared" si="2"/>
        <v>35</v>
      </c>
      <c r="B54" s="1085">
        <v>8190</v>
      </c>
      <c r="C54" s="62" t="s">
        <v>1041</v>
      </c>
      <c r="D54" s="353">
        <f>'C.2.1 B'!D50</f>
        <v>878.7995679654864</v>
      </c>
      <c r="E54" s="353"/>
      <c r="F54" s="353" t="e">
        <f>SUMIF('[13]Div 9 forecast'!$C$9:$C$575,$B54, '[13]Div 9 forecast'!$AL$9:$AL$575)</f>
        <v>#VALUE!</v>
      </c>
      <c r="G54" s="398"/>
      <c r="H54" s="353" t="e">
        <f>SUMIF('[13]Div 9 forecast'!$C$9:$C$575,$B54, '[13]Div 9 forecast'!$AM$9:$AM$575)</f>
        <v>#VALUE!</v>
      </c>
      <c r="I54" s="353"/>
      <c r="J54" s="353" t="e">
        <f>SUMIF('[13]Div 9 forecast'!$C$9:$C$575,$B54, '[13]Div 9 forecast'!$AM$9:$AN$575)</f>
        <v>#VALUE!</v>
      </c>
      <c r="K54" s="353"/>
      <c r="L54" s="353">
        <v>0</v>
      </c>
      <c r="M54" s="353"/>
      <c r="N54" s="353">
        <v>0</v>
      </c>
      <c r="O54" s="353"/>
      <c r="P54" s="353" t="e">
        <f t="shared" si="1"/>
        <v>#VALUE!</v>
      </c>
      <c r="T54" s="1085"/>
      <c r="U54" s="1085"/>
    </row>
    <row r="55" spans="1:21" ht="15.75" customHeight="1">
      <c r="A55" s="241">
        <f t="shared" si="2"/>
        <v>36</v>
      </c>
      <c r="B55" s="1085">
        <v>8200</v>
      </c>
      <c r="C55" s="62" t="s">
        <v>1042</v>
      </c>
      <c r="D55" s="353">
        <f>'C.2.1 B'!D51</f>
        <v>6847.0560669439419</v>
      </c>
      <c r="E55" s="353"/>
      <c r="F55" s="353" t="e">
        <f>SUMIF('[13]Div 9 forecast'!$C$9:$C$575,$B55, '[13]Div 9 forecast'!$AL$9:$AL$575)</f>
        <v>#VALUE!</v>
      </c>
      <c r="G55" s="398"/>
      <c r="H55" s="353" t="e">
        <f>SUMIF('[13]Div 9 forecast'!$C$9:$C$575,$B55, '[13]Div 9 forecast'!$AM$9:$AM$575)</f>
        <v>#VALUE!</v>
      </c>
      <c r="I55" s="353"/>
      <c r="J55" s="353" t="e">
        <f>SUMIF('[13]Div 9 forecast'!$C$9:$C$575,$B55, '[13]Div 9 forecast'!$AM$9:$AN$575)</f>
        <v>#VALUE!</v>
      </c>
      <c r="K55" s="353"/>
      <c r="L55" s="353">
        <v>0</v>
      </c>
      <c r="M55" s="353"/>
      <c r="N55" s="353">
        <v>0</v>
      </c>
      <c r="O55" s="353"/>
      <c r="P55" s="353" t="e">
        <f t="shared" si="1"/>
        <v>#VALUE!</v>
      </c>
      <c r="T55" s="1085"/>
      <c r="U55" s="1085"/>
    </row>
    <row r="56" spans="1:21" ht="15.75" customHeight="1">
      <c r="A56" s="241">
        <f t="shared" si="2"/>
        <v>37</v>
      </c>
      <c r="B56" s="1085">
        <v>8210</v>
      </c>
      <c r="C56" s="62" t="s">
        <v>1043</v>
      </c>
      <c r="D56" s="353">
        <f>'C.2.1 B'!D52</f>
        <v>54468.548257363182</v>
      </c>
      <c r="E56" s="353"/>
      <c r="F56" s="353" t="e">
        <f>SUMIF('[13]Div 9 forecast'!$C$9:$C$575,$B56, '[13]Div 9 forecast'!$AL$9:$AL$575)</f>
        <v>#VALUE!</v>
      </c>
      <c r="G56" s="398"/>
      <c r="H56" s="353" t="e">
        <f>SUMIF('[13]Div 9 forecast'!$C$9:$C$575,$B56, '[13]Div 9 forecast'!$AM$9:$AM$575)</f>
        <v>#VALUE!</v>
      </c>
      <c r="I56" s="457"/>
      <c r="J56" s="353" t="e">
        <f>SUMIF('[13]Div 9 forecast'!$C$9:$C$575,$B56, '[13]Div 9 forecast'!$AM$9:$AN$575)</f>
        <v>#VALUE!</v>
      </c>
      <c r="K56" s="353"/>
      <c r="L56" s="353">
        <v>0</v>
      </c>
      <c r="M56" s="353"/>
      <c r="N56" s="353">
        <v>0</v>
      </c>
      <c r="O56" s="353"/>
      <c r="P56" s="353" t="e">
        <f t="shared" si="1"/>
        <v>#VALUE!</v>
      </c>
      <c r="T56" s="1085"/>
      <c r="U56" s="1085"/>
    </row>
    <row r="57" spans="1:21" ht="15.75" customHeight="1">
      <c r="A57" s="241">
        <f t="shared" si="2"/>
        <v>38</v>
      </c>
      <c r="B57" s="1085">
        <v>8240</v>
      </c>
      <c r="C57" s="62" t="s">
        <v>1044</v>
      </c>
      <c r="D57" s="353">
        <f>'C.2.1 B'!D53</f>
        <v>0</v>
      </c>
      <c r="E57" s="353"/>
      <c r="F57" s="353" t="e">
        <f>SUMIF('[13]Div 9 forecast'!$C$9:$C$575,$B57, '[13]Div 9 forecast'!$AL$9:$AL$575)</f>
        <v>#VALUE!</v>
      </c>
      <c r="G57" s="398"/>
      <c r="H57" s="353" t="e">
        <f>SUMIF('[13]Div 9 forecast'!$C$9:$C$575,$B57, '[13]Div 9 forecast'!$AM$9:$AM$575)</f>
        <v>#VALUE!</v>
      </c>
      <c r="I57" s="457"/>
      <c r="J57" s="353" t="e">
        <f>SUMIF('[13]Div 9 forecast'!$C$9:$C$575,$B57, '[13]Div 9 forecast'!$AM$9:$AN$575)</f>
        <v>#VALUE!</v>
      </c>
      <c r="K57" s="457"/>
      <c r="L57" s="353">
        <v>0</v>
      </c>
      <c r="M57" s="457"/>
      <c r="N57" s="353">
        <v>0</v>
      </c>
      <c r="O57" s="353"/>
      <c r="P57" s="353" t="e">
        <f t="shared" si="1"/>
        <v>#VALUE!</v>
      </c>
      <c r="T57" s="1085"/>
      <c r="U57" s="1085"/>
    </row>
    <row r="58" spans="1:21" ht="15.75" customHeight="1">
      <c r="A58" s="241">
        <f t="shared" si="2"/>
        <v>39</v>
      </c>
      <c r="B58" s="1085">
        <v>8250</v>
      </c>
      <c r="C58" s="62" t="s">
        <v>1045</v>
      </c>
      <c r="D58" s="353">
        <f>'C.2.1 B'!D54</f>
        <v>10451.362217408931</v>
      </c>
      <c r="E58" s="353"/>
      <c r="F58" s="353" t="e">
        <f>SUMIF('[13]Div 9 forecast'!$C$9:$C$575,$B58, '[13]Div 9 forecast'!$AL$9:$AL$575)</f>
        <v>#VALUE!</v>
      </c>
      <c r="G58" s="398"/>
      <c r="H58" s="353" t="e">
        <f>SUMIF('[13]Div 9 forecast'!$C$9:$C$575,$B58, '[13]Div 9 forecast'!$AM$9:$AM$575)</f>
        <v>#VALUE!</v>
      </c>
      <c r="I58" s="457"/>
      <c r="J58" s="353" t="e">
        <f>SUMIF('[13]Div 9 forecast'!$C$9:$C$575,$B58, '[13]Div 9 forecast'!$AM$9:$AN$575)</f>
        <v>#VALUE!</v>
      </c>
      <c r="K58" s="457"/>
      <c r="L58" s="353">
        <v>0</v>
      </c>
      <c r="M58" s="457"/>
      <c r="N58" s="353">
        <v>0</v>
      </c>
      <c r="O58" s="457"/>
      <c r="P58" s="353" t="e">
        <f t="shared" si="1"/>
        <v>#VALUE!</v>
      </c>
      <c r="T58" s="1085"/>
      <c r="U58" s="1085"/>
    </row>
    <row r="59" spans="1:21" ht="15.75" customHeight="1">
      <c r="A59" s="241">
        <f t="shared" si="2"/>
        <v>40</v>
      </c>
      <c r="B59" s="1085">
        <v>8310</v>
      </c>
      <c r="C59" s="62" t="s">
        <v>1046</v>
      </c>
      <c r="D59" s="353">
        <f>'C.2.1 B'!D58</f>
        <v>13540.510444177393</v>
      </c>
      <c r="E59" s="353"/>
      <c r="F59" s="353" t="e">
        <f>SUMIF('[13]Div 9 forecast'!$C$9:$C$575,$B59, '[13]Div 9 forecast'!$AL$9:$AL$575)</f>
        <v>#VALUE!</v>
      </c>
      <c r="G59" s="398"/>
      <c r="H59" s="353" t="e">
        <f>SUMIF('[13]Div 9 forecast'!$C$9:$C$575,$B59, '[13]Div 9 forecast'!$AM$9:$AM$575)</f>
        <v>#VALUE!</v>
      </c>
      <c r="I59" s="457"/>
      <c r="J59" s="353" t="e">
        <f>SUMIF('[13]Div 9 forecast'!$C$9:$C$575,$B59, '[13]Div 9 forecast'!$AM$9:$AN$575)</f>
        <v>#VALUE!</v>
      </c>
      <c r="K59" s="457"/>
      <c r="L59" s="353">
        <v>0</v>
      </c>
      <c r="M59" s="457"/>
      <c r="N59" s="353">
        <v>0</v>
      </c>
      <c r="O59" s="353"/>
      <c r="P59" s="353" t="e">
        <f t="shared" si="1"/>
        <v>#VALUE!</v>
      </c>
      <c r="T59" s="1085"/>
      <c r="U59" s="1085"/>
    </row>
    <row r="60" spans="1:21" ht="15.75" customHeight="1">
      <c r="A60" s="241">
        <f t="shared" si="2"/>
        <v>41</v>
      </c>
      <c r="B60" s="1085">
        <v>8320</v>
      </c>
      <c r="C60" s="62" t="s">
        <v>1047</v>
      </c>
      <c r="D60" s="353">
        <f>'C.2.1 B'!D59</f>
        <v>0</v>
      </c>
      <c r="E60" s="353"/>
      <c r="F60" s="353" t="e">
        <f>SUMIF('[13]Div 9 forecast'!$C$9:$C$575,$B60, '[13]Div 9 forecast'!$AL$9:$AL$575)</f>
        <v>#VALUE!</v>
      </c>
      <c r="G60" s="398"/>
      <c r="H60" s="353" t="e">
        <f>SUMIF('[13]Div 9 forecast'!$C$9:$C$575,$B60, '[13]Div 9 forecast'!$AM$9:$AM$575)</f>
        <v>#VALUE!</v>
      </c>
      <c r="I60" s="457"/>
      <c r="J60" s="353" t="e">
        <f>SUMIF('[13]Div 9 forecast'!$C$9:$C$575,$B60, '[13]Div 9 forecast'!$AM$9:$AN$575)</f>
        <v>#VALUE!</v>
      </c>
      <c r="K60" s="457"/>
      <c r="L60" s="353">
        <v>0</v>
      </c>
      <c r="M60" s="457"/>
      <c r="N60" s="353">
        <v>0</v>
      </c>
      <c r="O60" s="457"/>
      <c r="P60" s="353" t="e">
        <f t="shared" si="1"/>
        <v>#VALUE!</v>
      </c>
      <c r="T60" s="1085"/>
      <c r="U60" s="1085"/>
    </row>
    <row r="61" spans="1:21" ht="15.75" customHeight="1">
      <c r="A61" s="241">
        <f t="shared" si="2"/>
        <v>42</v>
      </c>
      <c r="B61" s="1085">
        <v>8340</v>
      </c>
      <c r="C61" s="62" t="s">
        <v>387</v>
      </c>
      <c r="D61" s="353">
        <f>'C.2.1 B'!D60</f>
        <v>3462.7436215840307</v>
      </c>
      <c r="E61" s="353"/>
      <c r="F61" s="353" t="e">
        <f>SUMIF('[13]Div 9 forecast'!$C$9:$C$575,$B61, '[13]Div 9 forecast'!$AL$9:$AL$575)</f>
        <v>#VALUE!</v>
      </c>
      <c r="G61" s="398"/>
      <c r="H61" s="353" t="e">
        <f>SUMIF('[13]Div 9 forecast'!$C$9:$C$575,$B61, '[13]Div 9 forecast'!$AM$9:$AM$575)</f>
        <v>#VALUE!</v>
      </c>
      <c r="I61" s="457"/>
      <c r="J61" s="353" t="e">
        <f>SUMIF('[13]Div 9 forecast'!$C$9:$C$575,$B61, '[13]Div 9 forecast'!$AM$9:$AN$575)</f>
        <v>#VALUE!</v>
      </c>
      <c r="K61" s="457"/>
      <c r="L61" s="353">
        <v>0</v>
      </c>
      <c r="M61" s="457"/>
      <c r="N61" s="353">
        <v>0</v>
      </c>
      <c r="O61" s="353"/>
      <c r="P61" s="353" t="e">
        <f t="shared" si="1"/>
        <v>#VALUE!</v>
      </c>
      <c r="T61" s="1085"/>
      <c r="U61" s="1085"/>
    </row>
    <row r="62" spans="1:21" ht="15.75" customHeight="1">
      <c r="A62" s="241">
        <f t="shared" si="2"/>
        <v>43</v>
      </c>
      <c r="B62" s="1085">
        <v>8350</v>
      </c>
      <c r="C62" s="62" t="s">
        <v>235</v>
      </c>
      <c r="D62" s="353">
        <f>'C.2.1 B'!D61</f>
        <v>0</v>
      </c>
      <c r="E62" s="353"/>
      <c r="F62" s="353" t="e">
        <f>SUMIF('[13]Div 9 forecast'!$C$9:$C$575,$B62, '[13]Div 9 forecast'!$AL$9:$AL$575)</f>
        <v>#VALUE!</v>
      </c>
      <c r="G62" s="398"/>
      <c r="H62" s="353" t="e">
        <f>SUMIF('[13]Div 9 forecast'!$C$9:$C$575,$B62, '[13]Div 9 forecast'!$AM$9:$AM$575)</f>
        <v>#VALUE!</v>
      </c>
      <c r="I62" s="457"/>
      <c r="J62" s="353" t="e">
        <f>SUMIF('[13]Div 9 forecast'!$C$9:$C$575,$B62, '[13]Div 9 forecast'!$AM$9:$AN$575)</f>
        <v>#VALUE!</v>
      </c>
      <c r="K62" s="353"/>
      <c r="L62" s="353">
        <v>0</v>
      </c>
      <c r="M62" s="457"/>
      <c r="N62" s="353">
        <v>0</v>
      </c>
      <c r="O62" s="457"/>
      <c r="P62" s="353" t="e">
        <f t="shared" si="1"/>
        <v>#VALUE!</v>
      </c>
      <c r="T62" s="1085"/>
      <c r="U62" s="1085"/>
    </row>
    <row r="63" spans="1:21" ht="15.75" customHeight="1">
      <c r="A63" s="241">
        <f t="shared" si="2"/>
        <v>44</v>
      </c>
      <c r="B63" s="1085">
        <v>8360</v>
      </c>
      <c r="C63" s="62" t="s">
        <v>236</v>
      </c>
      <c r="D63" s="353">
        <f>'C.2.1 B'!D62</f>
        <v>0</v>
      </c>
      <c r="E63" s="353"/>
      <c r="F63" s="353" t="e">
        <f>SUMIF('[13]Div 9 forecast'!$C$9:$C$575,$B63, '[13]Div 9 forecast'!$AL$9:$AL$575)</f>
        <v>#VALUE!</v>
      </c>
      <c r="G63" s="398"/>
      <c r="H63" s="353" t="e">
        <f>SUMIF('[13]Div 9 forecast'!$C$9:$C$575,$B63, '[13]Div 9 forecast'!$AM$9:$AM$575)</f>
        <v>#VALUE!</v>
      </c>
      <c r="I63" s="457"/>
      <c r="J63" s="353" t="e">
        <f>SUMIF('[13]Div 9 forecast'!$C$9:$C$575,$B63, '[13]Div 9 forecast'!$AM$9:$AN$575)</f>
        <v>#VALUE!</v>
      </c>
      <c r="K63" s="353"/>
      <c r="L63" s="353">
        <v>0</v>
      </c>
      <c r="M63" s="457"/>
      <c r="N63" s="353">
        <v>0</v>
      </c>
      <c r="O63" s="457"/>
      <c r="P63" s="353" t="e">
        <f t="shared" si="1"/>
        <v>#VALUE!</v>
      </c>
      <c r="T63" s="1085"/>
      <c r="U63" s="1085"/>
    </row>
    <row r="64" spans="1:21" ht="15.75" customHeight="1">
      <c r="A64" s="241">
        <f t="shared" si="2"/>
        <v>45</v>
      </c>
      <c r="B64" s="1085">
        <v>8370</v>
      </c>
      <c r="C64" s="66" t="s">
        <v>1379</v>
      </c>
      <c r="D64" s="353">
        <f>'C.2.1 B'!D63</f>
        <v>0</v>
      </c>
      <c r="E64" s="353"/>
      <c r="F64" s="353" t="e">
        <f>SUMIF('[13]Div 9 forecast'!$C$9:$C$575,$B64, '[13]Div 9 forecast'!$AL$9:$AL$575)</f>
        <v>#VALUE!</v>
      </c>
      <c r="G64" s="398"/>
      <c r="H64" s="353" t="e">
        <f>SUMIF('[13]Div 9 forecast'!$C$9:$C$575,$B64, '[13]Div 9 forecast'!$AM$9:$AM$575)</f>
        <v>#VALUE!</v>
      </c>
      <c r="I64" s="457"/>
      <c r="J64" s="353" t="e">
        <f>SUMIF('[13]Div 9 forecast'!$C$9:$C$575,$B64, '[13]Div 9 forecast'!$AM$9:$AN$575)</f>
        <v>#VALUE!</v>
      </c>
      <c r="K64" s="353"/>
      <c r="L64" s="353">
        <v>0</v>
      </c>
      <c r="M64" s="457"/>
      <c r="N64" s="353"/>
      <c r="O64" s="457"/>
      <c r="P64" s="353" t="e">
        <f t="shared" si="1"/>
        <v>#VALUE!</v>
      </c>
      <c r="T64" s="1085"/>
      <c r="U64" s="1085"/>
    </row>
    <row r="65" spans="1:21" ht="15.75" customHeight="1">
      <c r="A65" s="241">
        <f t="shared" si="2"/>
        <v>46</v>
      </c>
      <c r="B65" s="1085">
        <v>8400</v>
      </c>
      <c r="C65" s="62" t="s">
        <v>473</v>
      </c>
      <c r="D65" s="353">
        <v>0</v>
      </c>
      <c r="E65" s="353"/>
      <c r="F65" s="353" t="e">
        <f>SUMIF('[13]Div 9 forecast'!$C$9:$C$575,$B65, '[13]Div 9 forecast'!$AL$9:$AL$575)</f>
        <v>#VALUE!</v>
      </c>
      <c r="G65" s="398"/>
      <c r="H65" s="353" t="e">
        <f>SUMIF('[13]Div 9 forecast'!$C$9:$C$575,$B65, '[13]Div 9 forecast'!$AM$9:$AM$575)</f>
        <v>#VALUE!</v>
      </c>
      <c r="I65" s="457"/>
      <c r="J65" s="353" t="e">
        <f>SUMIF('[13]Div 9 forecast'!$C$9:$C$575,$B65, '[13]Div 9 forecast'!$AM$9:$AN$575)</f>
        <v>#VALUE!</v>
      </c>
      <c r="K65" s="353"/>
      <c r="L65" s="353">
        <v>0</v>
      </c>
      <c r="M65" s="457"/>
      <c r="N65" s="353">
        <v>0</v>
      </c>
      <c r="O65" s="457"/>
      <c r="P65" s="353" t="e">
        <f t="shared" si="1"/>
        <v>#VALUE!</v>
      </c>
      <c r="T65" s="1085"/>
      <c r="U65" s="1085"/>
    </row>
    <row r="66" spans="1:21" ht="15.75" customHeight="1">
      <c r="A66" s="241">
        <f t="shared" si="2"/>
        <v>47</v>
      </c>
      <c r="B66" s="1085">
        <v>8410</v>
      </c>
      <c r="C66" s="62" t="s">
        <v>237</v>
      </c>
      <c r="D66" s="353">
        <f>'C.2.1 B'!D64</f>
        <v>71800.453035040002</v>
      </c>
      <c r="E66" s="353"/>
      <c r="F66" s="353" t="e">
        <f>SUMIF('[13]Div 9 forecast'!$C$9:$C$575,$B66, '[13]Div 9 forecast'!$AL$9:$AL$575)</f>
        <v>#VALUE!</v>
      </c>
      <c r="G66" s="398"/>
      <c r="H66" s="353" t="e">
        <f>SUMIF('[13]Div 9 forecast'!$C$9:$C$575,$B66, '[13]Div 9 forecast'!$AM$9:$AM$575)</f>
        <v>#VALUE!</v>
      </c>
      <c r="I66" s="457"/>
      <c r="J66" s="353" t="e">
        <f>SUMIF('[13]Div 9 forecast'!$C$9:$C$575,$B66, '[13]Div 9 forecast'!$AM$9:$AN$575)</f>
        <v>#VALUE!</v>
      </c>
      <c r="K66" s="353"/>
      <c r="L66" s="353">
        <v>0</v>
      </c>
      <c r="M66" s="457"/>
      <c r="N66" s="353">
        <v>0</v>
      </c>
      <c r="O66" s="457"/>
      <c r="P66" s="353" t="e">
        <f t="shared" si="1"/>
        <v>#VALUE!</v>
      </c>
      <c r="T66" s="1085"/>
      <c r="U66" s="1085"/>
    </row>
    <row r="67" spans="1:21" ht="15.75" customHeight="1">
      <c r="A67" s="241">
        <f t="shared" si="2"/>
        <v>48</v>
      </c>
      <c r="B67" s="1085">
        <v>8470</v>
      </c>
      <c r="C67" s="62" t="s">
        <v>238</v>
      </c>
      <c r="D67" s="353">
        <v>0</v>
      </c>
      <c r="E67" s="353"/>
      <c r="F67" s="353" t="e">
        <f>SUMIF('[13]Div 9 forecast'!$C$9:$C$575,$B67, '[13]Div 9 forecast'!$AL$9:$AL$575)</f>
        <v>#VALUE!</v>
      </c>
      <c r="G67" s="398"/>
      <c r="H67" s="353" t="e">
        <f>SUMIF('[13]Div 9 forecast'!$C$9:$C$575,$B67, '[13]Div 9 forecast'!$AM$9:$AM$575)</f>
        <v>#VALUE!</v>
      </c>
      <c r="I67" s="457"/>
      <c r="J67" s="353" t="e">
        <f>SUMIF('[13]Div 9 forecast'!$C$9:$C$575,$B67, '[13]Div 9 forecast'!$AM$9:$AN$575)</f>
        <v>#VALUE!</v>
      </c>
      <c r="K67" s="353"/>
      <c r="L67" s="353">
        <v>0</v>
      </c>
      <c r="M67" s="457"/>
      <c r="N67" s="353">
        <v>0</v>
      </c>
      <c r="O67" s="457"/>
      <c r="P67" s="353" t="e">
        <f t="shared" si="1"/>
        <v>#VALUE!</v>
      </c>
      <c r="T67" s="1085"/>
      <c r="U67" s="1085"/>
    </row>
    <row r="68" spans="1:21" ht="15.75" customHeight="1">
      <c r="A68" s="241">
        <f t="shared" si="2"/>
        <v>49</v>
      </c>
      <c r="B68" s="1085">
        <v>8500</v>
      </c>
      <c r="C68" s="62" t="s">
        <v>240</v>
      </c>
      <c r="D68" s="353">
        <f>'C.2.1 B'!D68</f>
        <v>47.034985000524017</v>
      </c>
      <c r="E68" s="353"/>
      <c r="F68" s="353" t="e">
        <f>SUMIF('[13]Div 9 forecast'!$C$9:$C$575,$B68, '[13]Div 9 forecast'!$AL$9:$AL$575)</f>
        <v>#VALUE!</v>
      </c>
      <c r="G68" s="398"/>
      <c r="H68" s="353" t="e">
        <f>SUMIF('[13]Div 9 forecast'!$C$9:$C$575,$B68, '[13]Div 9 forecast'!$AM$9:$AM$575)</f>
        <v>#VALUE!</v>
      </c>
      <c r="I68" s="457"/>
      <c r="J68" s="353" t="e">
        <f>SUMIF('[13]Div 9 forecast'!$C$9:$C$575,$B68, '[13]Div 9 forecast'!$AM$9:$AN$575)</f>
        <v>#VALUE!</v>
      </c>
      <c r="K68" s="353"/>
      <c r="L68" s="353">
        <v>0</v>
      </c>
      <c r="M68" s="457"/>
      <c r="N68" s="353">
        <v>0</v>
      </c>
      <c r="O68" s="457"/>
      <c r="P68" s="353" t="e">
        <f t="shared" si="1"/>
        <v>#VALUE!</v>
      </c>
      <c r="T68" s="1085"/>
      <c r="U68" s="1085"/>
    </row>
    <row r="69" spans="1:21" ht="15.75" customHeight="1">
      <c r="A69" s="241">
        <f t="shared" si="2"/>
        <v>50</v>
      </c>
      <c r="B69" s="1085">
        <v>8520</v>
      </c>
      <c r="C69" s="62" t="s">
        <v>1380</v>
      </c>
      <c r="D69" s="353">
        <f>'C.2.1 B'!D69</f>
        <v>0</v>
      </c>
      <c r="E69" s="353"/>
      <c r="F69" s="353" t="e">
        <f>SUMIF('[13]Div 9 forecast'!$C$9:$C$575,$B69, '[13]Div 9 forecast'!$AL$9:$AL$575)</f>
        <v>#VALUE!</v>
      </c>
      <c r="G69" s="398"/>
      <c r="H69" s="353" t="e">
        <f>SUMIF('[13]Div 9 forecast'!$C$9:$C$575,$B69, '[13]Div 9 forecast'!$AM$9:$AM$575)</f>
        <v>#VALUE!</v>
      </c>
      <c r="I69" s="457"/>
      <c r="J69" s="353" t="e">
        <f>SUMIF('[13]Div 9 forecast'!$C$9:$C$575,$B69, '[13]Div 9 forecast'!$AM$9:$AN$575)</f>
        <v>#VALUE!</v>
      </c>
      <c r="K69" s="353"/>
      <c r="L69" s="353">
        <v>0</v>
      </c>
      <c r="M69" s="457"/>
      <c r="N69" s="353"/>
      <c r="O69" s="457"/>
      <c r="P69" s="353" t="e">
        <f t="shared" si="1"/>
        <v>#VALUE!</v>
      </c>
      <c r="T69" s="1085"/>
      <c r="U69" s="1085"/>
    </row>
    <row r="70" spans="1:21" ht="15.75" customHeight="1">
      <c r="A70" s="241">
        <f t="shared" si="2"/>
        <v>51</v>
      </c>
      <c r="B70" s="1085">
        <v>8550</v>
      </c>
      <c r="C70" s="62" t="s">
        <v>1395</v>
      </c>
      <c r="D70" s="353">
        <f>'C.2.1 B'!D70</f>
        <v>368.20860161724005</v>
      </c>
      <c r="E70" s="353"/>
      <c r="F70" s="353" t="e">
        <f>SUMIF('[13]Div 9 forecast'!$C$9:$C$575,$B70, '[13]Div 9 forecast'!$AL$9:$AL$575)</f>
        <v>#VALUE!</v>
      </c>
      <c r="G70" s="398"/>
      <c r="H70" s="353" t="e">
        <f>SUMIF('[13]Div 9 forecast'!$C$9:$C$575,$B70, '[13]Div 9 forecast'!$AM$9:$AM$575)</f>
        <v>#VALUE!</v>
      </c>
      <c r="I70" s="457"/>
      <c r="J70" s="353" t="e">
        <f>SUMIF('[13]Div 9 forecast'!$C$9:$C$575,$B70, '[13]Div 9 forecast'!$AM$9:$AN$575)</f>
        <v>#VALUE!</v>
      </c>
      <c r="K70" s="353"/>
      <c r="L70" s="353"/>
      <c r="M70" s="457"/>
      <c r="N70" s="353"/>
      <c r="O70" s="457"/>
      <c r="P70" s="353"/>
      <c r="T70" s="1085"/>
      <c r="U70" s="1085"/>
    </row>
    <row r="71" spans="1:21" ht="15.75" customHeight="1">
      <c r="A71" s="241">
        <f t="shared" si="2"/>
        <v>52</v>
      </c>
      <c r="B71" s="1085">
        <v>8560</v>
      </c>
      <c r="C71" s="62" t="s">
        <v>241</v>
      </c>
      <c r="D71" s="353">
        <f>'C.2.1 B'!D71</f>
        <v>395188.62625193066</v>
      </c>
      <c r="E71" s="353"/>
      <c r="F71" s="353" t="e">
        <f>SUMIF('[13]Div 9 forecast'!$C$9:$C$575,$B71, '[13]Div 9 forecast'!$AL$9:$AL$575)</f>
        <v>#VALUE!</v>
      </c>
      <c r="G71" s="398"/>
      <c r="H71" s="353" t="e">
        <f>SUMIF('[13]Div 9 forecast'!$C$9:$C$575,$B71, '[13]Div 9 forecast'!$AM$9:$AM$575)</f>
        <v>#VALUE!</v>
      </c>
      <c r="I71" s="457"/>
      <c r="J71" s="353" t="e">
        <f>SUMIF('[13]Div 9 forecast'!$C$9:$C$575,$B71, '[13]Div 9 forecast'!$AM$9:$AN$575)</f>
        <v>#VALUE!</v>
      </c>
      <c r="K71" s="353"/>
      <c r="L71" s="353">
        <v>0</v>
      </c>
      <c r="M71" s="457"/>
      <c r="N71" s="353">
        <v>0</v>
      </c>
      <c r="O71" s="457"/>
      <c r="P71" s="353" t="e">
        <f t="shared" si="1"/>
        <v>#VALUE!</v>
      </c>
      <c r="T71" s="1085"/>
      <c r="U71" s="1085"/>
    </row>
    <row r="72" spans="1:21" ht="15.75" customHeight="1">
      <c r="A72" s="241">
        <f t="shared" si="2"/>
        <v>53</v>
      </c>
      <c r="B72" s="1085">
        <v>8570</v>
      </c>
      <c r="C72" s="62" t="s">
        <v>242</v>
      </c>
      <c r="D72" s="353">
        <f>'C.2.1 B'!D72</f>
        <v>29426.839274343416</v>
      </c>
      <c r="E72" s="353"/>
      <c r="F72" s="353" t="e">
        <f>SUMIF('[13]Div 9 forecast'!$C$9:$C$575,$B72, '[13]Div 9 forecast'!$AL$9:$AL$575)</f>
        <v>#VALUE!</v>
      </c>
      <c r="G72" s="398"/>
      <c r="H72" s="353" t="e">
        <f>SUMIF('[13]Div 9 forecast'!$C$9:$C$575,$B72, '[13]Div 9 forecast'!$AM$9:$AM$575)</f>
        <v>#VALUE!</v>
      </c>
      <c r="I72" s="353"/>
      <c r="J72" s="353" t="e">
        <f>SUMIF('[13]Div 9 forecast'!$C$9:$C$575,$B72, '[13]Div 9 forecast'!$AM$9:$AN$575)</f>
        <v>#VALUE!</v>
      </c>
      <c r="K72" s="353"/>
      <c r="L72" s="353">
        <v>0</v>
      </c>
      <c r="M72" s="353"/>
      <c r="N72" s="353">
        <v>0</v>
      </c>
      <c r="O72" s="457"/>
      <c r="P72" s="353" t="e">
        <f t="shared" si="1"/>
        <v>#VALUE!</v>
      </c>
      <c r="T72" s="1085"/>
      <c r="U72" s="1085"/>
    </row>
    <row r="73" spans="1:21" ht="15.75" customHeight="1">
      <c r="A73" s="241">
        <f t="shared" si="2"/>
        <v>54</v>
      </c>
      <c r="B73" s="1085">
        <v>8590</v>
      </c>
      <c r="C73" s="62" t="s">
        <v>243</v>
      </c>
      <c r="D73" s="353">
        <f>'C.2.1 B'!D73</f>
        <v>0</v>
      </c>
      <c r="E73" s="353"/>
      <c r="F73" s="353" t="e">
        <f>SUMIF('[13]Div 9 forecast'!$C$9:$C$575,$B73, '[13]Div 9 forecast'!$AL$9:$AL$575)</f>
        <v>#VALUE!</v>
      </c>
      <c r="G73" s="398"/>
      <c r="H73" s="353" t="e">
        <f>SUMIF('[13]Div 9 forecast'!$C$9:$C$575,$B73, '[13]Div 9 forecast'!$AM$9:$AM$575)</f>
        <v>#VALUE!</v>
      </c>
      <c r="I73" s="353"/>
      <c r="J73" s="353" t="e">
        <f>SUMIF('[13]Div 9 forecast'!$C$9:$C$575,$B73, '[13]Div 9 forecast'!$AM$9:$AN$575)</f>
        <v>#VALUE!</v>
      </c>
      <c r="K73" s="353"/>
      <c r="L73" s="353">
        <v>0</v>
      </c>
      <c r="M73" s="353"/>
      <c r="N73" s="353">
        <v>0</v>
      </c>
      <c r="O73" s="353"/>
      <c r="P73" s="353" t="e">
        <f t="shared" si="1"/>
        <v>#VALUE!</v>
      </c>
      <c r="T73" s="1085"/>
      <c r="U73" s="1085"/>
    </row>
    <row r="74" spans="1:21" ht="15.75" customHeight="1">
      <c r="A74" s="241">
        <f t="shared" si="2"/>
        <v>55</v>
      </c>
      <c r="B74" s="1085">
        <v>8600</v>
      </c>
      <c r="C74" s="62" t="s">
        <v>232</v>
      </c>
      <c r="D74" s="353">
        <f>'C.2.1 B'!D74</f>
        <v>0</v>
      </c>
      <c r="E74" s="353"/>
      <c r="F74" s="353" t="e">
        <f>SUMIF('[13]Div 9 forecast'!$C$9:$C$575,$B74, '[13]Div 9 forecast'!$AL$9:$AL$575)</f>
        <v>#VALUE!</v>
      </c>
      <c r="G74" s="398"/>
      <c r="H74" s="353" t="e">
        <f>SUMIF('[13]Div 9 forecast'!$C$9:$C$575,$B74, '[13]Div 9 forecast'!$AM$9:$AM$575)</f>
        <v>#VALUE!</v>
      </c>
      <c r="I74" s="353"/>
      <c r="J74" s="353" t="e">
        <f>SUMIF('[13]Div 9 forecast'!$C$9:$C$575,$B74, '[13]Div 9 forecast'!$AM$9:$AN$575)</f>
        <v>#VALUE!</v>
      </c>
      <c r="K74" s="353"/>
      <c r="L74" s="353">
        <v>0</v>
      </c>
      <c r="M74" s="353"/>
      <c r="N74" s="353">
        <v>0</v>
      </c>
      <c r="O74" s="353"/>
      <c r="P74" s="353" t="e">
        <f t="shared" si="1"/>
        <v>#VALUE!</v>
      </c>
      <c r="T74" s="1085"/>
      <c r="U74" s="1085"/>
    </row>
    <row r="75" spans="1:21" ht="15.75" customHeight="1">
      <c r="A75" s="241">
        <f t="shared" si="2"/>
        <v>56</v>
      </c>
      <c r="B75" s="1085">
        <v>8620</v>
      </c>
      <c r="C75" s="62" t="s">
        <v>244</v>
      </c>
      <c r="D75" s="353">
        <f>'C.2.1 B'!D78</f>
        <v>0</v>
      </c>
      <c r="E75" s="353"/>
      <c r="F75" s="353" t="e">
        <f>SUMIF('[13]Div 9 forecast'!$C$9:$C$575,$B75, '[13]Div 9 forecast'!$AL$9:$AL$575)</f>
        <v>#VALUE!</v>
      </c>
      <c r="G75" s="398"/>
      <c r="H75" s="353" t="e">
        <f>SUMIF('[13]Div 9 forecast'!$C$9:$C$575,$B75, '[13]Div 9 forecast'!$AM$9:$AM$575)</f>
        <v>#VALUE!</v>
      </c>
      <c r="I75" s="353"/>
      <c r="J75" s="353" t="e">
        <f>SUMIF('[13]Div 9 forecast'!$C$9:$C$575,$B75, '[13]Div 9 forecast'!$AM$9:$AN$575)</f>
        <v>#VALUE!</v>
      </c>
      <c r="K75" s="353"/>
      <c r="L75" s="353">
        <v>0</v>
      </c>
      <c r="M75" s="353"/>
      <c r="N75" s="353">
        <v>0</v>
      </c>
      <c r="O75" s="353"/>
      <c r="P75" s="353" t="e">
        <f t="shared" si="1"/>
        <v>#VALUE!</v>
      </c>
      <c r="T75" s="1085"/>
      <c r="U75" s="1085"/>
    </row>
    <row r="76" spans="1:21" ht="15.75" customHeight="1">
      <c r="A76" s="241">
        <f t="shared" si="2"/>
        <v>57</v>
      </c>
      <c r="B76" s="1085">
        <v>8630</v>
      </c>
      <c r="C76" s="62" t="s">
        <v>245</v>
      </c>
      <c r="D76" s="353">
        <f>'C.2.1 B'!D79</f>
        <v>16570.172039772806</v>
      </c>
      <c r="E76" s="353"/>
      <c r="F76" s="353" t="e">
        <f>SUMIF('[13]Div 9 forecast'!$C$9:$C$575,$B76, '[13]Div 9 forecast'!$AL$9:$AL$575)</f>
        <v>#VALUE!</v>
      </c>
      <c r="G76" s="398"/>
      <c r="H76" s="353" t="e">
        <f>SUMIF('[13]Div 9 forecast'!$C$9:$C$575,$B76, '[13]Div 9 forecast'!$AM$9:$AM$575)</f>
        <v>#VALUE!</v>
      </c>
      <c r="I76" s="457"/>
      <c r="J76" s="353" t="e">
        <f>SUMIF('[13]Div 9 forecast'!$C$9:$C$575,$B76, '[13]Div 9 forecast'!$AM$9:$AN$575)</f>
        <v>#VALUE!</v>
      </c>
      <c r="K76" s="353"/>
      <c r="L76" s="353">
        <v>0</v>
      </c>
      <c r="M76" s="457"/>
      <c r="N76" s="353">
        <v>0</v>
      </c>
      <c r="O76" s="457"/>
      <c r="P76" s="353" t="e">
        <f t="shared" si="1"/>
        <v>#VALUE!</v>
      </c>
      <c r="T76" s="1085"/>
      <c r="U76" s="1085"/>
    </row>
    <row r="77" spans="1:21" ht="15.75" customHeight="1">
      <c r="A77" s="241">
        <f t="shared" si="2"/>
        <v>58</v>
      </c>
      <c r="B77" s="1085">
        <v>8640</v>
      </c>
      <c r="C77" s="62" t="s">
        <v>246</v>
      </c>
      <c r="D77" s="353">
        <f>'C.2.1 B'!D80</f>
        <v>0</v>
      </c>
      <c r="E77" s="353"/>
      <c r="F77" s="353" t="e">
        <f>SUMIF('[13]Div 9 forecast'!$C$9:$C$575,$B77, '[13]Div 9 forecast'!$AL$9:$AL$575)</f>
        <v>#VALUE!</v>
      </c>
      <c r="G77" s="398"/>
      <c r="H77" s="353" t="e">
        <f>SUMIF('[13]Div 9 forecast'!$C$9:$C$575,$B77, '[13]Div 9 forecast'!$AM$9:$AM$575)</f>
        <v>#VALUE!</v>
      </c>
      <c r="I77" s="457"/>
      <c r="J77" s="353" t="e">
        <f>SUMIF('[13]Div 9 forecast'!$C$9:$C$575,$B77, '[13]Div 9 forecast'!$AM$9:$AN$575)</f>
        <v>#VALUE!</v>
      </c>
      <c r="K77" s="353"/>
      <c r="L77" s="353">
        <v>0</v>
      </c>
      <c r="M77" s="457"/>
      <c r="N77" s="353">
        <v>0</v>
      </c>
      <c r="O77" s="457"/>
      <c r="P77" s="353" t="e">
        <f t="shared" si="1"/>
        <v>#VALUE!</v>
      </c>
      <c r="T77" s="1085"/>
      <c r="U77" s="1085"/>
    </row>
    <row r="78" spans="1:21" ht="15.75" customHeight="1">
      <c r="A78" s="241">
        <f t="shared" si="2"/>
        <v>59</v>
      </c>
      <c r="B78" s="1085">
        <v>8650</v>
      </c>
      <c r="C78" s="62" t="s">
        <v>247</v>
      </c>
      <c r="D78" s="353">
        <f>'C.2.1 B'!D81</f>
        <v>0</v>
      </c>
      <c r="E78" s="353"/>
      <c r="F78" s="353" t="e">
        <f>SUMIF('[13]Div 9 forecast'!$C$9:$C$575,$B78, '[13]Div 9 forecast'!$AL$9:$AL$575)</f>
        <v>#VALUE!</v>
      </c>
      <c r="G78" s="398"/>
      <c r="H78" s="353" t="e">
        <f>SUMIF('[13]Div 9 forecast'!$C$9:$C$575,$B78, '[13]Div 9 forecast'!$AM$9:$AM$575)</f>
        <v>#VALUE!</v>
      </c>
      <c r="I78" s="457"/>
      <c r="J78" s="353" t="e">
        <f>SUMIF('[13]Div 9 forecast'!$C$9:$C$575,$B78, '[13]Div 9 forecast'!$AM$9:$AN$575)</f>
        <v>#VALUE!</v>
      </c>
      <c r="K78" s="353"/>
      <c r="L78" s="353">
        <v>0</v>
      </c>
      <c r="M78" s="457"/>
      <c r="N78" s="353">
        <v>0</v>
      </c>
      <c r="O78" s="457"/>
      <c r="P78" s="353" t="e">
        <f t="shared" si="1"/>
        <v>#VALUE!</v>
      </c>
      <c r="T78" s="1085"/>
      <c r="U78" s="1085"/>
    </row>
    <row r="79" spans="1:21" ht="15.75" customHeight="1">
      <c r="A79" s="241">
        <f t="shared" si="2"/>
        <v>60</v>
      </c>
      <c r="B79" s="1085">
        <v>8670</v>
      </c>
      <c r="C79" s="62" t="s">
        <v>248</v>
      </c>
      <c r="D79" s="353">
        <f>'C.2.1 B'!D82</f>
        <v>0</v>
      </c>
      <c r="E79" s="353"/>
      <c r="F79" s="353" t="e">
        <f>SUMIF('[13]Div 9 forecast'!$C$9:$C$575,$B79, '[13]Div 9 forecast'!$AL$9:$AL$575)</f>
        <v>#VALUE!</v>
      </c>
      <c r="G79" s="398"/>
      <c r="H79" s="353" t="e">
        <f>SUMIF('[13]Div 9 forecast'!$C$9:$C$575,$B79, '[13]Div 9 forecast'!$AM$9:$AM$575)</f>
        <v>#VALUE!</v>
      </c>
      <c r="I79" s="457"/>
      <c r="J79" s="353" t="e">
        <f>SUMIF('[13]Div 9 forecast'!$C$9:$C$575,$B79, '[13]Div 9 forecast'!$AM$9:$AN$575)</f>
        <v>#VALUE!</v>
      </c>
      <c r="K79" s="353"/>
      <c r="L79" s="353">
        <v>0</v>
      </c>
      <c r="M79" s="457"/>
      <c r="N79" s="353">
        <v>0</v>
      </c>
      <c r="O79" s="457"/>
      <c r="P79" s="353" t="e">
        <f t="shared" si="1"/>
        <v>#VALUE!</v>
      </c>
      <c r="T79" s="1085"/>
      <c r="U79" s="1085"/>
    </row>
    <row r="80" spans="1:21" ht="15.75" customHeight="1">
      <c r="A80" s="241">
        <f t="shared" si="2"/>
        <v>61</v>
      </c>
      <c r="B80" s="1085">
        <v>8700</v>
      </c>
      <c r="C80" s="62" t="s">
        <v>249</v>
      </c>
      <c r="D80" s="353">
        <f>'C.2.1 B'!D108</f>
        <v>1452843.3612454131</v>
      </c>
      <c r="E80" s="353"/>
      <c r="F80" s="353" t="e">
        <f>SUMIF('[13]Div 9 forecast'!$C$9:$C$575,$B80, '[13]Div 9 forecast'!$AL$9:$AL$575)</f>
        <v>#VALUE!</v>
      </c>
      <c r="G80" s="398"/>
      <c r="H80" s="353" t="e">
        <f>SUMIF('[13]Div 9 forecast'!$C$9:$C$575,$B80, '[13]Div 9 forecast'!$AM$9:$AM$575)</f>
        <v>#VALUE!</v>
      </c>
      <c r="I80" s="457"/>
      <c r="J80" s="353" t="e">
        <f>SUMIF('[13]Div 9 forecast'!$C$9:$C$575,$B80, '[13]Div 9 forecast'!$AM$9:$AN$575)</f>
        <v>#VALUE!</v>
      </c>
      <c r="K80" s="353"/>
      <c r="L80" s="353">
        <v>0</v>
      </c>
      <c r="M80" s="457"/>
      <c r="N80" s="353">
        <v>0</v>
      </c>
      <c r="O80" s="457"/>
      <c r="P80" s="353" t="e">
        <f t="shared" si="1"/>
        <v>#VALUE!</v>
      </c>
      <c r="T80" s="1085"/>
      <c r="U80" s="1085"/>
    </row>
    <row r="81" spans="1:21" ht="15.75" customHeight="1">
      <c r="A81" s="241">
        <f t="shared" si="2"/>
        <v>62</v>
      </c>
      <c r="B81" s="1085">
        <v>8710</v>
      </c>
      <c r="C81" s="62" t="s">
        <v>250</v>
      </c>
      <c r="D81" s="353">
        <f>'C.2.1 B'!D109</f>
        <v>792.08039230691145</v>
      </c>
      <c r="E81" s="353"/>
      <c r="F81" s="353" t="e">
        <f>SUMIF('[13]Div 9 forecast'!$C$9:$C$575,$B81, '[13]Div 9 forecast'!$AL$9:$AL$575)</f>
        <v>#VALUE!</v>
      </c>
      <c r="G81" s="398"/>
      <c r="H81" s="353" t="e">
        <f>SUMIF('[13]Div 9 forecast'!$C$9:$C$575,$B81, '[13]Div 9 forecast'!$AM$9:$AM$575)</f>
        <v>#VALUE!</v>
      </c>
      <c r="I81" s="457"/>
      <c r="J81" s="353" t="e">
        <f>SUMIF('[13]Div 9 forecast'!$C$9:$C$575,$B81, '[13]Div 9 forecast'!$AM$9:$AN$575)</f>
        <v>#VALUE!</v>
      </c>
      <c r="K81" s="353"/>
      <c r="L81" s="353">
        <v>0</v>
      </c>
      <c r="M81" s="457"/>
      <c r="N81" s="353">
        <v>0</v>
      </c>
      <c r="O81" s="457"/>
      <c r="P81" s="353" t="e">
        <f t="shared" si="1"/>
        <v>#VALUE!</v>
      </c>
      <c r="T81" s="1085"/>
      <c r="U81" s="1085"/>
    </row>
    <row r="82" spans="1:21" ht="15.75" customHeight="1">
      <c r="A82" s="241">
        <f t="shared" si="2"/>
        <v>63</v>
      </c>
      <c r="B82" s="1085">
        <v>8711</v>
      </c>
      <c r="C82" s="62" t="s">
        <v>233</v>
      </c>
      <c r="D82" s="353">
        <f>'C.2.1 B'!D110</f>
        <v>26727.132218743693</v>
      </c>
      <c r="E82" s="353"/>
      <c r="F82" s="353" t="e">
        <f>SUMIF('[13]Div 9 forecast'!$C$9:$C$575,$B82, '[13]Div 9 forecast'!$AL$9:$AL$575)</f>
        <v>#VALUE!</v>
      </c>
      <c r="G82" s="398"/>
      <c r="H82" s="353" t="e">
        <f>SUMIF('[13]Div 9 forecast'!$C$9:$C$575,$B82, '[13]Div 9 forecast'!$AM$9:$AM$575)</f>
        <v>#VALUE!</v>
      </c>
      <c r="I82" s="457"/>
      <c r="J82" s="353" t="e">
        <f>SUMIF('[13]Div 9 forecast'!$C$9:$C$575,$B82, '[13]Div 9 forecast'!$AM$9:$AN$575)</f>
        <v>#VALUE!</v>
      </c>
      <c r="K82" s="353"/>
      <c r="L82" s="353">
        <v>0</v>
      </c>
      <c r="M82" s="457"/>
      <c r="N82" s="353">
        <v>0</v>
      </c>
      <c r="O82" s="457"/>
      <c r="P82" s="353" t="e">
        <f t="shared" si="1"/>
        <v>#VALUE!</v>
      </c>
      <c r="T82" s="1085"/>
      <c r="U82" s="1085"/>
    </row>
    <row r="83" spans="1:21" ht="15.75" customHeight="1">
      <c r="A83" s="241">
        <f t="shared" si="2"/>
        <v>64</v>
      </c>
      <c r="B83" s="1085">
        <v>8720</v>
      </c>
      <c r="C83" s="62" t="s">
        <v>251</v>
      </c>
      <c r="D83" s="353">
        <f>'C.2.1 B'!D111</f>
        <v>0</v>
      </c>
      <c r="E83" s="353"/>
      <c r="F83" s="353" t="e">
        <f>SUMIF('[13]Div 9 forecast'!$C$9:$C$575,$B83, '[13]Div 9 forecast'!$AL$9:$AL$575)</f>
        <v>#VALUE!</v>
      </c>
      <c r="G83" s="398"/>
      <c r="H83" s="353" t="e">
        <f>SUMIF('[13]Div 9 forecast'!$C$9:$C$575,$B83, '[13]Div 9 forecast'!$AM$9:$AM$575)</f>
        <v>#VALUE!</v>
      </c>
      <c r="I83" s="457"/>
      <c r="J83" s="353" t="e">
        <f>SUMIF('[13]Div 9 forecast'!$C$9:$C$575,$B83, '[13]Div 9 forecast'!$AM$9:$AN$575)</f>
        <v>#VALUE!</v>
      </c>
      <c r="K83" s="353"/>
      <c r="L83" s="353">
        <v>0</v>
      </c>
      <c r="M83" s="457"/>
      <c r="N83" s="353">
        <v>0</v>
      </c>
      <c r="O83" s="457"/>
      <c r="P83" s="353" t="e">
        <f t="shared" si="1"/>
        <v>#VALUE!</v>
      </c>
      <c r="T83" s="1085"/>
      <c r="U83" s="1085"/>
    </row>
    <row r="84" spans="1:21" ht="15.75" customHeight="1">
      <c r="A84" s="241">
        <f t="shared" si="2"/>
        <v>65</v>
      </c>
      <c r="B84" s="1085">
        <v>8740</v>
      </c>
      <c r="C84" s="62" t="s">
        <v>252</v>
      </c>
      <c r="D84" s="353">
        <f>'C.2.1 B'!D112</f>
        <v>4585209.9252482979</v>
      </c>
      <c r="E84" s="353"/>
      <c r="F84" s="353" t="e">
        <f>SUMIF('[13]Div 9 forecast'!$C$9:$C$575,$B84, '[13]Div 9 forecast'!$AL$9:$AL$575)</f>
        <v>#VALUE!</v>
      </c>
      <c r="G84" s="398"/>
      <c r="H84" s="353" t="e">
        <f>SUMIF('[13]Div 9 forecast'!$C$9:$C$575,$B84, '[13]Div 9 forecast'!$AM$9:$AM$575)</f>
        <v>#VALUE!</v>
      </c>
      <c r="I84" s="457"/>
      <c r="J84" s="353" t="e">
        <f>SUMIF('[13]Div 9 forecast'!$C$9:$C$575,$B84, '[13]Div 9 forecast'!$AM$9:$AN$575)</f>
        <v>#VALUE!</v>
      </c>
      <c r="K84" s="353"/>
      <c r="L84" s="353">
        <v>0</v>
      </c>
      <c r="M84" s="457"/>
      <c r="N84" s="353">
        <v>0</v>
      </c>
      <c r="O84" s="457"/>
      <c r="P84" s="353" t="e">
        <f t="shared" si="1"/>
        <v>#VALUE!</v>
      </c>
      <c r="T84" s="1085"/>
      <c r="U84" s="1085"/>
    </row>
    <row r="85" spans="1:21" ht="15.75" customHeight="1">
      <c r="A85" s="241">
        <f t="shared" si="2"/>
        <v>66</v>
      </c>
      <c r="B85" s="1085">
        <v>8750</v>
      </c>
      <c r="C85" s="62" t="s">
        <v>253</v>
      </c>
      <c r="D85" s="353">
        <f>'C.2.1 B'!D113</f>
        <v>618282.04680172435</v>
      </c>
      <c r="E85" s="353"/>
      <c r="F85" s="353" t="e">
        <f>SUMIF('[13]Div 9 forecast'!$C$9:$C$575,$B85, '[13]Div 9 forecast'!$AL$9:$AL$575)</f>
        <v>#VALUE!</v>
      </c>
      <c r="G85" s="398"/>
      <c r="H85" s="353" t="e">
        <f>SUMIF('[13]Div 9 forecast'!$C$9:$C$575,$B85, '[13]Div 9 forecast'!$AM$9:$AM$575)</f>
        <v>#VALUE!</v>
      </c>
      <c r="I85" s="457"/>
      <c r="J85" s="353" t="e">
        <f>SUMIF('[13]Div 9 forecast'!$C$9:$C$575,$B85, '[13]Div 9 forecast'!$AM$9:$AN$575)</f>
        <v>#VALUE!</v>
      </c>
      <c r="K85" s="353"/>
      <c r="L85" s="353">
        <v>0</v>
      </c>
      <c r="M85" s="457"/>
      <c r="N85" s="353">
        <v>0</v>
      </c>
      <c r="O85" s="457"/>
      <c r="P85" s="353" t="e">
        <f t="shared" si="1"/>
        <v>#VALUE!</v>
      </c>
      <c r="T85" s="1085"/>
      <c r="U85" s="1085"/>
    </row>
    <row r="86" spans="1:21" ht="15.75" customHeight="1">
      <c r="A86" s="241">
        <f t="shared" si="2"/>
        <v>67</v>
      </c>
      <c r="B86" s="1085">
        <v>8760</v>
      </c>
      <c r="C86" s="62" t="s">
        <v>653</v>
      </c>
      <c r="D86" s="353">
        <f>'C.2.1 B'!D114</f>
        <v>125801.06067325606</v>
      </c>
      <c r="E86" s="353"/>
      <c r="F86" s="353" t="e">
        <f>SUMIF('[13]Div 9 forecast'!$C$9:$C$575,$B86, '[13]Div 9 forecast'!$AL$9:$AL$575)</f>
        <v>#VALUE!</v>
      </c>
      <c r="G86" s="398"/>
      <c r="H86" s="353" t="e">
        <f>SUMIF('[13]Div 9 forecast'!$C$9:$C$575,$B86, '[13]Div 9 forecast'!$AM$9:$AM$575)</f>
        <v>#VALUE!</v>
      </c>
      <c r="I86" s="353"/>
      <c r="J86" s="353" t="e">
        <f>SUMIF('[13]Div 9 forecast'!$C$9:$C$575,$B86, '[13]Div 9 forecast'!$AM$9:$AN$575)</f>
        <v>#VALUE!</v>
      </c>
      <c r="K86" s="353"/>
      <c r="L86" s="353">
        <v>0</v>
      </c>
      <c r="M86" s="353"/>
      <c r="N86" s="353">
        <v>0</v>
      </c>
      <c r="O86" s="457"/>
      <c r="P86" s="353" t="e">
        <f t="shared" si="1"/>
        <v>#VALUE!</v>
      </c>
      <c r="T86" s="1085"/>
      <c r="U86" s="1085"/>
    </row>
    <row r="87" spans="1:21" ht="15.75" customHeight="1">
      <c r="A87" s="241">
        <f t="shared" si="2"/>
        <v>68</v>
      </c>
      <c r="B87" s="1085">
        <v>8770</v>
      </c>
      <c r="C87" s="62" t="s">
        <v>654</v>
      </c>
      <c r="D87" s="353">
        <f>'C.2.1 B'!D115</f>
        <v>45140.444710392752</v>
      </c>
      <c r="E87" s="353"/>
      <c r="F87" s="353" t="e">
        <f>SUMIF('[13]Div 9 forecast'!$C$9:$C$575,$B87, '[13]Div 9 forecast'!$AL$9:$AL$575)</f>
        <v>#VALUE!</v>
      </c>
      <c r="G87" s="398"/>
      <c r="H87" s="353" t="e">
        <f>SUMIF('[13]Div 9 forecast'!$C$9:$C$575,$B87, '[13]Div 9 forecast'!$AM$9:$AM$575)</f>
        <v>#VALUE!</v>
      </c>
      <c r="I87" s="353"/>
      <c r="J87" s="353" t="e">
        <f>SUMIF('[13]Div 9 forecast'!$C$9:$C$575,$B87, '[13]Div 9 forecast'!$AM$9:$AN$575)</f>
        <v>#VALUE!</v>
      </c>
      <c r="K87" s="457"/>
      <c r="L87" s="353">
        <v>0</v>
      </c>
      <c r="M87" s="353"/>
      <c r="N87" s="353">
        <v>0</v>
      </c>
      <c r="O87" s="457"/>
      <c r="P87" s="353" t="e">
        <f t="shared" si="1"/>
        <v>#VALUE!</v>
      </c>
      <c r="T87" s="1085"/>
      <c r="U87" s="1085"/>
    </row>
    <row r="88" spans="1:21" ht="15.75" customHeight="1">
      <c r="A88" s="241">
        <f t="shared" si="2"/>
        <v>69</v>
      </c>
      <c r="B88" s="1085">
        <v>8780</v>
      </c>
      <c r="C88" s="62" t="s">
        <v>655</v>
      </c>
      <c r="D88" s="353">
        <f>'C.2.1 B'!D116</f>
        <v>848812.74211819621</v>
      </c>
      <c r="E88" s="353"/>
      <c r="F88" s="353" t="e">
        <f>SUMIF('[13]Div 9 forecast'!$C$9:$C$575,$B88, '[13]Div 9 forecast'!$AL$9:$AL$575)</f>
        <v>#VALUE!</v>
      </c>
      <c r="G88" s="398"/>
      <c r="H88" s="353" t="e">
        <f>SUMIF('[13]Div 9 forecast'!$C$9:$C$575,$B88, '[13]Div 9 forecast'!$AM$9:$AM$575)</f>
        <v>#VALUE!</v>
      </c>
      <c r="I88" s="457"/>
      <c r="J88" s="353" t="e">
        <f>SUMIF('[13]Div 9 forecast'!$C$9:$C$575,$B88, '[13]Div 9 forecast'!$AM$9:$AN$575)</f>
        <v>#VALUE!</v>
      </c>
      <c r="K88" s="457"/>
      <c r="L88" s="353">
        <v>0</v>
      </c>
      <c r="M88" s="457"/>
      <c r="N88" s="353">
        <v>0</v>
      </c>
      <c r="O88" s="457"/>
      <c r="P88" s="353" t="e">
        <f t="shared" si="1"/>
        <v>#VALUE!</v>
      </c>
      <c r="T88" s="1085"/>
    </row>
    <row r="89" spans="1:21" ht="15.75" customHeight="1">
      <c r="A89" s="241">
        <f t="shared" si="2"/>
        <v>70</v>
      </c>
      <c r="B89" s="1085">
        <v>8790</v>
      </c>
      <c r="C89" s="62" t="s">
        <v>656</v>
      </c>
      <c r="D89" s="353">
        <f>'C.2.1 B'!D117</f>
        <v>3008.5268809715649</v>
      </c>
      <c r="E89" s="353"/>
      <c r="F89" s="353" t="e">
        <f>SUMIF('[13]Div 9 forecast'!$C$9:$C$575,$B89, '[13]Div 9 forecast'!$AL$9:$AL$575)</f>
        <v>#VALUE!</v>
      </c>
      <c r="G89" s="398"/>
      <c r="H89" s="353" t="e">
        <f>SUMIF('[13]Div 9 forecast'!$C$9:$C$575,$B89, '[13]Div 9 forecast'!$AM$9:$AM$575)</f>
        <v>#VALUE!</v>
      </c>
      <c r="I89" s="457"/>
      <c r="J89" s="353" t="e">
        <f>SUMIF('[13]Div 9 forecast'!$C$9:$C$575,$B89, '[13]Div 9 forecast'!$AM$9:$AN$575)</f>
        <v>#VALUE!</v>
      </c>
      <c r="K89" s="353"/>
      <c r="L89" s="353">
        <v>0</v>
      </c>
      <c r="M89" s="457"/>
      <c r="N89" s="353">
        <v>0</v>
      </c>
      <c r="O89" s="457"/>
      <c r="P89" s="353" t="e">
        <f t="shared" si="1"/>
        <v>#VALUE!</v>
      </c>
      <c r="T89" s="1085"/>
    </row>
    <row r="90" spans="1:21" ht="15.75" customHeight="1">
      <c r="A90" s="241">
        <f t="shared" si="2"/>
        <v>71</v>
      </c>
      <c r="B90" s="1085">
        <v>8800</v>
      </c>
      <c r="C90" s="62" t="s">
        <v>657</v>
      </c>
      <c r="D90" s="353">
        <f>'C.2.1 B'!D118</f>
        <v>5729.2993178952001</v>
      </c>
      <c r="E90" s="353"/>
      <c r="F90" s="353" t="e">
        <f>SUMIF('[13]Div 9 forecast'!$C$9:$C$575,$B90, '[13]Div 9 forecast'!$AL$9:$AL$575)</f>
        <v>#VALUE!</v>
      </c>
      <c r="G90" s="398"/>
      <c r="H90" s="353" t="e">
        <f>SUMIF('[13]Div 9 forecast'!$C$9:$C$575,$B90, '[13]Div 9 forecast'!$AM$9:$AM$575)</f>
        <v>#VALUE!</v>
      </c>
      <c r="I90" s="457"/>
      <c r="J90" s="353" t="e">
        <f>SUMIF('[13]Div 9 forecast'!$C$9:$C$575,$B90, '[13]Div 9 forecast'!$AM$9:$AN$575)</f>
        <v>#VALUE!</v>
      </c>
      <c r="K90" s="353"/>
      <c r="L90" s="353">
        <v>0</v>
      </c>
      <c r="M90" s="457"/>
      <c r="N90" s="353">
        <v>0</v>
      </c>
      <c r="O90" s="457"/>
      <c r="P90" s="353" t="e">
        <f t="shared" si="1"/>
        <v>#VALUE!</v>
      </c>
      <c r="T90" s="1085"/>
    </row>
    <row r="91" spans="1:21" ht="15.75" customHeight="1">
      <c r="A91" s="241">
        <f t="shared" si="2"/>
        <v>72</v>
      </c>
      <c r="B91" s="1085">
        <v>8810</v>
      </c>
      <c r="C91" s="62" t="s">
        <v>658</v>
      </c>
      <c r="D91" s="353">
        <f>'C.2.1 B'!D119</f>
        <v>443578.11373849458</v>
      </c>
      <c r="E91" s="353"/>
      <c r="F91" s="353" t="e">
        <f>SUMIF('[13]Div 9 forecast'!$C$9:$C$575,$B91, '[13]Div 9 forecast'!$AL$9:$AL$575)</f>
        <v>#VALUE!</v>
      </c>
      <c r="G91" s="398"/>
      <c r="H91" s="353" t="e">
        <f>SUMIF('[13]Div 9 forecast'!$C$9:$C$575,$B91, '[13]Div 9 forecast'!$AM$9:$AM$575)</f>
        <v>#VALUE!</v>
      </c>
      <c r="I91" s="457"/>
      <c r="J91" s="353" t="e">
        <f>SUMIF('[13]Div 9 forecast'!$C$9:$C$575,$B91, '[13]Div 9 forecast'!$AM$9:$AN$575)</f>
        <v>#VALUE!</v>
      </c>
      <c r="K91" s="353"/>
      <c r="L91" s="353">
        <v>0</v>
      </c>
      <c r="M91" s="457"/>
      <c r="N91" s="353">
        <v>0</v>
      </c>
      <c r="O91" s="457"/>
      <c r="P91" s="353" t="e">
        <f t="shared" si="1"/>
        <v>#VALUE!</v>
      </c>
      <c r="T91" s="1085"/>
    </row>
    <row r="92" spans="1:21" ht="15.75" customHeight="1">
      <c r="A92" s="241">
        <f t="shared" si="2"/>
        <v>73</v>
      </c>
      <c r="B92" s="1085">
        <v>8850</v>
      </c>
      <c r="C92" s="62" t="s">
        <v>743</v>
      </c>
      <c r="D92" s="353">
        <f>'C.2.1 B'!D123</f>
        <v>1232.3363846811581</v>
      </c>
      <c r="E92" s="353"/>
      <c r="F92" s="353" t="e">
        <f>SUMIF('[13]Div 9 forecast'!$C$9:$C$575,$B92, '[13]Div 9 forecast'!$AL$9:$AL$575)</f>
        <v>#VALUE!</v>
      </c>
      <c r="G92" s="398"/>
      <c r="H92" s="353" t="e">
        <f>SUMIF('[13]Div 9 forecast'!$C$9:$C$575,$B92, '[13]Div 9 forecast'!$AM$9:$AM$575)</f>
        <v>#VALUE!</v>
      </c>
      <c r="I92" s="457"/>
      <c r="J92" s="353" t="e">
        <f>SUMIF('[13]Div 9 forecast'!$C$9:$C$575,$B92, '[13]Div 9 forecast'!$AM$9:$AN$575)</f>
        <v>#VALUE!</v>
      </c>
      <c r="K92" s="353"/>
      <c r="L92" s="353">
        <v>0</v>
      </c>
      <c r="M92" s="457"/>
      <c r="N92" s="353">
        <v>0</v>
      </c>
      <c r="O92" s="457"/>
      <c r="P92" s="353" t="e">
        <f t="shared" si="1"/>
        <v>#VALUE!</v>
      </c>
      <c r="T92" s="1085"/>
    </row>
    <row r="93" spans="1:21" ht="15.75" customHeight="1">
      <c r="A93" s="241">
        <f t="shared" si="2"/>
        <v>74</v>
      </c>
      <c r="B93" s="1085">
        <v>8860</v>
      </c>
      <c r="C93" s="62" t="s">
        <v>774</v>
      </c>
      <c r="D93" s="353">
        <f>'C.2.1 B'!D124</f>
        <v>131.47406027797859</v>
      </c>
      <c r="E93" s="353"/>
      <c r="F93" s="353" t="e">
        <f>SUMIF('[13]Div 9 forecast'!$C$9:$C$575,$B93, '[13]Div 9 forecast'!$AL$9:$AL$575)</f>
        <v>#VALUE!</v>
      </c>
      <c r="G93" s="398"/>
      <c r="H93" s="353" t="e">
        <f>SUMIF('[13]Div 9 forecast'!$C$9:$C$575,$B93, '[13]Div 9 forecast'!$AM$9:$AM$575)</f>
        <v>#VALUE!</v>
      </c>
      <c r="I93" s="457"/>
      <c r="J93" s="353" t="e">
        <f>SUMIF('[13]Div 9 forecast'!$C$9:$C$575,$B93, '[13]Div 9 forecast'!$AM$9:$AN$575)</f>
        <v>#VALUE!</v>
      </c>
      <c r="K93" s="353"/>
      <c r="L93" s="353">
        <v>0</v>
      </c>
      <c r="M93" s="457"/>
      <c r="N93" s="353">
        <v>0</v>
      </c>
      <c r="O93" s="457"/>
      <c r="P93" s="353" t="e">
        <f t="shared" si="1"/>
        <v>#VALUE!</v>
      </c>
      <c r="T93" s="1085"/>
    </row>
    <row r="94" spans="1:21" ht="15.75" customHeight="1">
      <c r="A94" s="241"/>
      <c r="B94" s="276"/>
      <c r="D94" s="86"/>
      <c r="E94" s="86"/>
      <c r="F94" s="86"/>
      <c r="G94" s="96"/>
      <c r="H94" s="86"/>
      <c r="I94" s="1086"/>
      <c r="J94" s="86"/>
      <c r="K94" s="86"/>
      <c r="L94" s="86"/>
      <c r="M94" s="1086"/>
      <c r="N94" s="86"/>
      <c r="O94" s="1086"/>
      <c r="P94" s="86"/>
    </row>
    <row r="95" spans="1:21" ht="15.75" customHeight="1">
      <c r="D95" s="96"/>
      <c r="E95" s="96"/>
      <c r="F95" s="96"/>
      <c r="G95" s="96"/>
      <c r="H95" s="856" t="s">
        <v>218</v>
      </c>
      <c r="I95" s="96"/>
      <c r="J95" s="96"/>
      <c r="K95" s="96"/>
      <c r="L95" s="96"/>
      <c r="M95" s="96"/>
      <c r="N95" s="96"/>
      <c r="O95" s="96"/>
      <c r="P95" s="856" t="s">
        <v>1090</v>
      </c>
    </row>
    <row r="96" spans="1:21" ht="15.75" customHeight="1">
      <c r="A96" s="241" t="s">
        <v>93</v>
      </c>
      <c r="B96" s="276" t="s">
        <v>1306</v>
      </c>
      <c r="D96" s="856" t="s">
        <v>44</v>
      </c>
      <c r="E96" s="96"/>
      <c r="F96" s="1081" t="s">
        <v>1089</v>
      </c>
      <c r="G96" s="1084"/>
      <c r="H96" s="1081" t="s">
        <v>1089</v>
      </c>
      <c r="I96" s="1082"/>
      <c r="J96" s="1081" t="s">
        <v>1089</v>
      </c>
      <c r="K96" s="1082"/>
      <c r="L96" s="1081" t="s">
        <v>1089</v>
      </c>
      <c r="M96" s="1082"/>
      <c r="N96" s="1081" t="s">
        <v>1089</v>
      </c>
      <c r="O96" s="1082"/>
      <c r="P96" s="856" t="s">
        <v>96</v>
      </c>
    </row>
    <row r="97" spans="1:21" ht="15.75" customHeight="1">
      <c r="A97" s="1083" t="s">
        <v>99</v>
      </c>
      <c r="B97" s="277" t="s">
        <v>219</v>
      </c>
      <c r="C97" s="240"/>
      <c r="D97" s="973" t="s">
        <v>538</v>
      </c>
      <c r="E97" s="641"/>
      <c r="F97" s="973" t="s">
        <v>606</v>
      </c>
      <c r="G97" s="969" t="s">
        <v>323</v>
      </c>
      <c r="H97" s="973" t="s">
        <v>464</v>
      </c>
      <c r="I97" s="969" t="s">
        <v>323</v>
      </c>
      <c r="J97" s="973" t="s">
        <v>465</v>
      </c>
      <c r="K97" s="969" t="s">
        <v>323</v>
      </c>
      <c r="L97" s="973" t="s">
        <v>466</v>
      </c>
      <c r="M97" s="969" t="s">
        <v>323</v>
      </c>
      <c r="N97" s="973" t="s">
        <v>467</v>
      </c>
      <c r="O97" s="969" t="s">
        <v>323</v>
      </c>
      <c r="P97" s="973" t="s">
        <v>471</v>
      </c>
    </row>
    <row r="98" spans="1:21" ht="15.75" customHeight="1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21" ht="15.75" customHeight="1">
      <c r="A99" s="241">
        <f>A93+1</f>
        <v>75</v>
      </c>
      <c r="B99" s="1085">
        <v>8870</v>
      </c>
      <c r="C99" s="276" t="s">
        <v>437</v>
      </c>
      <c r="D99" s="353">
        <f>'C.2.1 B'!D125</f>
        <v>30074.168604191938</v>
      </c>
      <c r="E99" s="353"/>
      <c r="F99" s="353" t="e">
        <f>SUMIF('[13]Div 9 forecast'!$C$9:$C$575,$B99, '[13]Div 9 forecast'!$AL$9:$AL$575)</f>
        <v>#VALUE!</v>
      </c>
      <c r="G99" s="398"/>
      <c r="H99" s="353" t="e">
        <f>SUMIF('[13]Div 9 forecast'!$C$9:$C$575,$B99, '[13]Div 9 forecast'!$AM$9:$AM$575)</f>
        <v>#VALUE!</v>
      </c>
      <c r="I99" s="457"/>
      <c r="J99" s="353" t="e">
        <f>SUMIF('[13]Div 9 forecast'!$C$9:$C$575,$B99, '[13]Div 9 forecast'!$AM$9:$AN$575)</f>
        <v>#VALUE!</v>
      </c>
      <c r="K99" s="353"/>
      <c r="L99" s="353">
        <v>0</v>
      </c>
      <c r="M99" s="457"/>
      <c r="N99" s="353">
        <v>0</v>
      </c>
      <c r="O99" s="457"/>
      <c r="P99" s="353" t="e">
        <f t="shared" ref="P99:P132" si="3">SUM(F99:O99)</f>
        <v>#VALUE!</v>
      </c>
      <c r="T99" s="1087"/>
    </row>
    <row r="100" spans="1:21" ht="15.75" customHeight="1">
      <c r="A100" s="241">
        <f t="shared" ref="A100:A132" si="4">A99+1</f>
        <v>76</v>
      </c>
      <c r="B100" s="1085">
        <v>8890</v>
      </c>
      <c r="C100" s="276" t="s">
        <v>1194</v>
      </c>
      <c r="D100" s="353">
        <f>'C.2.1 B'!D126</f>
        <v>71785.555394439813</v>
      </c>
      <c r="E100" s="353"/>
      <c r="F100" s="353" t="e">
        <f>SUMIF('[13]Div 9 forecast'!$C$9:$C$575,$B100, '[13]Div 9 forecast'!$AL$9:$AL$575)</f>
        <v>#VALUE!</v>
      </c>
      <c r="G100" s="398"/>
      <c r="H100" s="353" t="e">
        <f>SUMIF('[13]Div 9 forecast'!$C$9:$C$575,$B100, '[13]Div 9 forecast'!$AM$9:$AM$575)</f>
        <v>#VALUE!</v>
      </c>
      <c r="I100" s="457"/>
      <c r="J100" s="353" t="e">
        <f>SUMIF('[13]Div 9 forecast'!$C$9:$C$575,$B100, '[13]Div 9 forecast'!$AM$9:$AN$575)</f>
        <v>#VALUE!</v>
      </c>
      <c r="K100" s="353"/>
      <c r="L100" s="353">
        <v>0</v>
      </c>
      <c r="M100" s="457"/>
      <c r="N100" s="353">
        <v>0</v>
      </c>
      <c r="O100" s="457"/>
      <c r="P100" s="353" t="e">
        <f t="shared" si="3"/>
        <v>#VALUE!</v>
      </c>
      <c r="T100" s="1085"/>
    </row>
    <row r="101" spans="1:21" ht="15.75" customHeight="1">
      <c r="A101" s="241">
        <f t="shared" si="4"/>
        <v>77</v>
      </c>
      <c r="B101" s="1085">
        <v>8900</v>
      </c>
      <c r="C101" s="276" t="s">
        <v>1019</v>
      </c>
      <c r="D101" s="353">
        <f>'C.2.1 B'!D127</f>
        <v>2113.9455624468274</v>
      </c>
      <c r="E101" s="353"/>
      <c r="F101" s="353" t="e">
        <f>SUMIF('[13]Div 9 forecast'!$C$9:$C$575,$B101, '[13]Div 9 forecast'!$AL$9:$AL$575)</f>
        <v>#VALUE!</v>
      </c>
      <c r="G101" s="398"/>
      <c r="H101" s="353" t="e">
        <f>SUMIF('[13]Div 9 forecast'!$C$9:$C$575,$B101, '[13]Div 9 forecast'!$AM$9:$AM$575)</f>
        <v>#VALUE!</v>
      </c>
      <c r="I101" s="457"/>
      <c r="J101" s="353" t="e">
        <f>SUMIF('[13]Div 9 forecast'!$C$9:$C$575,$B101, '[13]Div 9 forecast'!$AM$9:$AN$575)</f>
        <v>#VALUE!</v>
      </c>
      <c r="K101" s="353"/>
      <c r="L101" s="353">
        <v>0</v>
      </c>
      <c r="M101" s="457"/>
      <c r="N101" s="353">
        <v>0</v>
      </c>
      <c r="O101" s="457"/>
      <c r="P101" s="353" t="e">
        <f t="shared" si="3"/>
        <v>#VALUE!</v>
      </c>
      <c r="T101" s="1085"/>
    </row>
    <row r="102" spans="1:21" ht="15.75" customHeight="1">
      <c r="A102" s="241">
        <f t="shared" si="4"/>
        <v>78</v>
      </c>
      <c r="B102" s="1085">
        <v>8910</v>
      </c>
      <c r="C102" s="276" t="s">
        <v>1020</v>
      </c>
      <c r="D102" s="353">
        <f>'C.2.1 B'!D128</f>
        <v>950.34713050492871</v>
      </c>
      <c r="E102" s="353"/>
      <c r="F102" s="353" t="e">
        <f>SUMIF('[13]Div 9 forecast'!$C$9:$C$575,$B102, '[13]Div 9 forecast'!$AL$9:$AL$575)</f>
        <v>#VALUE!</v>
      </c>
      <c r="G102" s="398"/>
      <c r="H102" s="353" t="e">
        <f>SUMIF('[13]Div 9 forecast'!$C$9:$C$575,$B102, '[13]Div 9 forecast'!$AM$9:$AM$575)</f>
        <v>#VALUE!</v>
      </c>
      <c r="I102" s="457"/>
      <c r="J102" s="353" t="e">
        <f>SUMIF('[13]Div 9 forecast'!$C$9:$C$575,$B102, '[13]Div 9 forecast'!$AM$9:$AN$575)</f>
        <v>#VALUE!</v>
      </c>
      <c r="K102" s="353"/>
      <c r="L102" s="353">
        <v>0</v>
      </c>
      <c r="M102" s="457"/>
      <c r="N102" s="353">
        <v>0</v>
      </c>
      <c r="O102" s="457"/>
      <c r="P102" s="353" t="e">
        <f t="shared" si="3"/>
        <v>#VALUE!</v>
      </c>
      <c r="T102" s="1085"/>
    </row>
    <row r="103" spans="1:21" ht="15.75" customHeight="1">
      <c r="A103" s="241">
        <f t="shared" si="4"/>
        <v>79</v>
      </c>
      <c r="B103" s="1085">
        <v>8920</v>
      </c>
      <c r="C103" s="276" t="s">
        <v>1021</v>
      </c>
      <c r="D103" s="353">
        <f>'C.2.1 B'!D129</f>
        <v>6794.1708785912742</v>
      </c>
      <c r="E103" s="353"/>
      <c r="F103" s="353" t="e">
        <f>SUMIF('[13]Div 9 forecast'!$C$9:$C$575,$B103, '[13]Div 9 forecast'!$AL$9:$AL$575)</f>
        <v>#VALUE!</v>
      </c>
      <c r="G103" s="398"/>
      <c r="H103" s="353" t="e">
        <f>SUMIF('[13]Div 9 forecast'!$C$9:$C$575,$B103, '[13]Div 9 forecast'!$AM$9:$AM$575)</f>
        <v>#VALUE!</v>
      </c>
      <c r="I103" s="457"/>
      <c r="J103" s="353" t="e">
        <f>SUMIF('[13]Div 9 forecast'!$C$9:$C$575,$B103, '[13]Div 9 forecast'!$AM$9:$AN$575)</f>
        <v>#VALUE!</v>
      </c>
      <c r="K103" s="353"/>
      <c r="L103" s="353">
        <v>0</v>
      </c>
      <c r="M103" s="457"/>
      <c r="N103" s="353">
        <v>0</v>
      </c>
      <c r="O103" s="457"/>
      <c r="P103" s="353" t="e">
        <f t="shared" si="3"/>
        <v>#VALUE!</v>
      </c>
      <c r="T103" s="1085"/>
    </row>
    <row r="104" spans="1:21" ht="15.75" customHeight="1">
      <c r="A104" s="241">
        <f t="shared" si="4"/>
        <v>80</v>
      </c>
      <c r="B104" s="1085">
        <v>8930</v>
      </c>
      <c r="C104" s="276" t="s">
        <v>1022</v>
      </c>
      <c r="D104" s="353">
        <f>'C.2.1 B'!D130</f>
        <v>0</v>
      </c>
      <c r="E104" s="353"/>
      <c r="F104" s="353" t="e">
        <f>SUMIF('[13]Div 9 forecast'!$C$9:$C$575,$B104, '[13]Div 9 forecast'!$AL$9:$AL$575)</f>
        <v>#VALUE!</v>
      </c>
      <c r="G104" s="398"/>
      <c r="H104" s="353" t="e">
        <f>SUMIF('[13]Div 9 forecast'!$C$9:$C$575,$B104, '[13]Div 9 forecast'!$AM$9:$AM$575)</f>
        <v>#VALUE!</v>
      </c>
      <c r="I104" s="457"/>
      <c r="J104" s="353" t="e">
        <f>SUMIF('[13]Div 9 forecast'!$C$9:$C$575,$B104, '[13]Div 9 forecast'!$AM$9:$AN$575)</f>
        <v>#VALUE!</v>
      </c>
      <c r="K104" s="353"/>
      <c r="L104" s="353">
        <v>0</v>
      </c>
      <c r="M104" s="457"/>
      <c r="N104" s="353">
        <v>0</v>
      </c>
      <c r="O104" s="457"/>
      <c r="P104" s="353" t="e">
        <f t="shared" si="3"/>
        <v>#VALUE!</v>
      </c>
      <c r="T104" s="1085"/>
    </row>
    <row r="105" spans="1:21" ht="15.75" customHeight="1">
      <c r="A105" s="241">
        <f t="shared" si="4"/>
        <v>81</v>
      </c>
      <c r="B105" s="1085">
        <v>8940</v>
      </c>
      <c r="C105" s="276" t="s">
        <v>117</v>
      </c>
      <c r="D105" s="353">
        <f>'C.2.1 B'!D131</f>
        <v>7847.4026351590774</v>
      </c>
      <c r="E105" s="353"/>
      <c r="F105" s="353" t="e">
        <f>SUMIF('[13]Div 9 forecast'!$C$9:$C$575,$B105, '[13]Div 9 forecast'!$AL$9:$AL$575)</f>
        <v>#VALUE!</v>
      </c>
      <c r="G105" s="398"/>
      <c r="H105" s="353" t="e">
        <f>SUMIF('[13]Div 9 forecast'!$C$9:$C$575,$B105, '[13]Div 9 forecast'!$AM$9:$AM$575)</f>
        <v>#VALUE!</v>
      </c>
      <c r="I105" s="457"/>
      <c r="J105" s="353" t="e">
        <f>SUMIF('[13]Div 9 forecast'!$C$9:$C$575,$B105, '[13]Div 9 forecast'!$AM$9:$AN$575)</f>
        <v>#VALUE!</v>
      </c>
      <c r="K105" s="353"/>
      <c r="L105" s="353">
        <v>0</v>
      </c>
      <c r="M105" s="353"/>
      <c r="N105" s="353">
        <v>0</v>
      </c>
      <c r="O105" s="457"/>
      <c r="P105" s="353" t="e">
        <f t="shared" si="3"/>
        <v>#VALUE!</v>
      </c>
      <c r="T105" s="1085"/>
    </row>
    <row r="106" spans="1:21" ht="15.75" customHeight="1">
      <c r="A106" s="241">
        <f t="shared" si="4"/>
        <v>82</v>
      </c>
      <c r="B106" s="1085">
        <v>8950</v>
      </c>
      <c r="C106" s="276" t="s">
        <v>234</v>
      </c>
      <c r="D106" s="353">
        <f>'C.2.1 B'!D132</f>
        <v>0</v>
      </c>
      <c r="E106" s="353"/>
      <c r="F106" s="353" t="e">
        <f>SUMIF('[13]Div 9 forecast'!$C$9:$C$575,$B106, '[13]Div 9 forecast'!$AL$9:$AL$575)</f>
        <v>#VALUE!</v>
      </c>
      <c r="G106" s="398"/>
      <c r="H106" s="353" t="e">
        <f>SUMIF('[13]Div 9 forecast'!$C$9:$C$575,$B106, '[13]Div 9 forecast'!$AM$9:$AM$575)</f>
        <v>#VALUE!</v>
      </c>
      <c r="I106" s="457"/>
      <c r="J106" s="353" t="e">
        <f>SUMIF('[13]Div 9 forecast'!$C$9:$C$575,$B106, '[13]Div 9 forecast'!$AM$9:$AN$575)</f>
        <v>#VALUE!</v>
      </c>
      <c r="K106" s="353"/>
      <c r="L106" s="353">
        <v>0</v>
      </c>
      <c r="M106" s="353"/>
      <c r="N106" s="353">
        <v>0</v>
      </c>
      <c r="O106" s="457"/>
      <c r="P106" s="353" t="e">
        <f t="shared" si="3"/>
        <v>#VALUE!</v>
      </c>
      <c r="T106" s="1085"/>
    </row>
    <row r="107" spans="1:21" ht="15.75" customHeight="1">
      <c r="A107" s="241">
        <f t="shared" si="4"/>
        <v>83</v>
      </c>
      <c r="B107" s="1085">
        <v>9010</v>
      </c>
      <c r="C107" s="276" t="s">
        <v>118</v>
      </c>
      <c r="D107" s="353">
        <f>'C.2.1 B'!D136</f>
        <v>0</v>
      </c>
      <c r="E107" s="353"/>
      <c r="F107" s="353" t="e">
        <f>SUMIF('[13]Div 9 forecast'!$C$9:$C$575,$B107, '[13]Div 9 forecast'!$AL$9:$AL$575)</f>
        <v>#VALUE!</v>
      </c>
      <c r="G107" s="398"/>
      <c r="H107" s="353" t="e">
        <f>SUMIF('[13]Div 9 forecast'!$C$9:$C$575,$B107, '[13]Div 9 forecast'!$AM$9:$AM$575)</f>
        <v>#VALUE!</v>
      </c>
      <c r="I107" s="457"/>
      <c r="J107" s="353" t="e">
        <f>SUMIF('[13]Div 9 forecast'!$C$9:$C$575,$B107, '[13]Div 9 forecast'!$AM$9:$AN$575)</f>
        <v>#VALUE!</v>
      </c>
      <c r="K107" s="353"/>
      <c r="L107" s="353">
        <v>0</v>
      </c>
      <c r="M107" s="353"/>
      <c r="N107" s="353">
        <v>0</v>
      </c>
      <c r="O107" s="457"/>
      <c r="P107" s="353" t="e">
        <f t="shared" si="3"/>
        <v>#VALUE!</v>
      </c>
      <c r="T107" s="1085"/>
    </row>
    <row r="108" spans="1:21" ht="15.75" customHeight="1">
      <c r="A108" s="241">
        <f t="shared" si="4"/>
        <v>84</v>
      </c>
      <c r="B108" s="1085">
        <v>9020</v>
      </c>
      <c r="C108" s="276" t="s">
        <v>119</v>
      </c>
      <c r="D108" s="353">
        <f>'C.2.1 B'!D137</f>
        <v>1127895.6702847565</v>
      </c>
      <c r="E108" s="353"/>
      <c r="F108" s="353" t="e">
        <f>SUMIF('[13]Div 9 forecast'!$C$9:$C$575,$B108, '[13]Div 9 forecast'!$AL$9:$AL$575)</f>
        <v>#VALUE!</v>
      </c>
      <c r="G108" s="398"/>
      <c r="H108" s="353" t="e">
        <f>SUMIF('[13]Div 9 forecast'!$C$9:$C$575,$B108, '[13]Div 9 forecast'!$AM$9:$AM$575)</f>
        <v>#VALUE!</v>
      </c>
      <c r="I108" s="457"/>
      <c r="J108" s="353" t="e">
        <f>SUMIF('[13]Div 9 forecast'!$C$9:$C$575,$B108, '[13]Div 9 forecast'!$AM$9:$AN$575)</f>
        <v>#VALUE!</v>
      </c>
      <c r="K108" s="353"/>
      <c r="L108" s="353">
        <v>0</v>
      </c>
      <c r="M108" s="353"/>
      <c r="N108" s="353">
        <v>0</v>
      </c>
      <c r="O108" s="457"/>
      <c r="P108" s="353" t="e">
        <f t="shared" si="3"/>
        <v>#VALUE!</v>
      </c>
      <c r="T108" s="1085"/>
      <c r="U108" s="1085"/>
    </row>
    <row r="109" spans="1:21" ht="15.75" customHeight="1">
      <c r="A109" s="241">
        <f t="shared" si="4"/>
        <v>85</v>
      </c>
      <c r="B109" s="1085">
        <v>9030</v>
      </c>
      <c r="C109" s="276" t="s">
        <v>120</v>
      </c>
      <c r="D109" s="353">
        <f>'C.2.1 B'!D138</f>
        <v>1283457.4816029938</v>
      </c>
      <c r="E109" s="353"/>
      <c r="F109" s="353" t="e">
        <f>SUMIF('[13]Div 9 forecast'!$C$9:$C$575,$B109, '[13]Div 9 forecast'!$AL$9:$AL$575)</f>
        <v>#VALUE!</v>
      </c>
      <c r="G109" s="398"/>
      <c r="H109" s="353" t="e">
        <f>SUMIF('[13]Div 9 forecast'!$C$9:$C$575,$B109, '[13]Div 9 forecast'!$AM$9:$AM$575)</f>
        <v>#VALUE!</v>
      </c>
      <c r="I109" s="457"/>
      <c r="J109" s="353" t="e">
        <f>SUMIF('[13]Div 9 forecast'!$C$9:$C$575,$B109, '[13]Div 9 forecast'!$AM$9:$AN$575)</f>
        <v>#VALUE!</v>
      </c>
      <c r="K109" s="353"/>
      <c r="L109" s="353">
        <v>0</v>
      </c>
      <c r="M109" s="353"/>
      <c r="N109" s="353">
        <v>0</v>
      </c>
      <c r="O109" s="457"/>
      <c r="P109" s="353" t="e">
        <f t="shared" si="3"/>
        <v>#VALUE!</v>
      </c>
      <c r="T109" s="1085"/>
    </row>
    <row r="110" spans="1:21" ht="15.75" customHeight="1">
      <c r="A110" s="241">
        <f t="shared" si="4"/>
        <v>86</v>
      </c>
      <c r="B110" s="1085">
        <v>9040</v>
      </c>
      <c r="C110" s="276" t="s">
        <v>121</v>
      </c>
      <c r="D110" s="353">
        <f>'C.2.1 B'!D139</f>
        <v>549343.45279999997</v>
      </c>
      <c r="E110" s="353"/>
      <c r="F110" s="353" t="e">
        <f>SUMIF('[13]Div 9 forecast'!$C$9:$C$575,$B110, '[13]Div 9 forecast'!$AL$9:$AL$575)</f>
        <v>#VALUE!</v>
      </c>
      <c r="G110" s="398"/>
      <c r="H110" s="353" t="e">
        <f>SUMIF('[13]Div 9 forecast'!$C$9:$C$575,$B110, '[13]Div 9 forecast'!$AM$9:$AM$575)</f>
        <v>#VALUE!</v>
      </c>
      <c r="I110" s="457"/>
      <c r="J110" s="353" t="e">
        <f>SUMIF('[13]Div 9 forecast'!$C$9:$C$575,$B110, '[13]Div 9 forecast'!$AM$9:$AN$575)</f>
        <v>#VALUE!</v>
      </c>
      <c r="K110" s="353"/>
      <c r="L110" s="353">
        <f>'[13]Div 9 forecast'!$AO$551</f>
        <v>-208292.9660281667</v>
      </c>
      <c r="M110" s="353"/>
      <c r="N110" s="353">
        <v>0</v>
      </c>
      <c r="O110" s="457"/>
      <c r="P110" s="353" t="e">
        <f t="shared" si="3"/>
        <v>#VALUE!</v>
      </c>
      <c r="T110" s="1085"/>
    </row>
    <row r="111" spans="1:21" ht="15.75" customHeight="1">
      <c r="A111" s="241">
        <f t="shared" si="4"/>
        <v>87</v>
      </c>
      <c r="B111" s="1085">
        <v>9070</v>
      </c>
      <c r="C111" s="276" t="s">
        <v>29</v>
      </c>
      <c r="D111" s="353">
        <f>'C.2.1 B'!D143</f>
        <v>0</v>
      </c>
      <c r="E111" s="353"/>
      <c r="F111" s="353" t="e">
        <f>SUMIF('[13]Div 9 forecast'!$C$9:$C$575,$B111, '[13]Div 9 forecast'!$AL$9:$AL$575)</f>
        <v>#VALUE!</v>
      </c>
      <c r="G111" s="398"/>
      <c r="H111" s="353" t="e">
        <f>SUMIF('[13]Div 9 forecast'!$C$9:$C$575,$B111, '[13]Div 9 forecast'!$AM$9:$AM$575)</f>
        <v>#VALUE!</v>
      </c>
      <c r="I111" s="457"/>
      <c r="J111" s="353" t="e">
        <f>SUMIF('[13]Div 9 forecast'!$C$9:$C$575,$B111, '[13]Div 9 forecast'!$AM$9:$AN$575)</f>
        <v>#VALUE!</v>
      </c>
      <c r="K111" s="353"/>
      <c r="L111" s="353">
        <v>0</v>
      </c>
      <c r="M111" s="353"/>
      <c r="N111" s="353">
        <v>0</v>
      </c>
      <c r="O111" s="457"/>
      <c r="P111" s="353" t="e">
        <f t="shared" si="3"/>
        <v>#VALUE!</v>
      </c>
      <c r="T111" s="1085"/>
    </row>
    <row r="112" spans="1:21" ht="15.75" customHeight="1">
      <c r="A112" s="241">
        <f t="shared" si="4"/>
        <v>88</v>
      </c>
      <c r="B112" s="1085">
        <v>9080</v>
      </c>
      <c r="C112" s="276" t="s">
        <v>30</v>
      </c>
      <c r="D112" s="353">
        <f>'C.2.1 B'!D144</f>
        <v>0</v>
      </c>
      <c r="E112" s="353"/>
      <c r="F112" s="353" t="e">
        <f>SUMIF('[13]Div 9 forecast'!$C$9:$C$575,$B112, '[13]Div 9 forecast'!$AL$9:$AL$575)</f>
        <v>#VALUE!</v>
      </c>
      <c r="G112" s="398"/>
      <c r="H112" s="353" t="e">
        <f>SUMIF('[13]Div 9 forecast'!$C$9:$C$575,$B112, '[13]Div 9 forecast'!$AM$9:$AM$575)</f>
        <v>#VALUE!</v>
      </c>
      <c r="I112" s="457"/>
      <c r="J112" s="353" t="e">
        <f>SUMIF('[13]Div 9 forecast'!$C$9:$C$575,$B112, '[13]Div 9 forecast'!$AM$9:$AN$575)</f>
        <v>#VALUE!</v>
      </c>
      <c r="K112" s="353"/>
      <c r="L112" s="353">
        <v>0</v>
      </c>
      <c r="M112" s="353"/>
      <c r="N112" s="353">
        <v>0</v>
      </c>
      <c r="O112" s="457"/>
      <c r="P112" s="353" t="e">
        <f t="shared" si="3"/>
        <v>#VALUE!</v>
      </c>
      <c r="T112" s="1085"/>
    </row>
    <row r="113" spans="1:20" ht="15.75" customHeight="1">
      <c r="A113" s="241">
        <f t="shared" si="4"/>
        <v>89</v>
      </c>
      <c r="B113" s="1085">
        <v>9090</v>
      </c>
      <c r="C113" s="276" t="s">
        <v>122</v>
      </c>
      <c r="D113" s="353">
        <f>'C.2.1 B'!D145</f>
        <v>129522.85695117761</v>
      </c>
      <c r="E113" s="353"/>
      <c r="F113" s="353" t="e">
        <f>SUMIF('[13]Div 9 forecast'!$C$9:$C$575,$B113, '[13]Div 9 forecast'!$AL$9:$AL$575)</f>
        <v>#VALUE!</v>
      </c>
      <c r="G113" s="398"/>
      <c r="H113" s="353" t="e">
        <f>SUMIF('[13]Div 9 forecast'!$C$9:$C$575,$B113, '[13]Div 9 forecast'!$AM$9:$AM$575)</f>
        <v>#VALUE!</v>
      </c>
      <c r="I113" s="457"/>
      <c r="J113" s="353" t="e">
        <f>SUMIF('[13]Div 9 forecast'!$C$9:$C$575,$B113, '[13]Div 9 forecast'!$AM$9:$AN$575)</f>
        <v>#VALUE!</v>
      </c>
      <c r="K113" s="353"/>
      <c r="L113" s="353">
        <v>0</v>
      </c>
      <c r="M113" s="353"/>
      <c r="N113" s="353">
        <v>0</v>
      </c>
      <c r="O113" s="457"/>
      <c r="P113" s="353" t="e">
        <f t="shared" si="3"/>
        <v>#VALUE!</v>
      </c>
      <c r="T113" s="1085"/>
    </row>
    <row r="114" spans="1:20" ht="15.75" customHeight="1">
      <c r="A114" s="241">
        <f t="shared" si="4"/>
        <v>90</v>
      </c>
      <c r="B114" s="1085">
        <v>9100</v>
      </c>
      <c r="C114" s="276" t="s">
        <v>123</v>
      </c>
      <c r="D114" s="353">
        <f>'C.2.1 B'!D146</f>
        <v>0</v>
      </c>
      <c r="E114" s="353"/>
      <c r="F114" s="353" t="e">
        <f>SUMIF('[13]Div 9 forecast'!$C$9:$C$575,$B114, '[13]Div 9 forecast'!$AL$9:$AL$575)</f>
        <v>#VALUE!</v>
      </c>
      <c r="G114" s="398"/>
      <c r="H114" s="353" t="e">
        <f>SUMIF('[13]Div 9 forecast'!$C$9:$C$575,$B114, '[13]Div 9 forecast'!$AM$9:$AM$575)</f>
        <v>#VALUE!</v>
      </c>
      <c r="I114" s="457"/>
      <c r="J114" s="353" t="e">
        <f>SUMIF('[13]Div 9 forecast'!$C$9:$C$575,$B114, '[13]Div 9 forecast'!$AM$9:$AN$575)</f>
        <v>#VALUE!</v>
      </c>
      <c r="K114" s="353"/>
      <c r="L114" s="353">
        <v>0</v>
      </c>
      <c r="M114" s="353"/>
      <c r="N114" s="353">
        <v>0</v>
      </c>
      <c r="O114" s="457"/>
      <c r="P114" s="353" t="e">
        <f t="shared" si="3"/>
        <v>#VALUE!</v>
      </c>
      <c r="T114" s="1085"/>
    </row>
    <row r="115" spans="1:20" ht="15.75" customHeight="1">
      <c r="A115" s="241">
        <f t="shared" si="4"/>
        <v>91</v>
      </c>
      <c r="B115" s="1087">
        <v>9110</v>
      </c>
      <c r="C115" s="1088" t="s">
        <v>225</v>
      </c>
      <c r="D115" s="353">
        <f>'C.2.1 B'!D150</f>
        <v>253381.5692414387</v>
      </c>
      <c r="E115" s="353"/>
      <c r="F115" s="353" t="e">
        <f>SUMIF('[13]Div 9 forecast'!$C$9:$C$575,$B115, '[13]Div 9 forecast'!$AL$9:$AL$575)</f>
        <v>#VALUE!</v>
      </c>
      <c r="G115" s="398"/>
      <c r="H115" s="353" t="e">
        <f>SUMIF('[13]Div 9 forecast'!$C$9:$C$575,$B115, '[13]Div 9 forecast'!$AM$9:$AM$575)</f>
        <v>#VALUE!</v>
      </c>
      <c r="I115" s="457"/>
      <c r="J115" s="353" t="e">
        <f>SUMIF('[13]Div 9 forecast'!$C$9:$C$575,$B115, '[13]Div 9 forecast'!$AM$9:$AN$575)</f>
        <v>#VALUE!</v>
      </c>
      <c r="K115" s="353"/>
      <c r="L115" s="353">
        <v>0</v>
      </c>
      <c r="M115" s="353"/>
      <c r="N115" s="353">
        <v>0</v>
      </c>
      <c r="O115" s="457"/>
      <c r="P115" s="353" t="e">
        <f t="shared" si="3"/>
        <v>#VALUE!</v>
      </c>
      <c r="T115" s="1085"/>
    </row>
    <row r="116" spans="1:20" ht="15.75" customHeight="1">
      <c r="A116" s="241">
        <f t="shared" si="4"/>
        <v>92</v>
      </c>
      <c r="B116" s="1087">
        <v>9120</v>
      </c>
      <c r="C116" s="1088" t="s">
        <v>454</v>
      </c>
      <c r="D116" s="353">
        <f>'C.2.1 B'!D151</f>
        <v>143980.74002517364</v>
      </c>
      <c r="E116" s="353"/>
      <c r="F116" s="353" t="e">
        <f>SUMIF('[13]Div 9 forecast'!$C$9:$C$575,$B116, '[13]Div 9 forecast'!$AL$9:$AL$575)</f>
        <v>#VALUE!</v>
      </c>
      <c r="G116" s="398"/>
      <c r="H116" s="353" t="e">
        <f>SUMIF('[13]Div 9 forecast'!$C$9:$C$575,$B116, '[13]Div 9 forecast'!$AM$9:$AM$575)</f>
        <v>#VALUE!</v>
      </c>
      <c r="I116" s="457"/>
      <c r="J116" s="353" t="e">
        <f>SUMIF('[13]Div 9 forecast'!$C$9:$C$575,$B116, '[13]Div 9 forecast'!$AM$9:$AN$575)</f>
        <v>#VALUE!</v>
      </c>
      <c r="K116" s="353"/>
      <c r="L116" s="353">
        <v>0</v>
      </c>
      <c r="M116" s="353"/>
      <c r="N116" s="353">
        <v>0</v>
      </c>
      <c r="O116" s="457"/>
      <c r="P116" s="353" t="e">
        <f t="shared" si="3"/>
        <v>#VALUE!</v>
      </c>
      <c r="T116" s="1085"/>
    </row>
    <row r="117" spans="1:20" ht="15.75" customHeight="1">
      <c r="A117" s="241">
        <f t="shared" si="4"/>
        <v>93</v>
      </c>
      <c r="B117" s="1087">
        <v>9130</v>
      </c>
      <c r="C117" s="1088" t="s">
        <v>455</v>
      </c>
      <c r="D117" s="353">
        <f>'C.2.1 B'!D152</f>
        <v>43529.689894270545</v>
      </c>
      <c r="E117" s="353"/>
      <c r="F117" s="353" t="e">
        <f>SUMIF('[13]Div 9 forecast'!$C$9:$C$575,$B117, '[13]Div 9 forecast'!$AL$9:$AL$575)</f>
        <v>#VALUE!</v>
      </c>
      <c r="G117" s="398"/>
      <c r="H117" s="353" t="e">
        <f>SUMIF('[13]Div 9 forecast'!$C$9:$C$575,$B117, '[13]Div 9 forecast'!$AM$9:$AM$575)</f>
        <v>#VALUE!</v>
      </c>
      <c r="I117" s="457"/>
      <c r="J117" s="353" t="e">
        <f>SUMIF('[13]Div 9 forecast'!$C$9:$C$575,$B117, '[13]Div 9 forecast'!$AM$9:$AN$575)</f>
        <v>#VALUE!</v>
      </c>
      <c r="K117" s="353"/>
      <c r="L117" s="353">
        <v>0</v>
      </c>
      <c r="M117" s="353"/>
      <c r="N117" s="353">
        <v>0</v>
      </c>
      <c r="O117" s="457"/>
      <c r="P117" s="353" t="e">
        <f t="shared" si="3"/>
        <v>#VALUE!</v>
      </c>
      <c r="T117" s="1085"/>
    </row>
    <row r="118" spans="1:20" ht="15.75" customHeight="1">
      <c r="A118" s="241">
        <f t="shared" si="4"/>
        <v>94</v>
      </c>
      <c r="B118" s="1087">
        <v>9160</v>
      </c>
      <c r="C118" s="1088" t="s">
        <v>226</v>
      </c>
      <c r="D118" s="353">
        <f>'C.2.1 B'!D153</f>
        <v>0</v>
      </c>
      <c r="E118" s="353"/>
      <c r="F118" s="353" t="e">
        <f>SUMIF('[13]Div 9 forecast'!$C$9:$C$575,$B118, '[13]Div 9 forecast'!$AL$9:$AL$575)</f>
        <v>#VALUE!</v>
      </c>
      <c r="G118" s="398"/>
      <c r="H118" s="353" t="e">
        <f>SUMIF('[13]Div 9 forecast'!$C$9:$C$575,$B118, '[13]Div 9 forecast'!$AM$9:$AM$575)</f>
        <v>#VALUE!</v>
      </c>
      <c r="I118" s="457"/>
      <c r="J118" s="353" t="e">
        <f>SUMIF('[13]Div 9 forecast'!$C$9:$C$575,$B118, '[13]Div 9 forecast'!$AM$9:$AN$575)</f>
        <v>#VALUE!</v>
      </c>
      <c r="K118" s="353"/>
      <c r="L118" s="353">
        <v>0</v>
      </c>
      <c r="M118" s="353"/>
      <c r="N118" s="353">
        <v>0</v>
      </c>
      <c r="O118" s="457"/>
      <c r="P118" s="353" t="e">
        <f t="shared" si="3"/>
        <v>#VALUE!</v>
      </c>
      <c r="T118" s="1085"/>
    </row>
    <row r="119" spans="1:20" ht="15.75" customHeight="1">
      <c r="A119" s="241">
        <f t="shared" si="4"/>
        <v>95</v>
      </c>
      <c r="B119" s="1087">
        <v>9200</v>
      </c>
      <c r="C119" s="1088" t="s">
        <v>1302</v>
      </c>
      <c r="D119" s="353">
        <f>'C.2.1 B'!D157</f>
        <v>132955.77066311194</v>
      </c>
      <c r="E119" s="353"/>
      <c r="F119" s="353" t="e">
        <f>SUMIF('[13]Div 9 forecast'!$C$9:$C$575,$B119, '[13]Div 9 forecast'!$AL$9:$AL$575)</f>
        <v>#VALUE!</v>
      </c>
      <c r="G119" s="398"/>
      <c r="H119" s="353" t="e">
        <f>SUMIF('[13]Div 9 forecast'!$C$9:$C$575,$B119, '[13]Div 9 forecast'!$AM$9:$AM$575)</f>
        <v>#VALUE!</v>
      </c>
      <c r="I119" s="457"/>
      <c r="J119" s="353" t="e">
        <f>SUMIF('[13]Div 9 forecast'!$C$9:$C$575,$B119, '[13]Div 9 forecast'!$AM$9:$AN$575)</f>
        <v>#VALUE!</v>
      </c>
      <c r="K119" s="353"/>
      <c r="L119" s="353">
        <v>0</v>
      </c>
      <c r="M119" s="353"/>
      <c r="N119" s="353">
        <v>0</v>
      </c>
      <c r="O119" s="457"/>
      <c r="P119" s="353" t="e">
        <f>SUM(F119:O119)</f>
        <v>#VALUE!</v>
      </c>
      <c r="T119" s="1085"/>
    </row>
    <row r="120" spans="1:20" ht="15.75" customHeight="1">
      <c r="A120" s="241">
        <f t="shared" si="4"/>
        <v>96</v>
      </c>
      <c r="B120" s="1085">
        <v>9210</v>
      </c>
      <c r="C120" s="276" t="s">
        <v>227</v>
      </c>
      <c r="D120" s="353">
        <f>'C.2.1 B'!D158</f>
        <v>19311.238966461424</v>
      </c>
      <c r="E120" s="353"/>
      <c r="F120" s="353" t="e">
        <f>SUMIF('[13]Div 9 forecast'!$C$9:$C$575,$B120, '[13]Div 9 forecast'!$AL$9:$AL$575)</f>
        <v>#VALUE!</v>
      </c>
      <c r="G120" s="398"/>
      <c r="H120" s="353" t="e">
        <f>SUMIF('[13]Div 9 forecast'!$C$9:$C$575,$B120, '[13]Div 9 forecast'!$AM$9:$AM$575)</f>
        <v>#VALUE!</v>
      </c>
      <c r="I120" s="457"/>
      <c r="J120" s="353" t="e">
        <f>SUMIF('[13]Div 9 forecast'!$C$9:$C$575,$B120, '[13]Div 9 forecast'!$AM$9:$AN$575)</f>
        <v>#VALUE!</v>
      </c>
      <c r="K120" s="353"/>
      <c r="L120" s="353">
        <v>0</v>
      </c>
      <c r="M120" s="353"/>
      <c r="N120" s="353">
        <v>0</v>
      </c>
      <c r="O120" s="457"/>
      <c r="P120" s="353" t="e">
        <f>SUM(F120:O120)</f>
        <v>#VALUE!</v>
      </c>
      <c r="T120" s="1085"/>
    </row>
    <row r="121" spans="1:20" ht="15">
      <c r="A121" s="241">
        <f t="shared" si="4"/>
        <v>97</v>
      </c>
      <c r="B121" s="1085">
        <v>9220</v>
      </c>
      <c r="C121" s="276" t="s">
        <v>212</v>
      </c>
      <c r="D121" s="353">
        <f>'C.2.1 B'!D159</f>
        <v>13030745.356380932</v>
      </c>
      <c r="E121" s="353"/>
      <c r="F121" s="353" t="e">
        <f>SUMIF('[13]Div 9 forecast'!$C$9:$C$575,$B121, '[13]Div 9 forecast'!$AL$9:$AL$575)</f>
        <v>#VALUE!</v>
      </c>
      <c r="G121" s="398"/>
      <c r="H121" s="353" t="e">
        <f>SUMIF('[13]Div 9 forecast'!$C$9:$C$575,$B121, '[13]Div 9 forecast'!$AM$9:$AM$575)</f>
        <v>#VALUE!</v>
      </c>
      <c r="I121" s="457"/>
      <c r="J121" s="353" t="e">
        <f>SUMIF('[13]Div 9 forecast'!$C$9:$C$575,$B121, '[13]Div 9 forecast'!$AM$9:$AN$575)</f>
        <v>#VALUE!</v>
      </c>
      <c r="K121" s="353"/>
      <c r="L121" s="353">
        <v>0</v>
      </c>
      <c r="M121" s="353"/>
      <c r="N121" s="353">
        <f>'C.2.2-F 09'!P102-'C.2.2 B 09'!P102</f>
        <v>1468018.8326046932</v>
      </c>
      <c r="O121" s="457"/>
      <c r="P121" s="353" t="e">
        <f t="shared" si="3"/>
        <v>#VALUE!</v>
      </c>
      <c r="S121" s="353"/>
      <c r="T121" s="1089"/>
    </row>
    <row r="122" spans="1:20" ht="15.75" customHeight="1">
      <c r="A122" s="241">
        <f t="shared" si="4"/>
        <v>98</v>
      </c>
      <c r="B122" s="1085">
        <v>9230</v>
      </c>
      <c r="C122" s="276" t="s">
        <v>228</v>
      </c>
      <c r="D122" s="353">
        <f>'C.2.1 B'!D160</f>
        <v>359911.37393399072</v>
      </c>
      <c r="E122" s="353"/>
      <c r="F122" s="353" t="e">
        <f>SUMIF('[13]Div 9 forecast'!$C$9:$C$575,$B122, '[13]Div 9 forecast'!$AL$9:$AL$575)</f>
        <v>#VALUE!</v>
      </c>
      <c r="G122" s="398"/>
      <c r="H122" s="353" t="e">
        <f>SUMIF('[13]Div 9 forecast'!$C$9:$C$575,$B122, '[13]Div 9 forecast'!$AM$9:$AM$575)</f>
        <v>#VALUE!</v>
      </c>
      <c r="I122" s="457"/>
      <c r="J122" s="353" t="e">
        <f>SUMIF('[13]Div 9 forecast'!$C$9:$C$575,$B122, '[13]Div 9 forecast'!$AM$9:$AN$575)</f>
        <v>#VALUE!</v>
      </c>
      <c r="K122" s="353"/>
      <c r="L122" s="353">
        <v>0</v>
      </c>
      <c r="M122" s="353"/>
      <c r="N122" s="353">
        <v>0</v>
      </c>
      <c r="O122" s="457"/>
      <c r="P122" s="353" t="e">
        <f t="shared" si="3"/>
        <v>#VALUE!</v>
      </c>
      <c r="T122" s="1085"/>
    </row>
    <row r="123" spans="1:20" ht="15.75" customHeight="1">
      <c r="A123" s="241">
        <f t="shared" si="4"/>
        <v>99</v>
      </c>
      <c r="B123" s="1085">
        <v>9240</v>
      </c>
      <c r="C123" s="276" t="s">
        <v>456</v>
      </c>
      <c r="D123" s="353">
        <f>'C.2.1 B'!D161</f>
        <v>88357.973408100195</v>
      </c>
      <c r="E123" s="353"/>
      <c r="F123" s="353" t="e">
        <f>SUMIF('[13]Div 9 forecast'!$C$9:$C$575,$B123, '[13]Div 9 forecast'!$AL$9:$AL$575)</f>
        <v>#VALUE!</v>
      </c>
      <c r="G123" s="398"/>
      <c r="H123" s="353" t="e">
        <f>SUMIF('[13]Div 9 forecast'!$C$9:$C$575,$B123, '[13]Div 9 forecast'!$AM$9:$AM$575)</f>
        <v>#VALUE!</v>
      </c>
      <c r="I123" s="457"/>
      <c r="J123" s="353" t="e">
        <f>SUMIF('[13]Div 9 forecast'!$C$9:$C$575,$B123, '[13]Div 9 forecast'!$AM$9:$AN$575)</f>
        <v>#VALUE!</v>
      </c>
      <c r="K123" s="353"/>
      <c r="L123" s="353">
        <v>0</v>
      </c>
      <c r="M123" s="353"/>
      <c r="N123" s="353">
        <v>0</v>
      </c>
      <c r="O123" s="457"/>
      <c r="P123" s="353" t="e">
        <f t="shared" si="3"/>
        <v>#VALUE!</v>
      </c>
      <c r="T123" s="1085"/>
    </row>
    <row r="124" spans="1:20" ht="15.75" customHeight="1">
      <c r="A124" s="241">
        <f t="shared" si="4"/>
        <v>100</v>
      </c>
      <c r="B124" s="1085">
        <v>9250</v>
      </c>
      <c r="C124" s="276" t="s">
        <v>1066</v>
      </c>
      <c r="D124" s="353">
        <f>'C.2.1 B'!D162</f>
        <v>79905.848272711839</v>
      </c>
      <c r="E124" s="353"/>
      <c r="F124" s="353" t="e">
        <f>SUMIF('[13]Div 9 forecast'!$C$9:$C$575,$B124, '[13]Div 9 forecast'!$AL$9:$AL$575)</f>
        <v>#VALUE!</v>
      </c>
      <c r="G124" s="398"/>
      <c r="H124" s="353" t="e">
        <f>SUMIF('[13]Div 9 forecast'!$C$9:$C$575,$B124, '[13]Div 9 forecast'!$AM$9:$AM$575)</f>
        <v>#VALUE!</v>
      </c>
      <c r="I124" s="457"/>
      <c r="J124" s="353" t="e">
        <f>SUMIF('[13]Div 9 forecast'!$C$9:$C$575,$B124, '[13]Div 9 forecast'!$AM$9:$AN$575)</f>
        <v>#VALUE!</v>
      </c>
      <c r="K124" s="353"/>
      <c r="L124" s="353">
        <v>0</v>
      </c>
      <c r="M124" s="353"/>
      <c r="N124" s="353">
        <v>0</v>
      </c>
      <c r="O124" s="457"/>
      <c r="P124" s="353" t="e">
        <f t="shared" si="3"/>
        <v>#VALUE!</v>
      </c>
      <c r="T124" s="1085"/>
    </row>
    <row r="125" spans="1:20" ht="15.75" customHeight="1">
      <c r="A125" s="241">
        <f t="shared" si="4"/>
        <v>101</v>
      </c>
      <c r="B125" s="1085">
        <v>9260</v>
      </c>
      <c r="C125" s="276" t="s">
        <v>1067</v>
      </c>
      <c r="D125" s="353">
        <f>'C.2.1 B'!D163</f>
        <v>1821264.4783568077</v>
      </c>
      <c r="E125" s="353"/>
      <c r="F125" s="353" t="e">
        <f>SUMIF('[13]Div 9 forecast'!$C$9:$C$575,$B125, '[13]Div 9 forecast'!$AL$9:$AL$575)</f>
        <v>#VALUE!</v>
      </c>
      <c r="G125" s="398"/>
      <c r="H125" s="353" t="e">
        <f>SUMIF('[13]Div 9 forecast'!$C$9:$C$575,$B125, '[13]Div 9 forecast'!$AM$9:$AM$575)</f>
        <v>#VALUE!</v>
      </c>
      <c r="I125" s="457"/>
      <c r="J125" s="353" t="e">
        <f>SUMIF('[13]Div 9 forecast'!$C$9:$C$575,$B125, '[13]Div 9 forecast'!$AM$9:$AN$575)</f>
        <v>#VALUE!</v>
      </c>
      <c r="K125" s="353"/>
      <c r="L125" s="353">
        <v>0</v>
      </c>
      <c r="M125" s="353"/>
      <c r="N125" s="353">
        <v>0</v>
      </c>
      <c r="O125" s="457"/>
      <c r="P125" s="353" t="e">
        <f t="shared" si="3"/>
        <v>#VALUE!</v>
      </c>
      <c r="T125" s="1085"/>
    </row>
    <row r="126" spans="1:20" ht="15.75" customHeight="1">
      <c r="A126" s="241">
        <f t="shared" si="4"/>
        <v>102</v>
      </c>
      <c r="B126" s="1085">
        <v>9270</v>
      </c>
      <c r="C126" s="276" t="s">
        <v>1180</v>
      </c>
      <c r="D126" s="353">
        <f>'C.2.1 B'!D164</f>
        <v>800.05949924284096</v>
      </c>
      <c r="E126" s="353"/>
      <c r="F126" s="353" t="e">
        <f>SUMIF('[13]Div 9 forecast'!$C$9:$C$575,$B126, '[13]Div 9 forecast'!$AL$9:$AL$575)</f>
        <v>#VALUE!</v>
      </c>
      <c r="G126" s="398"/>
      <c r="H126" s="353" t="e">
        <f>SUMIF('[13]Div 9 forecast'!$C$9:$C$575,$B126, '[13]Div 9 forecast'!$AM$9:$AM$575)</f>
        <v>#VALUE!</v>
      </c>
      <c r="I126" s="457"/>
      <c r="J126" s="353" t="e">
        <f>SUMIF('[13]Div 9 forecast'!$C$9:$C$575,$B126, '[13]Div 9 forecast'!$AM$9:$AN$575)</f>
        <v>#VALUE!</v>
      </c>
      <c r="K126" s="353"/>
      <c r="L126" s="353">
        <v>0</v>
      </c>
      <c r="M126" s="353"/>
      <c r="N126" s="353">
        <v>0</v>
      </c>
      <c r="O126" s="457"/>
      <c r="P126" s="353" t="e">
        <f t="shared" si="3"/>
        <v>#VALUE!</v>
      </c>
      <c r="T126" s="1085"/>
    </row>
    <row r="127" spans="1:20" ht="15.75" customHeight="1">
      <c r="A127" s="241">
        <f t="shared" si="4"/>
        <v>103</v>
      </c>
      <c r="B127" s="1085">
        <v>9280</v>
      </c>
      <c r="C127" s="276" t="s">
        <v>1181</v>
      </c>
      <c r="D127" s="353">
        <f>'C.2.1 B'!D165</f>
        <v>92765.860535283631</v>
      </c>
      <c r="E127" s="353"/>
      <c r="F127" s="353" t="e">
        <f>SUMIF('[13]Div 9 forecast'!$C$9:$C$575,$B127, '[13]Div 9 forecast'!$AL$9:$AL$575)</f>
        <v>#VALUE!</v>
      </c>
      <c r="G127" s="398"/>
      <c r="H127" s="353" t="e">
        <f>SUMIF('[13]Div 9 forecast'!$C$9:$C$575,$B127, '[13]Div 9 forecast'!$AM$9:$AM$575)</f>
        <v>#VALUE!</v>
      </c>
      <c r="I127" s="457"/>
      <c r="J127" s="353" t="e">
        <f>SUMIF('[13]Div 9 forecast'!$C$9:$C$575,$B127, '[13]Div 9 forecast'!$AM$9:$AN$575)</f>
        <v>#VALUE!</v>
      </c>
      <c r="K127" s="353"/>
      <c r="L127" s="353">
        <v>0</v>
      </c>
      <c r="M127" s="353"/>
      <c r="N127" s="353">
        <v>0</v>
      </c>
      <c r="O127" s="457"/>
      <c r="P127" s="353" t="e">
        <f t="shared" si="3"/>
        <v>#VALUE!</v>
      </c>
      <c r="T127" s="1085"/>
    </row>
    <row r="128" spans="1:20" ht="15.75" customHeight="1">
      <c r="A128" s="241">
        <f t="shared" si="4"/>
        <v>104</v>
      </c>
      <c r="B128" s="1085">
        <v>9290</v>
      </c>
      <c r="C128" s="276" t="s">
        <v>472</v>
      </c>
      <c r="D128" s="353">
        <v>0</v>
      </c>
      <c r="E128" s="353"/>
      <c r="F128" s="353" t="e">
        <f>SUMIF('[13]Div 9 forecast'!$C$9:$C$575,$B128, '[13]Div 9 forecast'!$AL$9:$AL$575)</f>
        <v>#VALUE!</v>
      </c>
      <c r="G128" s="398"/>
      <c r="H128" s="353" t="e">
        <f>SUMIF('[13]Div 9 forecast'!$C$9:$C$575,$B128, '[13]Div 9 forecast'!$AM$9:$AM$575)</f>
        <v>#VALUE!</v>
      </c>
      <c r="I128" s="457"/>
      <c r="J128" s="353" t="e">
        <f>SUMIF('[13]Div 9 forecast'!$C$9:$C$575,$B128, '[13]Div 9 forecast'!$AM$9:$AN$575)</f>
        <v>#VALUE!</v>
      </c>
      <c r="K128" s="353"/>
      <c r="L128" s="353">
        <v>0</v>
      </c>
      <c r="M128" s="353"/>
      <c r="N128" s="353">
        <v>0</v>
      </c>
      <c r="O128" s="457"/>
      <c r="P128" s="353" t="e">
        <f t="shared" si="3"/>
        <v>#VALUE!</v>
      </c>
      <c r="T128" s="1085"/>
    </row>
    <row r="129" spans="1:20" ht="15.75" customHeight="1">
      <c r="A129" s="241">
        <f t="shared" si="4"/>
        <v>105</v>
      </c>
      <c r="B129" s="1087">
        <v>9301</v>
      </c>
      <c r="C129" s="1088" t="s">
        <v>1182</v>
      </c>
      <c r="D129" s="398">
        <v>0</v>
      </c>
      <c r="E129" s="353"/>
      <c r="F129" s="353" t="e">
        <f>SUMIF('[13]Div 9 forecast'!$C$9:$C$575,$B129, '[13]Div 9 forecast'!$AL$9:$AL$575)</f>
        <v>#VALUE!</v>
      </c>
      <c r="G129" s="398"/>
      <c r="H129" s="353" t="e">
        <f>SUMIF('[13]Div 9 forecast'!$C$9:$C$575,$B129, '[13]Div 9 forecast'!$AM$9:$AM$575)</f>
        <v>#VALUE!</v>
      </c>
      <c r="I129" s="457"/>
      <c r="J129" s="353" t="e">
        <f>SUMIF('[13]Div 9 forecast'!$C$9:$C$575,$B129, '[13]Div 9 forecast'!$AM$9:$AN$575)</f>
        <v>#VALUE!</v>
      </c>
      <c r="K129" s="353"/>
      <c r="L129" s="353">
        <v>0</v>
      </c>
      <c r="M129" s="353"/>
      <c r="N129" s="353">
        <v>0</v>
      </c>
      <c r="O129" s="457"/>
      <c r="P129" s="353" t="e">
        <f t="shared" si="3"/>
        <v>#VALUE!</v>
      </c>
      <c r="T129" s="1085"/>
    </row>
    <row r="130" spans="1:20" ht="15.75" customHeight="1">
      <c r="A130" s="241">
        <f t="shared" si="4"/>
        <v>106</v>
      </c>
      <c r="B130" s="1087">
        <v>9302</v>
      </c>
      <c r="C130" s="1088" t="s">
        <v>1183</v>
      </c>
      <c r="D130" s="398">
        <f>'C.2.1 B'!D166</f>
        <v>83791.170465754592</v>
      </c>
      <c r="E130" s="353"/>
      <c r="F130" s="353" t="e">
        <f>SUMIF('[13]Div 9 forecast'!$C$9:$C$575,$B130, '[13]Div 9 forecast'!$AL$9:$AL$575)</f>
        <v>#VALUE!</v>
      </c>
      <c r="G130" s="398"/>
      <c r="H130" s="353" t="e">
        <f>SUMIF('[13]Div 9 forecast'!$C$9:$C$575,$B130, '[13]Div 9 forecast'!$AM$9:$AM$575)</f>
        <v>#VALUE!</v>
      </c>
      <c r="I130" s="457"/>
      <c r="J130" s="353" t="e">
        <f>SUMIF('[13]Div 9 forecast'!$C$9:$C$575,$B130, '[13]Div 9 forecast'!$AM$9:$AN$575)</f>
        <v>#VALUE!</v>
      </c>
      <c r="K130" s="353"/>
      <c r="L130" s="353">
        <v>0</v>
      </c>
      <c r="M130" s="353"/>
      <c r="N130" s="353">
        <v>0</v>
      </c>
      <c r="O130" s="457"/>
      <c r="P130" s="353" t="e">
        <f t="shared" si="3"/>
        <v>#VALUE!</v>
      </c>
      <c r="T130" s="1085"/>
    </row>
    <row r="131" spans="1:20" ht="15.75" customHeight="1">
      <c r="A131" s="241">
        <f t="shared" si="4"/>
        <v>107</v>
      </c>
      <c r="B131" s="1087">
        <v>9310</v>
      </c>
      <c r="C131" s="1088" t="s">
        <v>1301</v>
      </c>
      <c r="D131" s="398">
        <f>'C.2.1 B'!D167</f>
        <v>13266.201063438821</v>
      </c>
      <c r="E131" s="353"/>
      <c r="F131" s="353" t="e">
        <f>SUMIF('[13]Div 9 forecast'!$C$9:$C$575,$B131, '[13]Div 9 forecast'!$AL$9:$AL$575)</f>
        <v>#VALUE!</v>
      </c>
      <c r="G131" s="398"/>
      <c r="H131" s="353" t="e">
        <f>SUMIF('[13]Div 9 forecast'!$C$9:$C$575,$B131, '[13]Div 9 forecast'!$AM$9:$AM$575)</f>
        <v>#VALUE!</v>
      </c>
      <c r="I131" s="457"/>
      <c r="J131" s="353" t="e">
        <f>SUMIF('[13]Div 9 forecast'!$C$9:$C$575,$B131, '[13]Div 9 forecast'!$AM$9:$AN$575)</f>
        <v>#VALUE!</v>
      </c>
      <c r="K131" s="353"/>
      <c r="L131" s="353">
        <v>0</v>
      </c>
      <c r="M131" s="353"/>
      <c r="N131" s="353"/>
      <c r="O131" s="457"/>
      <c r="P131" s="353" t="e">
        <f t="shared" si="3"/>
        <v>#VALUE!</v>
      </c>
      <c r="T131" s="1085"/>
    </row>
    <row r="132" spans="1:20" ht="15.75" customHeight="1">
      <c r="A132" s="241">
        <f t="shared" si="4"/>
        <v>108</v>
      </c>
      <c r="B132" s="1087">
        <v>9320</v>
      </c>
      <c r="C132" s="1088" t="s">
        <v>1184</v>
      </c>
      <c r="D132" s="354">
        <f>'C.2.1 B'!D171</f>
        <v>18812.07589664546</v>
      </c>
      <c r="E132" s="353"/>
      <c r="F132" s="353" t="e">
        <f>SUMIF('[13]Div 9 forecast'!$C$9:$C$575,$B132, '[13]Div 9 forecast'!$AL$9:$AL$575)</f>
        <v>#VALUE!</v>
      </c>
      <c r="G132" s="398"/>
      <c r="H132" s="353" t="e">
        <f>SUMIF('[13]Div 9 forecast'!$C$9:$C$575,$B132, '[13]Div 9 forecast'!$AM$9:$AM$575)</f>
        <v>#VALUE!</v>
      </c>
      <c r="I132" s="457"/>
      <c r="J132" s="353" t="e">
        <f>SUMIF('[13]Div 9 forecast'!$C$9:$C$575,$B132, '[13]Div 9 forecast'!$AM$9:$AN$575)</f>
        <v>#VALUE!</v>
      </c>
      <c r="K132" s="353"/>
      <c r="L132" s="353">
        <v>0</v>
      </c>
      <c r="M132" s="353"/>
      <c r="N132" s="354">
        <v>0</v>
      </c>
      <c r="O132" s="353"/>
      <c r="P132" s="354" t="e">
        <f t="shared" si="3"/>
        <v>#VALUE!</v>
      </c>
      <c r="T132" s="1085"/>
    </row>
    <row r="133" spans="1:20" ht="15.75" customHeight="1">
      <c r="A133" s="241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20" ht="15.75" customHeight="1">
      <c r="A134" s="241">
        <f>A132+1</f>
        <v>109</v>
      </c>
      <c r="B134" s="66" t="s">
        <v>96</v>
      </c>
      <c r="D134" s="285">
        <f>SUM(D48:D93)+SUM(D99:D132)</f>
        <v>28531136.54818093</v>
      </c>
      <c r="E134" s="96"/>
      <c r="F134" s="285" t="e">
        <f>SUM(F48:F93)+SUM(F99:F132)</f>
        <v>#VALUE!</v>
      </c>
      <c r="G134" s="96"/>
      <c r="H134" s="285" t="e">
        <f>SUM(H48:H93)+SUM(H99:H132)</f>
        <v>#VALUE!</v>
      </c>
      <c r="I134" s="96"/>
      <c r="J134" s="285" t="e">
        <f>SUM(J48:J93)+SUM(J99:J132)</f>
        <v>#VALUE!</v>
      </c>
      <c r="K134" s="96"/>
      <c r="L134" s="285">
        <f>SUM(L48:L93)+SUM(L99:L132)</f>
        <v>-208292.9660281667</v>
      </c>
      <c r="M134" s="96"/>
      <c r="N134" s="285">
        <f>SUM(N48:N93)+SUM(N99:N132)</f>
        <v>1468018.8326046932</v>
      </c>
      <c r="O134" s="96"/>
      <c r="P134" s="285" t="e">
        <f>SUM(P48:P93)+SUM(P99:P132)</f>
        <v>#VALUE!</v>
      </c>
    </row>
    <row r="135" spans="1:20" ht="15.75" customHeight="1">
      <c r="A135" s="241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20" ht="15.75" customHeight="1">
      <c r="A136" s="241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20" ht="15.75" customHeight="1">
      <c r="A137" s="241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20" ht="15.75" customHeight="1">
      <c r="A138" s="241">
        <f>A134+1</f>
        <v>110</v>
      </c>
      <c r="B138" s="695" t="s">
        <v>318</v>
      </c>
      <c r="C138" s="96"/>
      <c r="D138" s="86">
        <f>'[13]O&amp;M Comparison'!$C$6+'[13]O&amp;M Comparison'!$C$7</f>
        <v>7010809.3000999996</v>
      </c>
      <c r="E138" s="96"/>
      <c r="F138" s="86" t="e">
        <f>SUM(F122:F132,F99:F119,F48:F93)</f>
        <v>#VALUE!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 t="e">
        <f>SUM(F138:O138)</f>
        <v>#VALUE!</v>
      </c>
    </row>
    <row r="139" spans="1:20" ht="15.75" customHeight="1">
      <c r="A139" s="241">
        <f>A138+1</f>
        <v>111</v>
      </c>
      <c r="B139" s="66" t="s">
        <v>319</v>
      </c>
      <c r="D139" s="86">
        <f>'[13]O&amp;M Comparison'!$C$10</f>
        <v>630786.51000000013</v>
      </c>
      <c r="E139" s="96"/>
      <c r="F139" s="86"/>
      <c r="G139" s="86"/>
      <c r="H139" s="86" t="e">
        <f>SUM(H$122:H$132,H$99:H$119,H$48:H$93)</f>
        <v>#VALUE!</v>
      </c>
      <c r="I139" s="86"/>
      <c r="J139" s="86"/>
      <c r="K139" s="86"/>
      <c r="L139" s="86"/>
      <c r="M139" s="86"/>
      <c r="N139" s="86"/>
      <c r="O139" s="86"/>
      <c r="P139" s="86" t="e">
        <f>SUM(F139:O139)</f>
        <v>#VALUE!</v>
      </c>
    </row>
    <row r="140" spans="1:20" ht="15.75" customHeight="1">
      <c r="A140" s="241">
        <f>A139+1</f>
        <v>112</v>
      </c>
      <c r="B140" s="66" t="s">
        <v>320</v>
      </c>
      <c r="D140" s="86">
        <f>'[13]O&amp;M Comparison'!$C$25</f>
        <v>15500391.191800002</v>
      </c>
      <c r="E140" s="96"/>
      <c r="F140" s="86"/>
      <c r="G140" s="86"/>
      <c r="H140" s="86"/>
      <c r="I140" s="86"/>
      <c r="J140" s="86" t="e">
        <f>SUM(J$122:J$132,J$99:J$120,J$48:J$93)</f>
        <v>#VALUE!</v>
      </c>
      <c r="K140" s="86"/>
      <c r="L140" s="86"/>
      <c r="M140" s="86"/>
      <c r="N140" s="86"/>
      <c r="O140" s="86"/>
      <c r="P140" s="86" t="e">
        <f>SUM(F140:O140)</f>
        <v>#VALUE!</v>
      </c>
    </row>
    <row r="141" spans="1:20" ht="15.75" customHeight="1">
      <c r="A141" s="241">
        <f>A140+1</f>
        <v>113</v>
      </c>
      <c r="B141" s="66" t="s">
        <v>321</v>
      </c>
      <c r="D141" s="86">
        <f>'[13]O&amp;M Comparison'!$C$22</f>
        <v>549343.45279999997</v>
      </c>
      <c r="E141" s="96"/>
      <c r="F141" s="86"/>
      <c r="G141" s="86"/>
      <c r="H141" s="86"/>
      <c r="I141" s="86"/>
      <c r="J141" s="86"/>
      <c r="K141" s="86"/>
      <c r="L141" s="86">
        <f>L134</f>
        <v>-208292.9660281667</v>
      </c>
      <c r="M141" s="86"/>
      <c r="N141" s="86"/>
      <c r="O141" s="86"/>
      <c r="P141" s="86">
        <f>SUM(F141:O141)</f>
        <v>-208292.9660281667</v>
      </c>
    </row>
    <row r="142" spans="1:20" ht="15.75" customHeight="1">
      <c r="A142" s="241">
        <f>A141+1</f>
        <v>114</v>
      </c>
      <c r="B142" s="66" t="s">
        <v>800</v>
      </c>
      <c r="D142" s="125">
        <f>D121</f>
        <v>13030745.356380932</v>
      </c>
      <c r="E142" s="96"/>
      <c r="F142" s="125" t="e">
        <f>F144-F138</f>
        <v>#VALUE!</v>
      </c>
      <c r="G142" s="86"/>
      <c r="H142" s="125" t="e">
        <f>H144-H139</f>
        <v>#VALUE!</v>
      </c>
      <c r="I142" s="86"/>
      <c r="J142" s="125" t="e">
        <f>J144-J140</f>
        <v>#VALUE!</v>
      </c>
      <c r="K142" s="86"/>
      <c r="L142" s="125"/>
      <c r="M142" s="86"/>
      <c r="N142" s="125">
        <f>N121</f>
        <v>1468018.8326046932</v>
      </c>
      <c r="O142" s="86"/>
      <c r="P142" s="462" t="e">
        <f>SUM(F142:O142)</f>
        <v>#VALUE!</v>
      </c>
    </row>
    <row r="143" spans="1:20" ht="15.75" customHeight="1">
      <c r="A143" s="241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20" ht="15.75" customHeight="1">
      <c r="A144" s="241">
        <f>A142+1</f>
        <v>115</v>
      </c>
      <c r="B144" s="66" t="s">
        <v>96</v>
      </c>
      <c r="D144" s="285">
        <f>SUM(D138:D142)</f>
        <v>36722075.811080933</v>
      </c>
      <c r="E144" s="96"/>
      <c r="F144" s="285">
        <f>'D.2.2'!D15</f>
        <v>-196877.90637222771</v>
      </c>
      <c r="G144" s="86"/>
      <c r="H144" s="285">
        <f>'D.2.2'!$D$21</f>
        <v>-102990.29000000004</v>
      </c>
      <c r="I144" s="86"/>
      <c r="J144" s="285">
        <f>'D.2.2'!$D$28</f>
        <v>-475861.02120000403</v>
      </c>
      <c r="K144" s="86"/>
      <c r="L144" s="285">
        <f>'D.2.2'!$D$34</f>
        <v>-208292.9660281667</v>
      </c>
      <c r="M144" s="86"/>
      <c r="N144" s="285">
        <f>'D.2.2'!$D$39</f>
        <v>1468018.1642612219</v>
      </c>
      <c r="O144" s="86"/>
      <c r="P144" s="285" t="e">
        <f>SUM(P138:P142)</f>
        <v>#VALUE!</v>
      </c>
    </row>
    <row r="145" spans="1:21" ht="15.75" customHeight="1">
      <c r="A145" s="241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21" ht="15.75" customHeight="1">
      <c r="A146" s="241">
        <f>A144+1</f>
        <v>116</v>
      </c>
      <c r="B146" s="66" t="s">
        <v>224</v>
      </c>
      <c r="D146" s="1008">
        <f>D40</f>
        <v>0.2495</v>
      </c>
      <c r="E146" s="96"/>
      <c r="F146" s="285">
        <f>F144*$D$146*-1</f>
        <v>49121.03763987081</v>
      </c>
      <c r="G146" s="96"/>
      <c r="H146" s="285">
        <f>H144*$D$146*-1</f>
        <v>25696.077355000009</v>
      </c>
      <c r="I146" s="86"/>
      <c r="J146" s="285">
        <f>J144*$D$146*-1</f>
        <v>118727.32478940101</v>
      </c>
      <c r="K146" s="86"/>
      <c r="L146" s="285">
        <f>L144*$D$146*-1</f>
        <v>51969.095024027592</v>
      </c>
      <c r="M146" s="86"/>
      <c r="N146" s="285">
        <f>N144*$D$146*-1</f>
        <v>-366270.53198317485</v>
      </c>
      <c r="O146" s="86"/>
      <c r="P146" s="285" t="e">
        <f>P144*$D$146*-1</f>
        <v>#VALUE!</v>
      </c>
    </row>
    <row r="147" spans="1:21" ht="15.75" customHeight="1">
      <c r="A147" s="241"/>
      <c r="D147" s="96"/>
      <c r="E147" s="96"/>
      <c r="F147" s="96"/>
      <c r="G147" s="9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21" ht="15.75" customHeight="1">
      <c r="A148" s="241">
        <f>A146+1</f>
        <v>117</v>
      </c>
      <c r="B148" s="66" t="s">
        <v>840</v>
      </c>
      <c r="D148" s="96"/>
      <c r="E148" s="96"/>
      <c r="F148" s="285">
        <f>F144+F146</f>
        <v>-147756.8687323569</v>
      </c>
      <c r="G148" s="96"/>
      <c r="H148" s="285">
        <f>H144+H146</f>
        <v>-77294.212645000021</v>
      </c>
      <c r="I148" s="96"/>
      <c r="J148" s="285">
        <f>J144+J146</f>
        <v>-357133.69641060301</v>
      </c>
      <c r="K148" s="96"/>
      <c r="L148" s="285">
        <f>L144+L146</f>
        <v>-156323.8710041391</v>
      </c>
      <c r="M148" s="96"/>
      <c r="N148" s="285">
        <f>N144+N146</f>
        <v>1101747.632278047</v>
      </c>
      <c r="O148" s="96"/>
      <c r="P148" s="285" t="e">
        <f>P144+P146</f>
        <v>#VALUE!</v>
      </c>
    </row>
    <row r="149" spans="1:21" ht="15.75" customHeight="1">
      <c r="A149" s="241"/>
      <c r="B149" s="66"/>
      <c r="D149" s="96"/>
      <c r="E149" s="96"/>
      <c r="F149" s="285"/>
      <c r="G149" s="96"/>
      <c r="H149" s="285"/>
      <c r="I149" s="96"/>
      <c r="J149" s="285"/>
      <c r="K149" s="96"/>
      <c r="L149" s="285"/>
      <c r="M149" s="96"/>
      <c r="N149" s="285"/>
      <c r="O149" s="96"/>
      <c r="P149" s="285"/>
    </row>
    <row r="150" spans="1:21" ht="15.75" customHeight="1">
      <c r="D150" s="96"/>
      <c r="E150" s="96"/>
      <c r="F150" s="96"/>
      <c r="G150" s="96"/>
      <c r="H150" s="856" t="s">
        <v>218</v>
      </c>
      <c r="I150" s="96"/>
      <c r="J150" s="96"/>
      <c r="K150" s="96"/>
      <c r="L150" s="96"/>
      <c r="M150" s="96"/>
      <c r="N150" s="96"/>
      <c r="O150" s="96"/>
      <c r="P150" s="96"/>
    </row>
    <row r="151" spans="1:21" ht="15.75" customHeight="1">
      <c r="A151" s="241" t="s">
        <v>93</v>
      </c>
      <c r="B151" s="276" t="s">
        <v>1306</v>
      </c>
      <c r="D151" s="856" t="s">
        <v>44</v>
      </c>
      <c r="E151" s="96"/>
      <c r="F151" s="1081" t="s">
        <v>1091</v>
      </c>
      <c r="G151" s="1084"/>
      <c r="H151" s="1081" t="s">
        <v>1091</v>
      </c>
      <c r="I151" s="1082"/>
      <c r="J151" s="1078" t="s">
        <v>470</v>
      </c>
      <c r="K151" s="1079"/>
      <c r="L151" s="1081" t="s">
        <v>1089</v>
      </c>
      <c r="M151" s="1082"/>
      <c r="N151" s="1081" t="s">
        <v>1089</v>
      </c>
      <c r="O151" s="1084"/>
      <c r="P151" s="856" t="s">
        <v>96</v>
      </c>
    </row>
    <row r="152" spans="1:21" ht="15.75" customHeight="1">
      <c r="A152" s="1083" t="s">
        <v>99</v>
      </c>
      <c r="B152" s="277" t="s">
        <v>219</v>
      </c>
      <c r="C152" s="240"/>
      <c r="D152" s="973" t="s">
        <v>538</v>
      </c>
      <c r="E152" s="641"/>
      <c r="F152" s="973" t="s">
        <v>606</v>
      </c>
      <c r="G152" s="969" t="s">
        <v>323</v>
      </c>
      <c r="H152" s="973" t="s">
        <v>464</v>
      </c>
      <c r="I152" s="969"/>
      <c r="J152" s="1083" t="s">
        <v>465</v>
      </c>
      <c r="K152" s="239" t="s">
        <v>323</v>
      </c>
      <c r="L152" s="973" t="s">
        <v>466</v>
      </c>
      <c r="M152" s="969" t="s">
        <v>323</v>
      </c>
      <c r="N152" s="973" t="s">
        <v>467</v>
      </c>
      <c r="O152" s="641"/>
      <c r="P152" s="973" t="s">
        <v>471</v>
      </c>
      <c r="U152" s="285"/>
    </row>
    <row r="153" spans="1:21" ht="15.75" customHeight="1">
      <c r="B153" s="279"/>
      <c r="D153" s="1090"/>
      <c r="E153" s="96"/>
      <c r="F153" s="96"/>
      <c r="G153" s="1090"/>
      <c r="H153" s="96"/>
      <c r="I153" s="1086"/>
      <c r="J153" s="96"/>
      <c r="K153" s="1091"/>
      <c r="L153" s="96"/>
      <c r="M153" s="1086"/>
      <c r="N153" s="96"/>
      <c r="O153" s="1090"/>
      <c r="P153" s="96"/>
    </row>
    <row r="154" spans="1:21" ht="15.75" customHeight="1">
      <c r="B154" s="279"/>
      <c r="D154" s="1090"/>
      <c r="E154" s="96"/>
      <c r="F154" s="96"/>
      <c r="G154" s="1090"/>
      <c r="H154" s="96"/>
      <c r="I154" s="1086"/>
      <c r="J154" s="96"/>
      <c r="K154" s="1091"/>
      <c r="L154" s="96"/>
      <c r="M154" s="1086"/>
      <c r="N154" s="96"/>
      <c r="O154" s="1090"/>
      <c r="P154" s="96"/>
    </row>
    <row r="155" spans="1:21" ht="15.75" customHeight="1">
      <c r="A155" s="241">
        <f>A148+1</f>
        <v>118</v>
      </c>
      <c r="B155" s="66" t="s">
        <v>23</v>
      </c>
      <c r="D155" s="353">
        <f>'C.2.1 B'!D176</f>
        <v>20643161.685444809</v>
      </c>
      <c r="E155" s="96"/>
      <c r="F155" s="86">
        <f>'D.2.3'!D15</f>
        <v>-4893803.9706833828</v>
      </c>
      <c r="G155" s="1086"/>
      <c r="H155" s="86"/>
      <c r="I155" s="86"/>
      <c r="J155" s="86"/>
      <c r="K155" s="1091"/>
      <c r="L155" s="96"/>
      <c r="M155" s="86"/>
      <c r="N155" s="96"/>
      <c r="O155" s="1090"/>
      <c r="P155" s="86">
        <f>SUM(F155:O155)</f>
        <v>-4893803.9706833828</v>
      </c>
    </row>
    <row r="156" spans="1:21" ht="15.75" customHeight="1">
      <c r="A156" s="241">
        <f>A155+1</f>
        <v>119</v>
      </c>
      <c r="B156" s="276" t="s">
        <v>509</v>
      </c>
      <c r="D156" s="86">
        <v>0</v>
      </c>
      <c r="E156" s="96"/>
      <c r="F156" s="86"/>
      <c r="G156" s="86"/>
      <c r="H156" s="86"/>
      <c r="I156" s="1086"/>
      <c r="J156" s="96"/>
      <c r="K156" s="1092"/>
      <c r="L156" s="96"/>
      <c r="M156" s="1086"/>
      <c r="N156" s="96"/>
      <c r="O156" s="1090"/>
      <c r="P156" s="86">
        <f>SUM(F156:O156)</f>
        <v>0</v>
      </c>
    </row>
    <row r="157" spans="1:21" ht="15.75" customHeight="1">
      <c r="A157" s="241">
        <f t="shared" ref="A157:A172" si="5">A156+1</f>
        <v>120</v>
      </c>
      <c r="B157" s="66" t="s">
        <v>166</v>
      </c>
      <c r="D157" s="1093">
        <f>'C.2.2 B 09'!P15</f>
        <v>24558.66</v>
      </c>
      <c r="E157" s="96"/>
      <c r="F157" s="125"/>
      <c r="G157" s="1086"/>
      <c r="H157" s="125"/>
      <c r="I157" s="1086"/>
      <c r="J157" s="641"/>
      <c r="K157" s="1092"/>
      <c r="L157" s="641"/>
      <c r="M157" s="1086"/>
      <c r="N157" s="641"/>
      <c r="O157" s="1090"/>
      <c r="P157" s="125">
        <f>SUM(F157:O157)</f>
        <v>0</v>
      </c>
    </row>
    <row r="158" spans="1:21" ht="15.75" customHeight="1">
      <c r="A158" s="241">
        <f t="shared" si="5"/>
        <v>121</v>
      </c>
      <c r="D158" s="1086"/>
      <c r="E158" s="96"/>
      <c r="F158" s="86"/>
      <c r="G158" s="1086"/>
      <c r="H158" s="86"/>
      <c r="I158" s="1086"/>
      <c r="J158" s="1090"/>
      <c r="K158" s="1091"/>
      <c r="L158" s="96"/>
      <c r="M158" s="1086"/>
      <c r="N158" s="96"/>
      <c r="O158" s="1090"/>
      <c r="P158" s="86"/>
    </row>
    <row r="159" spans="1:21" ht="15.75" customHeight="1">
      <c r="A159" s="241">
        <f t="shared" si="5"/>
        <v>122</v>
      </c>
      <c r="B159" s="66" t="s">
        <v>487</v>
      </c>
      <c r="D159" s="1094">
        <f>SUM(D155:D157)</f>
        <v>20667720.34544481</v>
      </c>
      <c r="E159" s="96"/>
      <c r="F159" s="1094">
        <f>SUM(F155:F157)</f>
        <v>-4893803.9706833828</v>
      </c>
      <c r="G159" s="1086"/>
      <c r="H159" s="1094"/>
      <c r="I159" s="96"/>
      <c r="J159" s="1094"/>
      <c r="K159" s="1091"/>
      <c r="L159" s="1094"/>
      <c r="M159" s="96"/>
      <c r="N159" s="1094"/>
      <c r="O159" s="1086"/>
      <c r="P159" s="285">
        <f>SUM(F159:O159)</f>
        <v>-4893803.9706833828</v>
      </c>
    </row>
    <row r="160" spans="1:21" ht="15.75" customHeight="1">
      <c r="A160" s="241">
        <f t="shared" si="5"/>
        <v>123</v>
      </c>
      <c r="D160" s="1086"/>
      <c r="E160" s="96"/>
      <c r="F160" s="86"/>
      <c r="G160" s="1086"/>
      <c r="H160" s="86"/>
      <c r="I160" s="1086"/>
      <c r="J160" s="96"/>
      <c r="K160" s="1091"/>
      <c r="L160" s="96"/>
      <c r="M160" s="1086"/>
      <c r="N160" s="96"/>
      <c r="O160" s="1090"/>
      <c r="P160" s="96"/>
    </row>
    <row r="161" spans="1:16" ht="15.75" customHeight="1">
      <c r="A161" s="241">
        <f t="shared" si="5"/>
        <v>124</v>
      </c>
      <c r="B161" s="276" t="s">
        <v>224</v>
      </c>
      <c r="D161" s="1008">
        <f>D40</f>
        <v>0.2495</v>
      </c>
      <c r="E161" s="96"/>
      <c r="F161" s="285">
        <f>F159*$D$161</f>
        <v>-1221004.090685504</v>
      </c>
      <c r="G161" s="1086"/>
      <c r="H161" s="285"/>
      <c r="I161" s="1086"/>
      <c r="J161" s="285"/>
      <c r="K161" s="1086"/>
      <c r="L161" s="285"/>
      <c r="M161" s="86"/>
      <c r="N161" s="285"/>
      <c r="O161" s="1086"/>
      <c r="P161" s="285">
        <f>P159*$D$161</f>
        <v>-1221004.090685504</v>
      </c>
    </row>
    <row r="162" spans="1:16" ht="15.75" customHeight="1">
      <c r="A162" s="241">
        <f t="shared" si="5"/>
        <v>125</v>
      </c>
      <c r="B162" s="279"/>
      <c r="D162" s="1095"/>
      <c r="E162" s="96"/>
      <c r="F162" s="86"/>
      <c r="G162" s="1086"/>
      <c r="H162" s="86"/>
      <c r="I162" s="1086"/>
      <c r="J162" s="96"/>
      <c r="K162" s="1091"/>
      <c r="L162" s="96"/>
      <c r="M162" s="1086"/>
      <c r="N162" s="96"/>
      <c r="O162" s="1090"/>
      <c r="P162" s="96"/>
    </row>
    <row r="163" spans="1:16" ht="15.75" customHeight="1">
      <c r="A163" s="241">
        <f t="shared" si="5"/>
        <v>126</v>
      </c>
      <c r="B163" s="276" t="s">
        <v>840</v>
      </c>
      <c r="D163" s="1086"/>
      <c r="E163" s="96"/>
      <c r="F163" s="285">
        <f>F159-F161</f>
        <v>-3672799.8799978788</v>
      </c>
      <c r="G163" s="1086"/>
      <c r="H163" s="285"/>
      <c r="I163" s="1086"/>
      <c r="J163" s="285"/>
      <c r="K163" s="1086"/>
      <c r="L163" s="285"/>
      <c r="M163" s="1086"/>
      <c r="N163" s="285"/>
      <c r="O163" s="1086"/>
      <c r="P163" s="285">
        <f>P159-P161</f>
        <v>-3672799.8799978788</v>
      </c>
    </row>
    <row r="164" spans="1:16" ht="15.75" customHeight="1">
      <c r="A164" s="241">
        <f t="shared" si="5"/>
        <v>127</v>
      </c>
      <c r="B164" s="279"/>
      <c r="D164" s="1086"/>
      <c r="E164" s="96"/>
      <c r="F164" s="86"/>
      <c r="G164" s="1086"/>
      <c r="H164" s="86"/>
      <c r="I164" s="1086"/>
      <c r="J164" s="96"/>
      <c r="K164" s="1091"/>
      <c r="L164" s="96"/>
      <c r="M164" s="1086"/>
      <c r="N164" s="96"/>
      <c r="O164" s="1090"/>
      <c r="P164" s="96"/>
    </row>
    <row r="165" spans="1:16" ht="15.75" customHeight="1">
      <c r="A165" s="241">
        <f t="shared" si="5"/>
        <v>128</v>
      </c>
      <c r="D165" s="96"/>
      <c r="E165" s="96"/>
      <c r="F165" s="86"/>
      <c r="G165" s="1086"/>
      <c r="H165" s="86"/>
      <c r="I165" s="86"/>
      <c r="J165" s="96"/>
      <c r="K165" s="1091"/>
      <c r="L165" s="96"/>
      <c r="M165" s="86"/>
      <c r="N165" s="1090"/>
      <c r="O165" s="1090"/>
      <c r="P165" s="96"/>
    </row>
    <row r="166" spans="1:16" ht="15.75" customHeight="1">
      <c r="A166" s="241">
        <f t="shared" si="5"/>
        <v>129</v>
      </c>
      <c r="B166" s="279"/>
      <c r="D166" s="86"/>
      <c r="E166" s="96"/>
      <c r="F166" s="86"/>
      <c r="G166" s="86"/>
      <c r="H166" s="1086"/>
      <c r="I166" s="96"/>
      <c r="J166" s="96"/>
      <c r="K166" s="96"/>
      <c r="L166" s="96"/>
      <c r="M166" s="96"/>
      <c r="N166" s="96"/>
      <c r="O166" s="96"/>
      <c r="P166" s="96"/>
    </row>
    <row r="167" spans="1:16" ht="15.75" customHeight="1">
      <c r="A167" s="241">
        <f t="shared" si="5"/>
        <v>130</v>
      </c>
      <c r="D167" s="86"/>
      <c r="E167" s="96"/>
      <c r="F167" s="86"/>
      <c r="G167" s="86"/>
      <c r="H167" s="1086"/>
      <c r="I167" s="96"/>
      <c r="J167" s="96"/>
      <c r="K167" s="96"/>
      <c r="L167" s="96"/>
      <c r="M167" s="96"/>
      <c r="N167" s="96"/>
      <c r="O167" s="96"/>
      <c r="P167" s="96"/>
    </row>
    <row r="168" spans="1:16" ht="15.75" customHeight="1">
      <c r="A168" s="241">
        <f t="shared" si="5"/>
        <v>131</v>
      </c>
      <c r="B168" s="276" t="s">
        <v>569</v>
      </c>
      <c r="D168" s="1094">
        <f>'C.2.2 B 09'!P16</f>
        <v>6491573.604999451</v>
      </c>
      <c r="E168" s="96"/>
      <c r="F168" s="285"/>
      <c r="G168" s="86"/>
      <c r="H168" s="1094">
        <f>'D.2.3'!D20</f>
        <v>1020263.3276447244</v>
      </c>
      <c r="I168" s="96"/>
      <c r="J168" s="1096"/>
      <c r="K168" s="96"/>
      <c r="L168" s="1096"/>
      <c r="M168" s="96"/>
      <c r="N168" s="1096"/>
      <c r="O168" s="96"/>
      <c r="P168" s="285">
        <f>SUM(F168:O168)</f>
        <v>1020263.3276447244</v>
      </c>
    </row>
    <row r="169" spans="1:16" ht="15.75" customHeight="1">
      <c r="A169" s="241">
        <f t="shared" si="5"/>
        <v>132</v>
      </c>
      <c r="D169" s="86"/>
      <c r="E169" s="96"/>
      <c r="F169" s="86"/>
      <c r="G169" s="86"/>
      <c r="H169" s="1086"/>
      <c r="I169" s="96"/>
      <c r="J169" s="96"/>
      <c r="K169" s="96"/>
      <c r="L169" s="96"/>
      <c r="M169" s="96"/>
      <c r="N169" s="96"/>
      <c r="O169" s="96"/>
      <c r="P169" s="96"/>
    </row>
    <row r="170" spans="1:16" ht="15.75" customHeight="1">
      <c r="A170" s="241">
        <f t="shared" si="5"/>
        <v>133</v>
      </c>
      <c r="B170" s="276" t="s">
        <v>224</v>
      </c>
      <c r="D170" s="1008">
        <f>D40</f>
        <v>0.2495</v>
      </c>
      <c r="E170" s="96"/>
      <c r="F170" s="285"/>
      <c r="G170" s="86"/>
      <c r="H170" s="285">
        <f>H168*$D$170</f>
        <v>254555.70024735873</v>
      </c>
      <c r="I170" s="96"/>
      <c r="J170" s="285"/>
      <c r="K170" s="86"/>
      <c r="L170" s="285"/>
      <c r="M170" s="96"/>
      <c r="N170" s="285"/>
      <c r="O170" s="86"/>
      <c r="P170" s="285">
        <f>P168*$D$170</f>
        <v>254555.70024735873</v>
      </c>
    </row>
    <row r="171" spans="1:16" ht="15.75" customHeight="1">
      <c r="A171" s="241">
        <f t="shared" si="5"/>
        <v>134</v>
      </c>
      <c r="B171" s="279"/>
      <c r="D171" s="1095"/>
      <c r="E171" s="96"/>
      <c r="F171" s="86"/>
      <c r="G171" s="86"/>
      <c r="H171" s="86"/>
      <c r="I171" s="96"/>
      <c r="J171" s="86"/>
      <c r="K171" s="86"/>
      <c r="L171" s="86"/>
      <c r="M171" s="96"/>
      <c r="N171" s="86"/>
      <c r="O171" s="86"/>
      <c r="P171" s="86"/>
    </row>
    <row r="172" spans="1:16" ht="15.75" customHeight="1">
      <c r="A172" s="241">
        <f t="shared" si="5"/>
        <v>135</v>
      </c>
      <c r="B172" s="276" t="s">
        <v>840</v>
      </c>
      <c r="D172" s="1097"/>
      <c r="F172" s="1098"/>
      <c r="G172" s="1097"/>
      <c r="H172" s="1098">
        <f>H168-H170</f>
        <v>765707.62739736564</v>
      </c>
      <c r="I172" s="279"/>
      <c r="J172" s="1098"/>
      <c r="K172" s="1097"/>
      <c r="L172" s="1098"/>
      <c r="M172" s="279"/>
      <c r="N172" s="1098"/>
      <c r="O172" s="1097"/>
      <c r="P172" s="1098">
        <f>P168-P170</f>
        <v>765707.62739736564</v>
      </c>
    </row>
    <row r="173" spans="1:16" ht="15.75" customHeight="1">
      <c r="A173" s="241"/>
      <c r="B173" s="279"/>
      <c r="D173" s="63"/>
      <c r="F173" s="63"/>
      <c r="G173" s="1097"/>
      <c r="H173" s="63"/>
      <c r="I173" s="279"/>
      <c r="K173" s="279"/>
      <c r="M173" s="279"/>
      <c r="O173" s="279"/>
    </row>
    <row r="174" spans="1:16" ht="15.75" customHeight="1">
      <c r="A174" s="241"/>
      <c r="D174" s="1097"/>
      <c r="F174" s="63"/>
      <c r="G174" s="63"/>
      <c r="H174" s="63"/>
      <c r="I174" s="279"/>
      <c r="K174" s="279"/>
      <c r="M174" s="279"/>
      <c r="O174" s="279"/>
    </row>
    <row r="175" spans="1:16" ht="15.75" customHeight="1">
      <c r="A175" s="241"/>
      <c r="D175" s="63"/>
      <c r="F175" s="63"/>
      <c r="G175" s="1097"/>
      <c r="H175" s="63"/>
      <c r="I175" s="279"/>
      <c r="K175" s="279"/>
      <c r="M175" s="279"/>
    </row>
    <row r="176" spans="1:16" ht="15.75" customHeight="1">
      <c r="A176" s="241"/>
      <c r="D176" s="1097"/>
      <c r="F176" s="63"/>
      <c r="G176" s="1097"/>
      <c r="H176" s="63"/>
    </row>
    <row r="177" spans="1:15" ht="15.75" customHeight="1">
      <c r="A177" s="241"/>
      <c r="B177" s="62" t="s">
        <v>1268</v>
      </c>
      <c r="D177" s="1097"/>
      <c r="G177" s="279"/>
      <c r="I177" s="1097"/>
      <c r="K177" s="1099"/>
      <c r="M177" s="1097"/>
      <c r="O177" s="279"/>
    </row>
    <row r="178" spans="1:15" ht="15.75" customHeight="1">
      <c r="C178" s="62" t="s">
        <v>1624</v>
      </c>
    </row>
  </sheetData>
  <phoneticPr fontId="22" type="noConversion"/>
  <printOptions horizontalCentered="1"/>
  <pageMargins left="0.64" right="0.5" top="1" bottom="0.5" header="0.5" footer="0.5"/>
  <pageSetup scale="47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2"/>
  <sheetViews>
    <sheetView view="pageBreakPreview" zoomScale="80" zoomScaleNormal="90" zoomScaleSheetLayoutView="80" workbookViewId="0">
      <pane ySplit="11" topLeftCell="A12" activePane="bottomLeft" state="frozen"/>
      <selection activeCell="H168" sqref="H168"/>
      <selection pane="bottomLeft" sqref="A1:D1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210" t="str">
        <f>'Table of Contents'!A1:C1</f>
        <v>Atmos Energy Corporation, Kentucky/Mid-States Division</v>
      </c>
      <c r="B1" s="1210"/>
      <c r="C1" s="1210"/>
      <c r="D1" s="1210"/>
      <c r="E1" s="30"/>
      <c r="F1"/>
    </row>
    <row r="2" spans="1:6" ht="15.75" customHeight="1">
      <c r="A2" s="1210" t="str">
        <f>'Table of Contents'!A2:C2</f>
        <v>Kentucky Jurisdiction Case No. 2018-00281</v>
      </c>
      <c r="B2" s="1210"/>
      <c r="C2" s="1210"/>
      <c r="D2" s="1210"/>
      <c r="E2" s="30"/>
      <c r="F2"/>
    </row>
    <row r="3" spans="1:6" ht="15.75" customHeight="1">
      <c r="A3" s="1210" t="s">
        <v>430</v>
      </c>
      <c r="B3" s="1210"/>
      <c r="C3" s="1210"/>
      <c r="D3" s="1210"/>
      <c r="E3" s="30"/>
      <c r="F3"/>
    </row>
    <row r="4" spans="1:6" ht="15.75" customHeight="1">
      <c r="A4" s="1210" t="str">
        <f>Allocation!A4</f>
        <v>Forecasted Test Period: Twelve Months Ended March 31, 2020</v>
      </c>
      <c r="B4" s="1210"/>
      <c r="C4" s="1210"/>
      <c r="D4" s="1210"/>
      <c r="E4" s="30"/>
      <c r="F4"/>
    </row>
    <row r="5" spans="1:6" ht="15.75" customHeight="1">
      <c r="B5" s="186"/>
      <c r="C5" s="30"/>
      <c r="D5" s="30"/>
      <c r="E5" s="30"/>
      <c r="F5"/>
    </row>
    <row r="6" spans="1:6" ht="15.75" customHeight="1">
      <c r="D6" s="35"/>
      <c r="F6"/>
    </row>
    <row r="7" spans="1:6" ht="15.75" customHeight="1">
      <c r="B7" s="4" t="s">
        <v>468</v>
      </c>
      <c r="D7" s="548" t="s">
        <v>1434</v>
      </c>
      <c r="F7"/>
    </row>
    <row r="8" spans="1:6" ht="15.75" customHeight="1">
      <c r="B8" s="4" t="s">
        <v>539</v>
      </c>
      <c r="D8" s="498" t="s">
        <v>255</v>
      </c>
      <c r="F8"/>
    </row>
    <row r="9" spans="1:6" ht="15.75" customHeight="1">
      <c r="A9" s="33"/>
      <c r="B9" s="4" t="s">
        <v>365</v>
      </c>
      <c r="C9" s="33"/>
      <c r="D9" s="498" t="str">
        <f>D.1!P9</f>
        <v>Witness:  Waller, Densman</v>
      </c>
      <c r="E9" s="35"/>
      <c r="F9"/>
    </row>
    <row r="10" spans="1:6" ht="15.75" customHeight="1">
      <c r="A10" s="1" t="s">
        <v>1078</v>
      </c>
      <c r="B10" s="13"/>
      <c r="C10" s="35"/>
      <c r="D10" s="59"/>
      <c r="E10" s="35"/>
      <c r="F10"/>
    </row>
    <row r="11" spans="1:6" ht="15.75" customHeight="1">
      <c r="A11" s="33" t="s">
        <v>1079</v>
      </c>
      <c r="B11" s="252" t="s">
        <v>603</v>
      </c>
      <c r="C11" s="6"/>
      <c r="D11" s="9" t="s">
        <v>104</v>
      </c>
      <c r="E11" s="35"/>
      <c r="F11"/>
    </row>
    <row r="12" spans="1:6" ht="15.75" customHeight="1">
      <c r="A12" s="54">
        <v>1</v>
      </c>
      <c r="B12" s="196" t="s">
        <v>604</v>
      </c>
      <c r="F12"/>
    </row>
    <row r="13" spans="1:6" ht="15.75" customHeight="1">
      <c r="A13" s="54">
        <f>A12+1</f>
        <v>2</v>
      </c>
      <c r="B13" s="88" t="s">
        <v>1277</v>
      </c>
      <c r="C13" s="88" t="s">
        <v>43</v>
      </c>
      <c r="D13" s="581">
        <f>'C.2.1 F'!D15</f>
        <v>96519490.135870919</v>
      </c>
      <c r="F13"/>
    </row>
    <row r="14" spans="1:6" ht="15.75" customHeight="1">
      <c r="A14" s="763">
        <f t="shared" ref="A14:A72" si="0">A13+1</f>
        <v>3</v>
      </c>
      <c r="B14" s="88" t="s">
        <v>1721</v>
      </c>
      <c r="C14" s="88" t="s">
        <v>44</v>
      </c>
      <c r="D14" s="83">
        <f>'C.2.1 B'!D15</f>
        <v>106055301.6128896</v>
      </c>
      <c r="F14"/>
    </row>
    <row r="15" spans="1:6" ht="15.75" customHeight="1">
      <c r="A15" s="763">
        <f t="shared" si="0"/>
        <v>4</v>
      </c>
      <c r="B15" s="81"/>
      <c r="C15" s="88" t="s">
        <v>150</v>
      </c>
      <c r="D15" s="581">
        <f>D13-D14</f>
        <v>-9535811.4770186841</v>
      </c>
      <c r="F15"/>
    </row>
    <row r="16" spans="1:6" ht="15.75" customHeight="1">
      <c r="A16" s="763">
        <f t="shared" si="0"/>
        <v>5</v>
      </c>
      <c r="B16" s="81"/>
      <c r="C16" s="81"/>
      <c r="D16" s="166">
        <f>D15/D14</f>
        <v>-8.9913576520909477E-2</v>
      </c>
      <c r="F16"/>
    </row>
    <row r="17" spans="1:6" ht="15.75" customHeight="1">
      <c r="A17" s="763">
        <f t="shared" si="0"/>
        <v>6</v>
      </c>
      <c r="B17" s="81"/>
      <c r="C17" s="81"/>
      <c r="D17" s="166"/>
      <c r="F17"/>
    </row>
    <row r="18" spans="1:6" ht="15.75" customHeight="1">
      <c r="A18" s="763">
        <f t="shared" si="0"/>
        <v>7</v>
      </c>
      <c r="B18" s="88" t="s">
        <v>1278</v>
      </c>
      <c r="C18" s="88" t="s">
        <v>43</v>
      </c>
      <c r="D18" s="581">
        <f>'C.2.1 F'!D16</f>
        <v>41608020.101760417</v>
      </c>
      <c r="F18"/>
    </row>
    <row r="19" spans="1:6" ht="15.75" customHeight="1">
      <c r="A19" s="763">
        <f t="shared" si="0"/>
        <v>8</v>
      </c>
      <c r="B19" s="88" t="s">
        <v>1721</v>
      </c>
      <c r="C19" s="88" t="s">
        <v>44</v>
      </c>
      <c r="D19" s="83">
        <f>'C.2.1 B'!D17</f>
        <v>45531133.19149138</v>
      </c>
      <c r="F19"/>
    </row>
    <row r="20" spans="1:6" ht="15.75" customHeight="1">
      <c r="A20" s="763">
        <f t="shared" si="0"/>
        <v>9</v>
      </c>
      <c r="B20" s="81"/>
      <c r="C20" s="88" t="s">
        <v>150</v>
      </c>
      <c r="D20" s="581">
        <f>D18-D19</f>
        <v>-3923113.0897309631</v>
      </c>
      <c r="F20"/>
    </row>
    <row r="21" spans="1:6" ht="15.75" customHeight="1">
      <c r="A21" s="763">
        <f t="shared" si="0"/>
        <v>10</v>
      </c>
      <c r="B21" s="81"/>
      <c r="C21" s="81"/>
      <c r="D21" s="166">
        <f>D20/D19</f>
        <v>-8.6163308811828432E-2</v>
      </c>
      <c r="F21"/>
    </row>
    <row r="22" spans="1:6" ht="15.75" customHeight="1">
      <c r="A22" s="763">
        <f t="shared" si="0"/>
        <v>11</v>
      </c>
      <c r="B22" s="81"/>
      <c r="C22" s="81"/>
      <c r="D22" s="166"/>
      <c r="F22"/>
    </row>
    <row r="23" spans="1:6" ht="15.75" customHeight="1">
      <c r="A23" s="763">
        <f t="shared" si="0"/>
        <v>12</v>
      </c>
      <c r="B23" s="88" t="s">
        <v>1279</v>
      </c>
      <c r="C23" s="88" t="s">
        <v>43</v>
      </c>
      <c r="D23" s="581">
        <f>'C.2.1 F'!D17</f>
        <v>5370384.8363220226</v>
      </c>
      <c r="F23"/>
    </row>
    <row r="24" spans="1:6" ht="15.75" customHeight="1">
      <c r="A24" s="763">
        <f t="shared" si="0"/>
        <v>13</v>
      </c>
      <c r="B24" s="88" t="s">
        <v>1609</v>
      </c>
      <c r="C24" s="88" t="s">
        <v>44</v>
      </c>
      <c r="D24" s="83">
        <f>'C.2.1 B'!D18</f>
        <v>6051221.3783209361</v>
      </c>
      <c r="F24"/>
    </row>
    <row r="25" spans="1:6" ht="15.75" customHeight="1">
      <c r="A25" s="763">
        <f t="shared" si="0"/>
        <v>14</v>
      </c>
      <c r="B25" s="81" t="s">
        <v>1595</v>
      </c>
      <c r="C25" s="88" t="s">
        <v>150</v>
      </c>
      <c r="D25" s="581">
        <f>D23-D24</f>
        <v>-680836.54199891351</v>
      </c>
      <c r="F25"/>
    </row>
    <row r="26" spans="1:6" ht="15.75" customHeight="1">
      <c r="A26" s="763">
        <f t="shared" si="0"/>
        <v>15</v>
      </c>
      <c r="B26" s="81"/>
      <c r="C26" s="81"/>
      <c r="D26" s="166">
        <f>D25/D24</f>
        <v>-0.11251225156595225</v>
      </c>
      <c r="F26"/>
    </row>
    <row r="27" spans="1:6" ht="15.75" customHeight="1">
      <c r="A27" s="763">
        <f t="shared" si="0"/>
        <v>16</v>
      </c>
      <c r="B27" s="81"/>
      <c r="C27" s="81"/>
      <c r="D27" s="166"/>
      <c r="F27"/>
    </row>
    <row r="28" spans="1:6" ht="15.75" customHeight="1">
      <c r="A28" s="763">
        <f t="shared" si="0"/>
        <v>17</v>
      </c>
      <c r="B28" s="88" t="s">
        <v>1280</v>
      </c>
      <c r="C28" s="88" t="s">
        <v>43</v>
      </c>
      <c r="D28" s="581">
        <f>'C.2.1 F'!D18</f>
        <v>6749806.8088478921</v>
      </c>
      <c r="F28"/>
    </row>
    <row r="29" spans="1:6" ht="15.75" customHeight="1">
      <c r="A29" s="763">
        <f t="shared" si="0"/>
        <v>18</v>
      </c>
      <c r="B29" s="88" t="s">
        <v>1722</v>
      </c>
      <c r="C29" s="88" t="s">
        <v>44</v>
      </c>
      <c r="D29" s="83">
        <f>'C.2.1 B'!D21</f>
        <v>7513898.4409779608</v>
      </c>
      <c r="F29"/>
    </row>
    <row r="30" spans="1:6" ht="15.75" customHeight="1">
      <c r="A30" s="763">
        <f t="shared" si="0"/>
        <v>19</v>
      </c>
      <c r="B30" s="81"/>
      <c r="C30" s="88" t="s">
        <v>150</v>
      </c>
      <c r="D30" s="581">
        <f>D28-D29</f>
        <v>-764091.63213006873</v>
      </c>
      <c r="F30"/>
    </row>
    <row r="31" spans="1:6" ht="15.75" customHeight="1">
      <c r="A31" s="763">
        <f t="shared" si="0"/>
        <v>20</v>
      </c>
      <c r="B31" s="81"/>
      <c r="C31" s="81"/>
      <c r="D31" s="166">
        <f>D30/D29</f>
        <v>-0.10169043914181777</v>
      </c>
      <c r="F31"/>
    </row>
    <row r="32" spans="1:6" ht="15.75" customHeight="1">
      <c r="A32" s="763">
        <f t="shared" si="0"/>
        <v>21</v>
      </c>
      <c r="B32" s="81"/>
      <c r="C32" s="81"/>
      <c r="D32" s="166"/>
      <c r="F32"/>
    </row>
    <row r="33" spans="1:6" ht="15.75" customHeight="1">
      <c r="A33" s="763">
        <f t="shared" si="0"/>
        <v>22</v>
      </c>
      <c r="B33" s="81" t="s">
        <v>652</v>
      </c>
      <c r="C33" s="88" t="s">
        <v>43</v>
      </c>
      <c r="D33" s="581">
        <v>0</v>
      </c>
      <c r="F33"/>
    </row>
    <row r="34" spans="1:6" ht="15.75" customHeight="1">
      <c r="A34" s="763">
        <f t="shared" si="0"/>
        <v>23</v>
      </c>
      <c r="B34" s="81"/>
      <c r="C34" s="88" t="s">
        <v>44</v>
      </c>
      <c r="D34" s="83">
        <v>0</v>
      </c>
      <c r="F34"/>
    </row>
    <row r="35" spans="1:6" ht="15.75" customHeight="1">
      <c r="A35" s="763">
        <f t="shared" si="0"/>
        <v>24</v>
      </c>
      <c r="B35" s="81"/>
      <c r="C35" s="88" t="s">
        <v>150</v>
      </c>
      <c r="D35" s="581">
        <f>D33-D34</f>
        <v>0</v>
      </c>
      <c r="F35"/>
    </row>
    <row r="36" spans="1:6" ht="15.75" customHeight="1">
      <c r="A36" s="763">
        <f t="shared" si="0"/>
        <v>25</v>
      </c>
      <c r="B36" s="81"/>
      <c r="C36" s="81"/>
      <c r="D36" s="582">
        <f>IF(D34=0,0,D35/D34)</f>
        <v>0</v>
      </c>
      <c r="F36"/>
    </row>
    <row r="37" spans="1:6" ht="15.75" customHeight="1">
      <c r="A37" s="763">
        <f t="shared" si="0"/>
        <v>26</v>
      </c>
      <c r="B37" s="601" t="s">
        <v>605</v>
      </c>
      <c r="C37" s="81"/>
      <c r="D37" s="81"/>
      <c r="F37"/>
    </row>
    <row r="38" spans="1:6" ht="15.75" customHeight="1">
      <c r="A38" s="763">
        <f t="shared" si="0"/>
        <v>27</v>
      </c>
      <c r="B38" s="81" t="s">
        <v>1283</v>
      </c>
      <c r="C38" s="88" t="s">
        <v>43</v>
      </c>
      <c r="D38" s="581">
        <f>'C.2.1 F'!D22</f>
        <v>1304964.5637731818</v>
      </c>
      <c r="F38"/>
    </row>
    <row r="39" spans="1:6" ht="15.75" customHeight="1">
      <c r="A39" s="763">
        <f t="shared" si="0"/>
        <v>28</v>
      </c>
      <c r="B39" s="81" t="s">
        <v>1284</v>
      </c>
      <c r="C39" s="88" t="s">
        <v>44</v>
      </c>
      <c r="D39" s="83">
        <f>'C.2.1 B'!D26</f>
        <v>1388388.7278780227</v>
      </c>
      <c r="F39"/>
    </row>
    <row r="40" spans="1:6" ht="15.75" customHeight="1">
      <c r="A40" s="763">
        <f t="shared" si="0"/>
        <v>29</v>
      </c>
      <c r="B40" s="81"/>
      <c r="C40" s="88" t="s">
        <v>150</v>
      </c>
      <c r="D40" s="581">
        <f>D38-D39</f>
        <v>-83424.164104840951</v>
      </c>
      <c r="F40"/>
    </row>
    <row r="41" spans="1:6" ht="15.75" customHeight="1">
      <c r="A41" s="763">
        <f t="shared" si="0"/>
        <v>30</v>
      </c>
      <c r="B41" s="81"/>
      <c r="C41" s="81"/>
      <c r="D41" s="166">
        <f>D40/D39</f>
        <v>-6.0087036454368421E-2</v>
      </c>
      <c r="F41"/>
    </row>
    <row r="42" spans="1:6" ht="15.75" customHeight="1">
      <c r="A42" s="763">
        <f t="shared" si="0"/>
        <v>31</v>
      </c>
      <c r="B42" s="81"/>
      <c r="C42" s="81"/>
      <c r="D42" s="166"/>
      <c r="F42"/>
    </row>
    <row r="43" spans="1:6" ht="15.75" customHeight="1">
      <c r="A43" s="763">
        <f t="shared" si="0"/>
        <v>32</v>
      </c>
      <c r="B43" s="88" t="s">
        <v>1378</v>
      </c>
      <c r="C43" s="88" t="s">
        <v>43</v>
      </c>
      <c r="D43" s="581">
        <f>'C.2.1 F'!D23</f>
        <v>806054</v>
      </c>
      <c r="F43"/>
    </row>
    <row r="44" spans="1:6" ht="15.75" customHeight="1">
      <c r="A44" s="763">
        <f t="shared" si="0"/>
        <v>33</v>
      </c>
      <c r="B44" s="88" t="s">
        <v>1281</v>
      </c>
      <c r="C44" s="88" t="s">
        <v>44</v>
      </c>
      <c r="D44" s="83">
        <f>'C.2.1 B'!D27</f>
        <v>792006</v>
      </c>
      <c r="F44"/>
    </row>
    <row r="45" spans="1:6" ht="15.75" customHeight="1">
      <c r="A45" s="763">
        <f t="shared" si="0"/>
        <v>34</v>
      </c>
      <c r="B45" s="81"/>
      <c r="C45" s="88" t="s">
        <v>150</v>
      </c>
      <c r="D45" s="581">
        <f>D43-D44</f>
        <v>14048</v>
      </c>
      <c r="F45"/>
    </row>
    <row r="46" spans="1:6" ht="15.75" customHeight="1">
      <c r="A46" s="763">
        <f t="shared" si="0"/>
        <v>35</v>
      </c>
      <c r="B46" s="81"/>
      <c r="C46" s="81"/>
      <c r="D46" s="166">
        <f>D45/D44</f>
        <v>1.7737239364348251E-2</v>
      </c>
      <c r="F46"/>
    </row>
    <row r="47" spans="1:6" ht="15.75" customHeight="1">
      <c r="A47" s="763">
        <f t="shared" si="0"/>
        <v>36</v>
      </c>
      <c r="B47" s="81"/>
      <c r="C47" s="81"/>
      <c r="D47" s="166"/>
      <c r="F47"/>
    </row>
    <row r="48" spans="1:6" ht="15.75" customHeight="1">
      <c r="A48" s="763">
        <f t="shared" si="0"/>
        <v>37</v>
      </c>
      <c r="B48" s="88" t="s">
        <v>1282</v>
      </c>
      <c r="C48" s="88" t="s">
        <v>43</v>
      </c>
      <c r="D48" s="581">
        <f>'C.2.1 F'!D24</f>
        <v>14881381.989872882</v>
      </c>
      <c r="F48"/>
    </row>
    <row r="49" spans="1:11" ht="15.75" customHeight="1">
      <c r="A49" s="763">
        <f t="shared" si="0"/>
        <v>38</v>
      </c>
      <c r="B49" s="88" t="s">
        <v>1608</v>
      </c>
      <c r="C49" s="88" t="s">
        <v>44</v>
      </c>
      <c r="D49" s="83">
        <f>'C.2.1 B'!D28</f>
        <v>17013346.017499994</v>
      </c>
      <c r="F49"/>
    </row>
    <row r="50" spans="1:11" ht="15.75" customHeight="1">
      <c r="A50" s="763">
        <f t="shared" si="0"/>
        <v>39</v>
      </c>
      <c r="B50" s="81"/>
      <c r="C50" s="88" t="s">
        <v>150</v>
      </c>
      <c r="D50" s="581">
        <f>D48-D49</f>
        <v>-2131964.0276271123</v>
      </c>
      <c r="F50"/>
    </row>
    <row r="51" spans="1:11" ht="15.75" customHeight="1">
      <c r="A51" s="763">
        <f t="shared" si="0"/>
        <v>40</v>
      </c>
      <c r="B51" s="81"/>
      <c r="C51" s="81"/>
      <c r="D51" s="166">
        <f>D50/D49</f>
        <v>-0.12531127183530893</v>
      </c>
      <c r="F51"/>
    </row>
    <row r="52" spans="1:11" ht="15.75" customHeight="1">
      <c r="A52" s="763">
        <f t="shared" si="0"/>
        <v>41</v>
      </c>
      <c r="B52" s="81"/>
      <c r="C52" s="81"/>
      <c r="D52" s="166"/>
      <c r="F52"/>
    </row>
    <row r="53" spans="1:11" ht="15.75" customHeight="1">
      <c r="A53" s="763">
        <f t="shared" si="0"/>
        <v>42</v>
      </c>
      <c r="B53" s="81" t="s">
        <v>1491</v>
      </c>
      <c r="C53" s="88" t="s">
        <v>43</v>
      </c>
      <c r="D53" s="581">
        <f>'C.2.1 F'!D25</f>
        <v>2477763.4005084746</v>
      </c>
      <c r="F53"/>
    </row>
    <row r="54" spans="1:11" ht="15.75" customHeight="1">
      <c r="A54" s="763">
        <f t="shared" si="0"/>
        <v>43</v>
      </c>
      <c r="B54" s="103" t="s">
        <v>1492</v>
      </c>
      <c r="C54" s="88" t="s">
        <v>44</v>
      </c>
      <c r="D54" s="83">
        <f>'C.2.1 B'!D29</f>
        <v>1148568.27</v>
      </c>
      <c r="F54"/>
    </row>
    <row r="55" spans="1:11" ht="15.75" customHeight="1">
      <c r="A55" s="763">
        <f t="shared" si="0"/>
        <v>44</v>
      </c>
      <c r="B55" s="81"/>
      <c r="C55" s="88" t="s">
        <v>150</v>
      </c>
      <c r="D55" s="581">
        <f>D53-D54</f>
        <v>1329195.1305084745</v>
      </c>
      <c r="F55"/>
    </row>
    <row r="56" spans="1:11" ht="15.75" customHeight="1">
      <c r="A56" s="763">
        <f t="shared" si="0"/>
        <v>45</v>
      </c>
      <c r="B56" s="81"/>
      <c r="C56" s="81"/>
      <c r="D56" s="582">
        <f>IF(D54=0,0,D55/D54)</f>
        <v>1.1572626244572075</v>
      </c>
      <c r="F56"/>
    </row>
    <row r="57" spans="1:11" ht="15.75" customHeight="1">
      <c r="A57" s="763">
        <f t="shared" si="0"/>
        <v>46</v>
      </c>
      <c r="B57" s="601" t="s">
        <v>469</v>
      </c>
      <c r="C57" s="81"/>
      <c r="D57" s="81"/>
      <c r="F57"/>
    </row>
    <row r="58" spans="1:11" ht="15.75" customHeight="1">
      <c r="A58" s="763">
        <f t="shared" si="0"/>
        <v>47</v>
      </c>
      <c r="B58" s="88" t="s">
        <v>1496</v>
      </c>
      <c r="C58" s="88" t="s">
        <v>43</v>
      </c>
      <c r="D58" s="581">
        <f>'C.2.1 F'!D100</f>
        <v>78382354.15325588</v>
      </c>
      <c r="F58"/>
    </row>
    <row r="59" spans="1:11" ht="15.75" customHeight="1">
      <c r="A59" s="763">
        <f t="shared" si="0"/>
        <v>48</v>
      </c>
      <c r="B59" s="88" t="s">
        <v>1607</v>
      </c>
      <c r="C59" s="88" t="s">
        <v>44</v>
      </c>
      <c r="D59" s="83">
        <f>'C.2.1 B'!D105</f>
        <v>83882421.513938576</v>
      </c>
      <c r="F59"/>
    </row>
    <row r="60" spans="1:11" ht="15.75" customHeight="1">
      <c r="A60" s="763">
        <f t="shared" si="0"/>
        <v>49</v>
      </c>
      <c r="B60" s="1" t="s">
        <v>1723</v>
      </c>
      <c r="C60" s="4" t="s">
        <v>150</v>
      </c>
      <c r="D60" s="28">
        <f>D58-D59</f>
        <v>-5500067.3606826961</v>
      </c>
      <c r="F60"/>
      <c r="G60" s="10"/>
      <c r="H60" s="10"/>
      <c r="I60" s="10"/>
      <c r="J60" s="10"/>
      <c r="K60" s="10"/>
    </row>
    <row r="61" spans="1:11" ht="15.75" customHeight="1">
      <c r="A61" s="763">
        <f t="shared" si="0"/>
        <v>50</v>
      </c>
      <c r="B61" s="1" t="s">
        <v>1724</v>
      </c>
      <c r="D61" s="20">
        <f>D60/D59</f>
        <v>-6.5568771876343135E-2</v>
      </c>
      <c r="F61"/>
      <c r="G61" s="10"/>
      <c r="H61" s="10"/>
      <c r="I61" s="10"/>
      <c r="J61" s="10"/>
      <c r="K61" s="10"/>
    </row>
    <row r="62" spans="1:11" ht="15.75" customHeight="1">
      <c r="A62" s="842">
        <f t="shared" si="0"/>
        <v>51</v>
      </c>
      <c r="D62" s="20"/>
      <c r="F62" s="793"/>
      <c r="G62" s="10"/>
      <c r="H62" s="10"/>
      <c r="I62" s="10"/>
      <c r="J62" s="10"/>
      <c r="K62" s="10"/>
    </row>
    <row r="63" spans="1:11" ht="15.75" customHeight="1">
      <c r="A63" s="842">
        <f t="shared" si="0"/>
        <v>52</v>
      </c>
      <c r="D63" s="20"/>
      <c r="F63" s="793"/>
      <c r="G63" s="10"/>
      <c r="H63" s="10"/>
      <c r="I63" s="10"/>
      <c r="J63" s="10"/>
      <c r="K63" s="10"/>
    </row>
    <row r="64" spans="1:11" ht="15.75" customHeight="1">
      <c r="A64" s="842">
        <f t="shared" si="0"/>
        <v>53</v>
      </c>
      <c r="D64" s="20"/>
      <c r="F64" s="793"/>
      <c r="G64" s="10"/>
      <c r="H64" s="10"/>
      <c r="I64" s="10"/>
      <c r="J64" s="10"/>
      <c r="K64" s="10"/>
    </row>
    <row r="65" spans="1:15" ht="15.75" customHeight="1">
      <c r="A65" s="842">
        <f t="shared" si="0"/>
        <v>54</v>
      </c>
      <c r="B65" t="s">
        <v>194</v>
      </c>
      <c r="F65"/>
    </row>
    <row r="66" spans="1:15" ht="15.75" customHeight="1">
      <c r="A66" s="842">
        <f t="shared" si="0"/>
        <v>55</v>
      </c>
      <c r="B66" s="316" t="s">
        <v>1271</v>
      </c>
      <c r="C66"/>
      <c r="D66">
        <f>D14+D19+D24+D29+D34+D44+D49+D54+D39</f>
        <v>185493863.6390579</v>
      </c>
      <c r="E66"/>
      <c r="F66"/>
    </row>
    <row r="67" spans="1:15" ht="15.75" customHeight="1">
      <c r="A67" s="842">
        <f t="shared" si="0"/>
        <v>56</v>
      </c>
      <c r="B67" s="316" t="s">
        <v>1272</v>
      </c>
      <c r="C67"/>
      <c r="D67" s="52">
        <f>D59</f>
        <v>83882421.513938576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842">
        <f t="shared" si="0"/>
        <v>57</v>
      </c>
      <c r="B68" s="316" t="s">
        <v>1273</v>
      </c>
      <c r="C68"/>
      <c r="D68">
        <f>D66-D67</f>
        <v>101611442.12511933</v>
      </c>
      <c r="E68"/>
      <c r="F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842">
        <f t="shared" si="0"/>
        <v>58</v>
      </c>
      <c r="B69" s="316"/>
      <c r="C69"/>
      <c r="D69"/>
      <c r="E69"/>
      <c r="F69"/>
      <c r="K69" s="29"/>
    </row>
    <row r="70" spans="1:15" ht="15.75" customHeight="1">
      <c r="A70" s="842">
        <f t="shared" si="0"/>
        <v>59</v>
      </c>
      <c r="B70" s="316" t="s">
        <v>1274</v>
      </c>
      <c r="C70"/>
      <c r="D70">
        <f>D13+D18+D23+D28+D33+D43+D48+D53+D38</f>
        <v>169717865.83695576</v>
      </c>
      <c r="E70"/>
      <c r="F70"/>
    </row>
    <row r="71" spans="1:15" ht="15.75" customHeight="1">
      <c r="A71" s="842">
        <f t="shared" si="0"/>
        <v>60</v>
      </c>
      <c r="B71" s="316" t="s">
        <v>1275</v>
      </c>
      <c r="C71"/>
      <c r="D71" s="52">
        <f>D58</f>
        <v>78382354.15325588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842">
        <f t="shared" si="0"/>
        <v>61</v>
      </c>
      <c r="B72" s="316" t="s">
        <v>1276</v>
      </c>
      <c r="C72"/>
      <c r="D72">
        <f>D70-D71</f>
        <v>91335511.683699876</v>
      </c>
      <c r="E72"/>
      <c r="F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B73"/>
      <c r="C73"/>
      <c r="D73"/>
      <c r="E73"/>
      <c r="F73"/>
      <c r="K73" s="29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26"/>
    </row>
    <row r="110" spans="2:6" ht="15.75" customHeight="1">
      <c r="B110" s="26"/>
    </row>
    <row r="112" spans="2:6" ht="15.75" customHeight="1">
      <c r="B112" s="26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80" zoomScaleNormal="90" zoomScaleSheetLayoutView="80" workbookViewId="0">
      <pane ySplit="10" topLeftCell="A14" activePane="bottomLeft" state="frozen"/>
      <selection activeCell="H168" sqref="H168"/>
      <selection pane="bottomLeft" activeCell="F45" sqref="F45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210" t="str">
        <f>'Table of Contents'!A1:C1</f>
        <v>Atmos Energy Corporation, Kentucky/Mid-States Division</v>
      </c>
      <c r="B1" s="1210"/>
      <c r="C1" s="1210"/>
      <c r="D1" s="1210"/>
      <c r="E1" s="30"/>
    </row>
    <row r="2" spans="1:5" ht="15.75" customHeight="1">
      <c r="A2" s="1210" t="str">
        <f>'Table of Contents'!A2:C2</f>
        <v>Kentucky Jurisdiction Case No. 2018-00281</v>
      </c>
      <c r="B2" s="1210"/>
      <c r="C2" s="1210"/>
      <c r="D2" s="1210"/>
      <c r="E2" s="30"/>
    </row>
    <row r="3" spans="1:5" ht="15.75" customHeight="1">
      <c r="A3" s="1210" t="s">
        <v>430</v>
      </c>
      <c r="B3" s="1210"/>
      <c r="C3" s="1210"/>
      <c r="D3" s="1210"/>
      <c r="E3" s="30"/>
    </row>
    <row r="4" spans="1:5" ht="15.75" customHeight="1">
      <c r="A4" s="1210" t="str">
        <f>'Table of Contents'!A4:C4</f>
        <v>Forecasted Test Period: Twelve Months Ended March 31, 2020</v>
      </c>
      <c r="B4" s="1210"/>
      <c r="C4" s="1210"/>
      <c r="D4" s="1210"/>
      <c r="E4" s="30"/>
    </row>
    <row r="6" spans="1:5" ht="15.75" customHeight="1">
      <c r="B6" s="4" t="s">
        <v>680</v>
      </c>
      <c r="D6" s="548" t="s">
        <v>1435</v>
      </c>
    </row>
    <row r="7" spans="1:5" ht="15.75" customHeight="1">
      <c r="B7" s="4" t="s">
        <v>539</v>
      </c>
      <c r="D7" s="498" t="s">
        <v>263</v>
      </c>
    </row>
    <row r="8" spans="1:5" ht="15.75" customHeight="1">
      <c r="A8" s="33"/>
      <c r="B8" s="4" t="s">
        <v>458</v>
      </c>
      <c r="C8" s="33"/>
      <c r="D8" s="498" t="str">
        <f>D.1!P9</f>
        <v>Witness:  Waller, Densman</v>
      </c>
      <c r="E8"/>
    </row>
    <row r="9" spans="1:5" ht="15.75" customHeight="1">
      <c r="A9" s="1" t="s">
        <v>1078</v>
      </c>
      <c r="B9" s="13"/>
      <c r="C9" s="35"/>
      <c r="D9" s="13"/>
      <c r="E9"/>
    </row>
    <row r="10" spans="1:5" ht="15.75" customHeight="1">
      <c r="A10" s="33" t="s">
        <v>1079</v>
      </c>
      <c r="B10" s="130" t="s">
        <v>603</v>
      </c>
      <c r="C10" s="6"/>
      <c r="D10" s="9" t="s">
        <v>104</v>
      </c>
      <c r="E10"/>
    </row>
    <row r="11" spans="1:5" ht="15.75" customHeight="1">
      <c r="E11"/>
    </row>
    <row r="12" spans="1:5" ht="15.75" customHeight="1">
      <c r="A12" s="54">
        <v>1</v>
      </c>
      <c r="B12" s="196" t="s">
        <v>606</v>
      </c>
      <c r="E12"/>
    </row>
    <row r="13" spans="1:5" ht="15.75" customHeight="1">
      <c r="A13" s="54">
        <v>2</v>
      </c>
      <c r="B13" s="583" t="s">
        <v>1489</v>
      </c>
      <c r="C13" s="4" t="s">
        <v>43</v>
      </c>
      <c r="D13" s="356">
        <f>'[13]O&amp;M Comparison'!$D$6+'[13]O&amp;M Comparison'!$D$7</f>
        <v>6813931.3937277719</v>
      </c>
    </row>
    <row r="14" spans="1:5" ht="15.75" customHeight="1">
      <c r="A14" s="54">
        <v>3</v>
      </c>
      <c r="B14" s="583" t="s">
        <v>1490</v>
      </c>
      <c r="C14" s="4" t="s">
        <v>44</v>
      </c>
      <c r="D14" s="420">
        <f>'[13]O&amp;M Comparison'!$C$6+'[13]O&amp;M Comparison'!$C$7</f>
        <v>7010809.3000999996</v>
      </c>
    </row>
    <row r="15" spans="1:5" ht="15.75" customHeight="1">
      <c r="A15" s="54">
        <v>4</v>
      </c>
      <c r="B15" s="583" t="s">
        <v>1285</v>
      </c>
      <c r="C15" s="4" t="s">
        <v>150</v>
      </c>
      <c r="D15" s="585">
        <f>D13-D14</f>
        <v>-196877.90637222771</v>
      </c>
    </row>
    <row r="16" spans="1:5" ht="15.75" customHeight="1">
      <c r="A16" s="54">
        <v>5</v>
      </c>
      <c r="B16" s="583" t="s">
        <v>1286</v>
      </c>
      <c r="D16" s="166">
        <f>D15/D14</f>
        <v>-2.8082051293196564E-2</v>
      </c>
    </row>
    <row r="17" spans="1:5" ht="15.75" customHeight="1">
      <c r="A17" s="54">
        <v>6</v>
      </c>
      <c r="B17" s="584"/>
      <c r="D17" s="81"/>
    </row>
    <row r="18" spans="1:5" ht="15.75" customHeight="1">
      <c r="A18" s="54">
        <v>7</v>
      </c>
      <c r="B18" s="601" t="s">
        <v>464</v>
      </c>
      <c r="D18" s="81"/>
    </row>
    <row r="19" spans="1:5" ht="15.75" customHeight="1">
      <c r="A19" s="54">
        <v>8</v>
      </c>
      <c r="B19" s="584" t="s">
        <v>1287</v>
      </c>
      <c r="C19" s="4" t="s">
        <v>43</v>
      </c>
      <c r="D19" s="356">
        <f>'[13]O&amp;M Comparison'!$D$10</f>
        <v>527796.22000000009</v>
      </c>
    </row>
    <row r="20" spans="1:5" ht="15.75" customHeight="1">
      <c r="A20" s="54">
        <v>9</v>
      </c>
      <c r="B20" s="584" t="s">
        <v>1288</v>
      </c>
      <c r="C20" s="4" t="s">
        <v>44</v>
      </c>
      <c r="D20" s="420">
        <f>'[13]O&amp;M Comparison'!$C$10</f>
        <v>630786.51000000013</v>
      </c>
    </row>
    <row r="21" spans="1:5" ht="15.75" customHeight="1">
      <c r="A21" s="54">
        <v>10</v>
      </c>
      <c r="B21" s="584" t="s">
        <v>1289</v>
      </c>
      <c r="C21" s="4" t="s">
        <v>150</v>
      </c>
      <c r="D21" s="581">
        <f>D19-D20</f>
        <v>-102990.29000000004</v>
      </c>
    </row>
    <row r="22" spans="1:5" ht="15.75" customHeight="1">
      <c r="A22" s="54">
        <v>11</v>
      </c>
      <c r="B22" s="584" t="s">
        <v>1291</v>
      </c>
      <c r="D22" s="166">
        <f>D21/D20</f>
        <v>-0.16327281634478838</v>
      </c>
    </row>
    <row r="23" spans="1:5" ht="15.75" customHeight="1">
      <c r="A23" s="54">
        <v>12</v>
      </c>
      <c r="B23" s="584" t="s">
        <v>1290</v>
      </c>
      <c r="D23" s="81"/>
    </row>
    <row r="24" spans="1:5" ht="15.75" customHeight="1">
      <c r="A24" s="54">
        <v>13</v>
      </c>
      <c r="B24" s="584"/>
      <c r="D24" s="81"/>
    </row>
    <row r="25" spans="1:5" ht="15.75" customHeight="1">
      <c r="A25" s="54">
        <v>14</v>
      </c>
      <c r="B25" s="601" t="s">
        <v>465</v>
      </c>
      <c r="D25" s="81"/>
    </row>
    <row r="26" spans="1:5" ht="15.75" customHeight="1">
      <c r="A26" s="54">
        <v>15</v>
      </c>
      <c r="B26" s="584" t="s">
        <v>1292</v>
      </c>
      <c r="C26" s="4" t="s">
        <v>43</v>
      </c>
      <c r="D26" s="585">
        <f>'[13]O&amp;M Comparison'!$D$25-D13-D19-D32</f>
        <v>6833590.9076999994</v>
      </c>
    </row>
    <row r="27" spans="1:5" ht="15.75" customHeight="1">
      <c r="A27" s="54">
        <v>16</v>
      </c>
      <c r="B27" s="584" t="s">
        <v>1494</v>
      </c>
      <c r="C27" s="4" t="s">
        <v>44</v>
      </c>
      <c r="D27" s="586">
        <f>'[13]O&amp;M Comparison'!$C$25-D14-D20-D33</f>
        <v>7309451.9289000034</v>
      </c>
    </row>
    <row r="28" spans="1:5" ht="15.75" customHeight="1">
      <c r="A28" s="54">
        <v>17</v>
      </c>
      <c r="B28" s="584" t="s">
        <v>1488</v>
      </c>
      <c r="C28" s="4" t="s">
        <v>150</v>
      </c>
      <c r="D28" s="581">
        <f>D26-D27</f>
        <v>-475861.02120000403</v>
      </c>
    </row>
    <row r="29" spans="1:5" ht="15.75" customHeight="1">
      <c r="A29" s="54">
        <v>18</v>
      </c>
      <c r="B29" s="584"/>
      <c r="D29" s="166">
        <f>D28/D27</f>
        <v>-6.5102147989858417E-2</v>
      </c>
    </row>
    <row r="30" spans="1:5" ht="15.75" customHeight="1">
      <c r="A30" s="54">
        <v>19</v>
      </c>
      <c r="B30" s="584"/>
      <c r="D30" s="81"/>
    </row>
    <row r="31" spans="1:5" ht="15.75" customHeight="1">
      <c r="A31" s="54">
        <v>20</v>
      </c>
      <c r="B31" s="601" t="s">
        <v>466</v>
      </c>
      <c r="D31" s="81"/>
    </row>
    <row r="32" spans="1:5" ht="15.75" customHeight="1">
      <c r="A32" s="54">
        <v>21</v>
      </c>
      <c r="B32" s="584" t="s">
        <v>1293</v>
      </c>
      <c r="C32" s="4" t="s">
        <v>43</v>
      </c>
      <c r="D32" s="73">
        <f>'[13]O&amp;M Comparison'!$D$22</f>
        <v>341050.48677183327</v>
      </c>
      <c r="E32" s="10"/>
    </row>
    <row r="33" spans="1:11" ht="15.75" customHeight="1">
      <c r="A33" s="54">
        <v>22</v>
      </c>
      <c r="B33" s="584" t="s">
        <v>1294</v>
      </c>
      <c r="C33" s="4" t="s">
        <v>44</v>
      </c>
      <c r="D33" s="83">
        <f>'[13]O&amp;M Comparison'!$C$22</f>
        <v>549343.45279999997</v>
      </c>
      <c r="E33" s="10"/>
    </row>
    <row r="34" spans="1:11" ht="15.75" customHeight="1">
      <c r="A34" s="54">
        <v>23</v>
      </c>
      <c r="B34" s="584" t="s">
        <v>1493</v>
      </c>
      <c r="C34" s="4" t="s">
        <v>150</v>
      </c>
      <c r="D34" s="587">
        <f>D32-D33</f>
        <v>-208292.9660281667</v>
      </c>
    </row>
    <row r="35" spans="1:11" ht="15.75" customHeight="1">
      <c r="A35" s="54">
        <v>24</v>
      </c>
      <c r="B35" s="90"/>
      <c r="D35" s="166">
        <f>D34/D32</f>
        <v>-0.61073938934887695</v>
      </c>
      <c r="E35" s="10"/>
    </row>
    <row r="36" spans="1:11" ht="15.75" customHeight="1">
      <c r="A36" s="54">
        <v>25</v>
      </c>
      <c r="B36" s="196" t="s">
        <v>467</v>
      </c>
      <c r="C36" s="10"/>
      <c r="D36" s="73"/>
      <c r="E36" s="10"/>
      <c r="F36" s="10"/>
      <c r="G36" s="10"/>
      <c r="H36" s="10"/>
      <c r="I36" s="10"/>
      <c r="J36" s="10"/>
      <c r="K36" s="10"/>
    </row>
    <row r="37" spans="1:11" ht="15.75" customHeight="1">
      <c r="A37" s="54">
        <v>26</v>
      </c>
      <c r="B37" s="584" t="s">
        <v>1295</v>
      </c>
      <c r="C37" s="4" t="s">
        <v>43</v>
      </c>
      <c r="D37" s="356">
        <f>'[13]O&amp;M Comparison'!$H$25+'[13]O&amp;M Comparison'!$L$25</f>
        <v>14498764.187912352</v>
      </c>
    </row>
    <row r="38" spans="1:11" ht="15.75" customHeight="1">
      <c r="A38" s="54">
        <v>27</v>
      </c>
      <c r="B38" s="103" t="s">
        <v>1296</v>
      </c>
      <c r="C38" s="4" t="s">
        <v>44</v>
      </c>
      <c r="D38" s="420">
        <f>'[13]O&amp;M Comparison'!$G$25+'[13]O&amp;M Comparison'!$K$25</f>
        <v>13030746.02365113</v>
      </c>
    </row>
    <row r="39" spans="1:11" ht="15.75" customHeight="1">
      <c r="A39" s="54">
        <v>28</v>
      </c>
      <c r="B39" s="90" t="s">
        <v>1297</v>
      </c>
      <c r="C39" s="4" t="s">
        <v>150</v>
      </c>
      <c r="D39" s="581">
        <f>D37-D38</f>
        <v>1468018.1642612219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54">
        <v>29</v>
      </c>
      <c r="B40" s="4"/>
      <c r="D40" s="166">
        <f>D39/D38</f>
        <v>0.11265802906424023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54">
        <v>30</v>
      </c>
      <c r="B41" s="4"/>
      <c r="D41" s="20"/>
      <c r="E41" s="10"/>
      <c r="F41" s="10"/>
      <c r="G41" s="10"/>
      <c r="H41" s="10"/>
      <c r="I41" s="10"/>
      <c r="J41" s="10"/>
      <c r="K41" s="10"/>
    </row>
    <row r="42" spans="1:11" ht="15.75" customHeight="1">
      <c r="A42" s="54">
        <v>31</v>
      </c>
      <c r="B42" s="15" t="s">
        <v>390</v>
      </c>
      <c r="C42" t="s">
        <v>43</v>
      </c>
      <c r="D42" s="182">
        <f>D13+D19+D26+D32+D37</f>
        <v>29015133.196111955</v>
      </c>
      <c r="E42"/>
    </row>
    <row r="43" spans="1:11" ht="15.75" customHeight="1">
      <c r="A43" s="54">
        <v>32</v>
      </c>
      <c r="B43"/>
      <c r="C43" t="s">
        <v>44</v>
      </c>
      <c r="D43" s="407">
        <f>D14+D20+D27+D33+D38</f>
        <v>28531137.215451136</v>
      </c>
      <c r="E43"/>
    </row>
    <row r="44" spans="1:11" ht="15.75" customHeight="1">
      <c r="A44" s="54">
        <v>33</v>
      </c>
      <c r="B44"/>
      <c r="C44" t="s">
        <v>150</v>
      </c>
      <c r="D44" s="28">
        <f>D42-D43</f>
        <v>483995.98066081852</v>
      </c>
      <c r="E44"/>
    </row>
    <row r="45" spans="1:11" ht="15.75" customHeight="1">
      <c r="A45" s="54">
        <v>34</v>
      </c>
      <c r="B45"/>
      <c r="C45"/>
      <c r="D45" s="20">
        <f>D44/D43</f>
        <v>1.6963781604846399E-2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2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6"/>
    </row>
    <row r="74" spans="2:11" ht="15.75" customHeight="1">
      <c r="B74"/>
      <c r="C74"/>
      <c r="D74"/>
      <c r="E74"/>
      <c r="G74" s="26"/>
    </row>
    <row r="75" spans="2:11" ht="15.75" customHeight="1">
      <c r="B75"/>
      <c r="C75"/>
      <c r="D75"/>
      <c r="E75"/>
      <c r="G75" s="26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2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2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2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2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2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2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zoomScale="80" zoomScaleNormal="90" zoomScaleSheetLayoutView="80" workbookViewId="0">
      <selection sqref="A1:D1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210" t="str">
        <f>'Table of Contents'!A1:C1</f>
        <v>Atmos Energy Corporation, Kentucky/Mid-States Division</v>
      </c>
      <c r="B1" s="1210"/>
      <c r="C1" s="1210"/>
      <c r="D1" s="1210"/>
    </row>
    <row r="2" spans="1:10">
      <c r="A2" s="1210" t="str">
        <f>'Table of Contents'!A2:C2</f>
        <v>Kentucky Jurisdiction Case No. 2018-00281</v>
      </c>
      <c r="B2" s="1210"/>
      <c r="C2" s="1210"/>
      <c r="D2" s="1210"/>
    </row>
    <row r="3" spans="1:10">
      <c r="A3" s="1210" t="s">
        <v>430</v>
      </c>
      <c r="B3" s="1210"/>
      <c r="C3" s="1210"/>
      <c r="D3" s="1210"/>
    </row>
    <row r="4" spans="1:10">
      <c r="A4" s="1210" t="str">
        <f>'Table of Contents'!A4:C4</f>
        <v>Forecasted Test Period: Twelve Months Ended March 31, 2020</v>
      </c>
      <c r="B4" s="1210"/>
      <c r="C4" s="1210"/>
      <c r="D4" s="1210"/>
    </row>
    <row r="5" spans="1:10">
      <c r="D5" s="35"/>
      <c r="F5" s="26"/>
    </row>
    <row r="6" spans="1:10">
      <c r="B6" s="4" t="s">
        <v>680</v>
      </c>
      <c r="D6" s="548" t="s">
        <v>1436</v>
      </c>
      <c r="F6" s="26"/>
    </row>
    <row r="7" spans="1:10">
      <c r="B7" s="4" t="s">
        <v>615</v>
      </c>
      <c r="D7" s="498" t="s">
        <v>264</v>
      </c>
      <c r="F7" s="26"/>
    </row>
    <row r="8" spans="1:10">
      <c r="A8" s="33"/>
      <c r="B8" s="4" t="s">
        <v>365</v>
      </c>
      <c r="C8" s="33"/>
      <c r="D8" s="549" t="str">
        <f>D.1!P9</f>
        <v>Witness:  Waller, Densman</v>
      </c>
    </row>
    <row r="9" spans="1:10">
      <c r="A9" s="1" t="s">
        <v>1078</v>
      </c>
      <c r="B9" s="13"/>
      <c r="C9" s="35"/>
      <c r="D9" s="13"/>
    </row>
    <row r="10" spans="1:10">
      <c r="A10" s="33" t="s">
        <v>1079</v>
      </c>
      <c r="B10" s="130" t="s">
        <v>603</v>
      </c>
      <c r="C10" s="6"/>
      <c r="D10" s="9" t="s">
        <v>104</v>
      </c>
    </row>
    <row r="12" spans="1:10" ht="15.75">
      <c r="A12" s="54">
        <v>1</v>
      </c>
      <c r="B12" s="196" t="s">
        <v>604</v>
      </c>
      <c r="D12" s="81"/>
    </row>
    <row r="13" spans="1:10">
      <c r="A13" s="54">
        <v>2</v>
      </c>
      <c r="B13" s="81" t="s">
        <v>1348</v>
      </c>
      <c r="C13" s="4" t="s">
        <v>43</v>
      </c>
      <c r="D13" s="581">
        <f>'C.2.2-F 09'!P14</f>
        <v>15749357.714761427</v>
      </c>
      <c r="J13" s="10"/>
    </row>
    <row r="14" spans="1:10">
      <c r="A14" s="54">
        <v>3</v>
      </c>
      <c r="B14" s="81" t="s">
        <v>1205</v>
      </c>
      <c r="C14" s="4" t="s">
        <v>44</v>
      </c>
      <c r="D14" s="83">
        <f>'C.2.2 B 09'!P14</f>
        <v>20643161.685444809</v>
      </c>
    </row>
    <row r="15" spans="1:10">
      <c r="A15" s="54">
        <v>4</v>
      </c>
      <c r="C15" s="4" t="s">
        <v>150</v>
      </c>
      <c r="D15" s="581">
        <f>D13-D14</f>
        <v>-4893803.9706833828</v>
      </c>
    </row>
    <row r="16" spans="1:10">
      <c r="A16" s="54">
        <v>5</v>
      </c>
      <c r="D16" s="166">
        <f>D15/D14</f>
        <v>-0.23706659111883682</v>
      </c>
    </row>
    <row r="17" spans="1:10" ht="15.75">
      <c r="A17" s="54">
        <v>6</v>
      </c>
      <c r="B17" s="196" t="s">
        <v>605</v>
      </c>
      <c r="D17" s="166"/>
    </row>
    <row r="18" spans="1:10">
      <c r="A18" s="54">
        <v>7</v>
      </c>
      <c r="B18" s="88" t="s">
        <v>1206</v>
      </c>
      <c r="C18" s="4" t="s">
        <v>43</v>
      </c>
      <c r="D18" s="581">
        <f>'C.2.2-F 09'!P16</f>
        <v>7511836.9326441754</v>
      </c>
      <c r="J18" s="10"/>
    </row>
    <row r="19" spans="1:10">
      <c r="A19" s="54">
        <v>8</v>
      </c>
      <c r="B19" s="88" t="s">
        <v>1207</v>
      </c>
      <c r="C19" s="4" t="s">
        <v>44</v>
      </c>
      <c r="D19" s="83">
        <f>'C.2.2 B 09'!P16</f>
        <v>6491573.604999451</v>
      </c>
    </row>
    <row r="20" spans="1:10" ht="16.5" customHeight="1">
      <c r="A20" s="54">
        <v>9</v>
      </c>
      <c r="B20" s="81"/>
      <c r="C20" s="4" t="s">
        <v>150</v>
      </c>
      <c r="D20" s="581">
        <f>D18-D19</f>
        <v>1020263.3276447244</v>
      </c>
    </row>
    <row r="21" spans="1:10">
      <c r="A21" s="54">
        <v>10</v>
      </c>
      <c r="B21" s="81"/>
      <c r="D21" s="20">
        <f>D20/D19</f>
        <v>0.15716733564554733</v>
      </c>
    </row>
    <row r="22" spans="1:10">
      <c r="D22" s="28"/>
      <c r="J22" s="10"/>
    </row>
    <row r="23" spans="1:10">
      <c r="B23" s="4"/>
      <c r="C23" s="4"/>
      <c r="D23" s="2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2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90" zoomScaleNormal="100" zoomScaleSheetLayoutView="90" workbookViewId="0">
      <selection activeCell="C6" sqref="C6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195" t="str">
        <f>'Table of Contents'!A1:C1</f>
        <v>Atmos Energy Corporation, Kentucky/Mid-States Division</v>
      </c>
      <c r="B1" s="1195"/>
      <c r="C1" s="1195"/>
    </row>
    <row r="2" spans="1:3">
      <c r="A2" s="1195" t="str">
        <f>'Table of Contents'!A2:C2</f>
        <v>Kentucky Jurisdiction Case No. 2018-00281</v>
      </c>
      <c r="B2" s="1195"/>
      <c r="C2" s="1195"/>
    </row>
    <row r="3" spans="1:3">
      <c r="A3" s="1195" t="str">
        <f>'Table of Contents'!A3:C3</f>
        <v>Base Period: Twelve Months Ended December 31, 2018</v>
      </c>
      <c r="B3" s="1195"/>
      <c r="C3" s="1195"/>
    </row>
    <row r="4" spans="1:3">
      <c r="A4" s="1195" t="str">
        <f>'Table of Contents'!A4:C4</f>
        <v>Forecasted Test Period: Twelve Months Ended March 31, 2020</v>
      </c>
      <c r="B4" s="1195"/>
      <c r="C4" s="1195"/>
    </row>
    <row r="9" spans="1:3">
      <c r="A9" s="1195" t="s">
        <v>1416</v>
      </c>
      <c r="B9" s="1195"/>
      <c r="C9" s="1195"/>
    </row>
    <row r="11" spans="1:3" ht="15.75">
      <c r="A11" s="1199" t="s">
        <v>271</v>
      </c>
      <c r="B11" s="1199"/>
      <c r="C11" s="1199"/>
    </row>
    <row r="14" spans="1:3" ht="15.75">
      <c r="A14" s="302" t="s">
        <v>58</v>
      </c>
      <c r="B14" s="460" t="s">
        <v>614</v>
      </c>
      <c r="C14" s="302" t="s">
        <v>985</v>
      </c>
    </row>
    <row r="15" spans="1:3">
      <c r="A15" s="78"/>
      <c r="B15" s="195"/>
      <c r="C15" s="40"/>
    </row>
    <row r="16" spans="1:3">
      <c r="A16" s="226" t="s">
        <v>367</v>
      </c>
      <c r="B16" s="461">
        <v>2</v>
      </c>
      <c r="C16" s="40" t="s">
        <v>171</v>
      </c>
    </row>
    <row r="17" spans="1:3">
      <c r="A17" s="226" t="s">
        <v>678</v>
      </c>
      <c r="B17" s="461">
        <v>14</v>
      </c>
      <c r="C17" s="40" t="s">
        <v>530</v>
      </c>
    </row>
    <row r="18" spans="1:3">
      <c r="A18" s="226" t="s">
        <v>679</v>
      </c>
      <c r="B18" s="461">
        <v>14</v>
      </c>
      <c r="C18" s="40" t="s">
        <v>416</v>
      </c>
    </row>
    <row r="19" spans="1:3">
      <c r="A19" s="226" t="s">
        <v>1118</v>
      </c>
      <c r="B19" s="461">
        <v>5</v>
      </c>
      <c r="C19" s="40" t="s">
        <v>91</v>
      </c>
    </row>
    <row r="20" spans="1:3">
      <c r="A20" s="226" t="s">
        <v>79</v>
      </c>
      <c r="B20" s="461">
        <v>2</v>
      </c>
      <c r="C20" s="40" t="s">
        <v>80</v>
      </c>
    </row>
    <row r="21" spans="1:3">
      <c r="A21" s="226" t="s">
        <v>82</v>
      </c>
      <c r="B21" s="461">
        <v>2</v>
      </c>
      <c r="C21" s="40" t="s">
        <v>847</v>
      </c>
    </row>
    <row r="22" spans="1:3">
      <c r="A22" s="226" t="s">
        <v>81</v>
      </c>
      <c r="B22" s="461">
        <v>2</v>
      </c>
      <c r="C22" s="40" t="s">
        <v>848</v>
      </c>
    </row>
    <row r="23" spans="1:3">
      <c r="A23" s="226" t="s">
        <v>84</v>
      </c>
      <c r="B23" s="461">
        <v>2</v>
      </c>
      <c r="C23" s="40" t="s">
        <v>628</v>
      </c>
    </row>
    <row r="24" spans="1:3">
      <c r="A24" s="226" t="s">
        <v>807</v>
      </c>
      <c r="B24" s="461">
        <v>2</v>
      </c>
      <c r="C24" s="4" t="s">
        <v>633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E14" sqref="E14"/>
    </sheetView>
  </sheetViews>
  <sheetFormatPr defaultRowHeight="15"/>
  <cols>
    <col min="3" max="3" width="67.6640625" customWidth="1"/>
  </cols>
  <sheetData>
    <row r="1" spans="1:3">
      <c r="A1" s="1195" t="str">
        <f>'Table of Contents'!A1:C1</f>
        <v>Atmos Energy Corporation, Kentucky/Mid-States Division</v>
      </c>
      <c r="B1" s="1195"/>
      <c r="C1" s="1195"/>
    </row>
    <row r="2" spans="1:3">
      <c r="A2" s="1195" t="str">
        <f>'Table of Contents'!A2:C2</f>
        <v>Kentucky Jurisdiction Case No. 2018-00281</v>
      </c>
      <c r="B2" s="1195"/>
      <c r="C2" s="1195"/>
    </row>
    <row r="3" spans="1:3">
      <c r="A3" s="1195" t="str">
        <f>'Table of Contents'!A3:C3</f>
        <v>Base Period: Twelve Months Ended December 31, 2018</v>
      </c>
      <c r="B3" s="1195"/>
      <c r="C3" s="1195"/>
    </row>
    <row r="4" spans="1:3">
      <c r="A4" s="1195" t="str">
        <f>'Table of Contents'!A4:C4</f>
        <v>Forecasted Test Period: Twelve Months Ended March 31, 2020</v>
      </c>
      <c r="B4" s="1195"/>
      <c r="C4" s="1195"/>
    </row>
    <row r="13" spans="1:3">
      <c r="A13" s="1195" t="s">
        <v>1437</v>
      </c>
      <c r="B13" s="1195"/>
      <c r="C13" s="1195"/>
    </row>
    <row r="15" spans="1:3" ht="15.75">
      <c r="A15" s="1216" t="s">
        <v>463</v>
      </c>
      <c r="B15" s="1216"/>
      <c r="C15" s="1216"/>
    </row>
    <row r="18" spans="1:3">
      <c r="A18" s="58" t="s">
        <v>58</v>
      </c>
      <c r="B18" s="58" t="s">
        <v>614</v>
      </c>
      <c r="C18" s="58" t="s">
        <v>985</v>
      </c>
    </row>
    <row r="20" spans="1:3">
      <c r="A20" s="53" t="s">
        <v>828</v>
      </c>
      <c r="B20" s="53">
        <v>1</v>
      </c>
      <c r="C20" t="s">
        <v>463</v>
      </c>
    </row>
    <row r="21" spans="1:3">
      <c r="B21" s="53"/>
    </row>
    <row r="22" spans="1:3">
      <c r="B22" s="53"/>
    </row>
    <row r="23" spans="1:3">
      <c r="B23" s="53"/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topLeftCell="A10" zoomScale="70" zoomScaleNormal="90" zoomScaleSheetLayoutView="70" workbookViewId="0">
      <selection activeCell="F26" sqref="F26"/>
    </sheetView>
  </sheetViews>
  <sheetFormatPr defaultColWidth="13.88671875" defaultRowHeight="15"/>
  <cols>
    <col min="1" max="1" width="3.6640625" style="36" customWidth="1"/>
    <col min="2" max="2" width="16.21875" style="36" customWidth="1"/>
    <col min="3" max="3" width="11" style="36" customWidth="1"/>
    <col min="4" max="4" width="12.33203125" style="36" customWidth="1"/>
    <col min="5" max="5" width="13.109375" style="36" customWidth="1"/>
    <col min="6" max="6" width="12.5546875" style="36" customWidth="1"/>
    <col min="7" max="7" width="13.109375" style="36" customWidth="1"/>
    <col min="8" max="8" width="8.6640625" style="36" customWidth="1"/>
    <col min="9" max="9" width="13.88671875" style="36" customWidth="1"/>
    <col min="10" max="10" width="15.109375" style="36" customWidth="1"/>
    <col min="11" max="16384" width="13.88671875" style="36"/>
  </cols>
  <sheetData>
    <row r="1" spans="1:16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  <c r="G1" s="1209"/>
      <c r="H1" s="1209"/>
      <c r="I1" s="30"/>
      <c r="M1" s="37"/>
      <c r="O1" s="37"/>
      <c r="P1" s="37"/>
    </row>
    <row r="2" spans="1:16">
      <c r="A2" s="1209" t="str">
        <f>'Table of Contents'!A2:C2</f>
        <v>Kentucky Jurisdiction Case No. 2018-00281</v>
      </c>
      <c r="B2" s="1209"/>
      <c r="C2" s="1209"/>
      <c r="D2" s="1209"/>
      <c r="E2" s="1209"/>
      <c r="F2" s="1209"/>
      <c r="G2" s="1209"/>
      <c r="H2" s="1209"/>
      <c r="I2" s="30"/>
      <c r="P2" s="37"/>
    </row>
    <row r="3" spans="1:16">
      <c r="A3" s="1209" t="s">
        <v>151</v>
      </c>
      <c r="B3" s="1209"/>
      <c r="C3" s="1209"/>
      <c r="D3" s="1209"/>
      <c r="E3" s="1209"/>
      <c r="F3" s="1209"/>
      <c r="G3" s="1209"/>
      <c r="H3" s="1209"/>
      <c r="I3" s="30"/>
    </row>
    <row r="4" spans="1:16">
      <c r="A4" s="1209" t="str">
        <f>'Table of Contents'!A3:C3</f>
        <v>Base Period: Twelve Months Ended December 31, 2018</v>
      </c>
      <c r="B4" s="1209"/>
      <c r="C4" s="1209"/>
      <c r="D4" s="1209"/>
      <c r="E4" s="1209"/>
      <c r="F4" s="1209"/>
      <c r="G4" s="1209"/>
      <c r="H4" s="1209"/>
      <c r="I4" s="30"/>
      <c r="M4" s="37"/>
      <c r="O4" s="37"/>
      <c r="P4" s="37"/>
    </row>
    <row r="5" spans="1:16">
      <c r="A5" s="1209" t="str">
        <f>'Table of Contents'!A4:C4</f>
        <v>Forecasted Test Period: Twelve Months Ended March 31, 2020</v>
      </c>
      <c r="B5" s="1209"/>
      <c r="C5" s="1209"/>
      <c r="D5" s="1209"/>
      <c r="E5" s="1209"/>
      <c r="F5" s="1209"/>
      <c r="G5" s="1209"/>
      <c r="H5" s="1209"/>
      <c r="I5" s="30"/>
      <c r="M5" s="37"/>
      <c r="O5" s="37"/>
      <c r="P5" s="37"/>
    </row>
    <row r="6" spans="1:16">
      <c r="A6" s="4"/>
      <c r="B6" s="49"/>
      <c r="C6" s="49"/>
      <c r="D6" s="50"/>
      <c r="P6" s="37"/>
    </row>
    <row r="7" spans="1:16">
      <c r="B7" s="50"/>
      <c r="C7" s="50"/>
      <c r="D7" s="50"/>
      <c r="H7" s="376" t="s">
        <v>1409</v>
      </c>
      <c r="I7" s="4"/>
    </row>
    <row r="8" spans="1:16">
      <c r="A8" s="4" t="s">
        <v>615</v>
      </c>
      <c r="B8" s="50"/>
      <c r="C8" s="50"/>
      <c r="D8" s="50"/>
      <c r="H8" s="489" t="s">
        <v>829</v>
      </c>
      <c r="I8" s="4"/>
      <c r="M8" s="37"/>
      <c r="O8" s="37"/>
      <c r="P8" s="37"/>
    </row>
    <row r="9" spans="1:16">
      <c r="A9" s="51" t="s">
        <v>365</v>
      </c>
      <c r="B9" s="38"/>
      <c r="C9" s="38"/>
      <c r="D9" s="38"/>
      <c r="E9" s="154"/>
      <c r="F9" s="154"/>
      <c r="G9" s="154"/>
      <c r="H9" s="550" t="s">
        <v>1720</v>
      </c>
      <c r="I9" s="50"/>
      <c r="M9" s="37"/>
      <c r="P9" s="37"/>
    </row>
    <row r="10" spans="1:16">
      <c r="E10" s="50"/>
      <c r="F10" s="49"/>
      <c r="G10" s="50"/>
      <c r="H10" s="49"/>
      <c r="I10" s="50"/>
    </row>
    <row r="11" spans="1:16">
      <c r="A11" s="37" t="s">
        <v>93</v>
      </c>
      <c r="E11" s="34" t="s">
        <v>324</v>
      </c>
      <c r="F11" s="2"/>
      <c r="G11" s="54" t="s">
        <v>316</v>
      </c>
      <c r="H11" s="54" t="s">
        <v>139</v>
      </c>
      <c r="I11" s="221"/>
    </row>
    <row r="12" spans="1:16">
      <c r="A12" s="39" t="s">
        <v>99</v>
      </c>
      <c r="B12" s="39" t="s">
        <v>985</v>
      </c>
      <c r="C12" s="38"/>
      <c r="D12" s="38"/>
      <c r="E12" s="9" t="s">
        <v>986</v>
      </c>
      <c r="F12" s="9" t="s">
        <v>987</v>
      </c>
      <c r="G12" s="9" t="s">
        <v>830</v>
      </c>
      <c r="H12" s="9" t="s">
        <v>449</v>
      </c>
      <c r="I12" s="34"/>
    </row>
    <row r="13" spans="1:16">
      <c r="E13" s="2" t="s">
        <v>1092</v>
      </c>
      <c r="F13" s="2" t="s">
        <v>1093</v>
      </c>
      <c r="G13" s="2" t="s">
        <v>1094</v>
      </c>
      <c r="H13" s="2"/>
      <c r="I13" s="34"/>
    </row>
    <row r="14" spans="1:16">
      <c r="E14" s="2"/>
      <c r="F14" s="2"/>
      <c r="G14" s="2"/>
      <c r="H14" s="2"/>
      <c r="I14" s="34"/>
    </row>
    <row r="15" spans="1:16">
      <c r="A15" s="54">
        <v>1</v>
      </c>
      <c r="B15" s="36" t="s">
        <v>831</v>
      </c>
      <c r="E15" s="551">
        <f>+'C.2'!D14-SUM('C.2'!D17:D27)</f>
        <v>33822603.476494133</v>
      </c>
      <c r="F15" s="551">
        <f>+G15-E15</f>
        <v>7092761.0896873474</v>
      </c>
      <c r="G15" s="551">
        <f>'C.2'!O14-SUM('C.2'!O17:O27)</f>
        <v>40915364.566181481</v>
      </c>
      <c r="H15" s="2" t="s">
        <v>140</v>
      </c>
      <c r="I15" s="34"/>
    </row>
    <row r="16" spans="1:16">
      <c r="A16" s="54"/>
      <c r="E16" s="19"/>
      <c r="F16" s="19"/>
      <c r="G16" s="19"/>
      <c r="H16" s="2"/>
      <c r="I16" s="2"/>
    </row>
    <row r="17" spans="1:34">
      <c r="A17" s="54">
        <v>2</v>
      </c>
      <c r="B17" s="36" t="s">
        <v>211</v>
      </c>
      <c r="E17" s="159">
        <f>+E32</f>
        <v>8488248.6101813093</v>
      </c>
      <c r="F17" s="159">
        <f>+G17-E17</f>
        <v>943757.76501918584</v>
      </c>
      <c r="G17" s="159">
        <f>+G32</f>
        <v>9432006.3752004951</v>
      </c>
      <c r="H17" s="2" t="s">
        <v>775</v>
      </c>
      <c r="I17" s="2"/>
    </row>
    <row r="18" spans="1:34">
      <c r="A18" s="54"/>
      <c r="E18" s="19"/>
      <c r="F18" s="19"/>
      <c r="G18" s="19"/>
      <c r="H18" s="2"/>
      <c r="I18" s="2"/>
    </row>
    <row r="19" spans="1:34">
      <c r="A19" s="54">
        <v>3</v>
      </c>
      <c r="B19" s="36" t="s">
        <v>812</v>
      </c>
      <c r="E19" s="551">
        <f>+E15-E17</f>
        <v>25334354.866312824</v>
      </c>
      <c r="F19" s="551">
        <f>+F15-F17</f>
        <v>6149003.3246681616</v>
      </c>
      <c r="G19" s="551">
        <f>+G15-G17</f>
        <v>31483358.190980986</v>
      </c>
      <c r="H19" s="2"/>
      <c r="I19" s="2"/>
    </row>
    <row r="20" spans="1:34">
      <c r="A20" s="54"/>
      <c r="E20" s="19"/>
      <c r="F20" s="19"/>
      <c r="G20" s="19"/>
      <c r="H20" s="2"/>
      <c r="I20" s="2"/>
    </row>
    <row r="21" spans="1:34">
      <c r="A21" s="54">
        <v>4</v>
      </c>
      <c r="B21" s="36" t="s">
        <v>152</v>
      </c>
      <c r="E21" s="160">
        <f>0.05+0.21*(1-0.05)</f>
        <v>0.2495</v>
      </c>
      <c r="F21" s="160"/>
      <c r="G21" s="160">
        <f>Allocation!E25</f>
        <v>0.2495</v>
      </c>
      <c r="H21" s="2" t="s">
        <v>500</v>
      </c>
      <c r="I21" s="2"/>
    </row>
    <row r="22" spans="1:34">
      <c r="A22" s="54"/>
      <c r="E22" s="19"/>
      <c r="F22" s="19"/>
      <c r="G22" s="19"/>
      <c r="H22" s="2"/>
      <c r="I22" s="2"/>
    </row>
    <row r="23" spans="1:34" ht="16.5" thickBot="1">
      <c r="A23" s="54">
        <v>5</v>
      </c>
      <c r="B23" s="161" t="s">
        <v>1148</v>
      </c>
      <c r="E23" s="552">
        <f>+E19*E21</f>
        <v>6320921.5391450496</v>
      </c>
      <c r="F23" s="552">
        <f>+G23-E23</f>
        <v>1534176.329504706</v>
      </c>
      <c r="G23" s="553">
        <f>+G19*G21</f>
        <v>7855097.8686497556</v>
      </c>
      <c r="H23" s="2"/>
      <c r="I23" s="2"/>
    </row>
    <row r="24" spans="1:34" ht="16.5" thickTop="1">
      <c r="A24" s="54"/>
      <c r="B24" s="161"/>
      <c r="E24" s="72"/>
      <c r="F24" s="19"/>
      <c r="G24" s="162"/>
      <c r="H24" s="2"/>
      <c r="I24" s="2"/>
    </row>
    <row r="25" spans="1:34" ht="15.75">
      <c r="A25" s="54"/>
      <c r="B25" s="161"/>
      <c r="E25" s="72"/>
      <c r="F25" s="19"/>
      <c r="G25" s="162"/>
      <c r="H25" s="2"/>
      <c r="I25" s="2"/>
    </row>
    <row r="26" spans="1:34">
      <c r="A26" s="54"/>
      <c r="E26" s="19"/>
      <c r="F26" s="19"/>
      <c r="G26" s="19"/>
      <c r="H26" s="2"/>
      <c r="I26" s="2"/>
    </row>
    <row r="27" spans="1:34">
      <c r="A27" s="54"/>
      <c r="B27" s="163" t="s">
        <v>1149</v>
      </c>
      <c r="E27" s="19"/>
      <c r="F27" s="19"/>
      <c r="G27" s="19"/>
      <c r="H27" s="2"/>
      <c r="I27" s="2"/>
    </row>
    <row r="28" spans="1:34" s="1" customFormat="1">
      <c r="A28" s="54">
        <v>6</v>
      </c>
      <c r="B28" s="156" t="s">
        <v>22</v>
      </c>
      <c r="E28" s="554">
        <f>+'B.1 B'!F27</f>
        <v>414060907.81372249</v>
      </c>
      <c r="F28" s="155"/>
      <c r="G28" s="555">
        <f>+'B.1 F '!F27</f>
        <v>499515227.74746406</v>
      </c>
      <c r="H28" s="54" t="s">
        <v>367</v>
      </c>
      <c r="J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1" customFormat="1">
      <c r="A29" s="54"/>
      <c r="J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1" customFormat="1">
      <c r="A30" s="54">
        <v>7</v>
      </c>
      <c r="B30" s="156" t="s">
        <v>141</v>
      </c>
      <c r="E30" s="158">
        <f>J.1!N21</f>
        <v>2.0499999999999997E-2</v>
      </c>
      <c r="G30" s="158">
        <f>J.1!V21</f>
        <v>1.8882319999999998E-2</v>
      </c>
      <c r="H30" s="54" t="s">
        <v>1134</v>
      </c>
      <c r="I30" s="692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1" customFormat="1">
      <c r="A31" s="54"/>
      <c r="I31" s="592"/>
      <c r="J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1" customFormat="1" ht="15.75" thickBot="1">
      <c r="A32" s="54">
        <v>8</v>
      </c>
      <c r="B32" s="157" t="s">
        <v>1054</v>
      </c>
      <c r="E32" s="330">
        <f>+E28*E30</f>
        <v>8488248.6101813093</v>
      </c>
      <c r="G32" s="330">
        <f>+G28*G30</f>
        <v>9432006.3752004951</v>
      </c>
      <c r="J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1" customFormat="1" ht="15.75" thickTop="1">
      <c r="A33" s="54"/>
      <c r="J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1" customFormat="1">
      <c r="A34" s="54"/>
      <c r="B34" s="81"/>
      <c r="C34" s="81"/>
      <c r="D34" s="81"/>
      <c r="E34" s="81"/>
      <c r="F34" s="81"/>
      <c r="J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1" customFormat="1">
      <c r="A35" s="54">
        <v>9</v>
      </c>
      <c r="B35" s="1181" t="s">
        <v>1728</v>
      </c>
      <c r="C35" s="1182"/>
      <c r="D35" s="1182"/>
      <c r="E35" s="1182"/>
      <c r="F35" s="1182"/>
      <c r="I35" s="693"/>
      <c r="J35" s="692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54">
        <v>10</v>
      </c>
      <c r="B36" s="1183" t="s">
        <v>1150</v>
      </c>
      <c r="C36" s="1184"/>
      <c r="D36" s="1184"/>
      <c r="E36" s="1185">
        <v>0.05</v>
      </c>
      <c r="F36" s="1184"/>
      <c r="I36" s="693"/>
      <c r="J36" s="692"/>
    </row>
    <row r="37" spans="1:34">
      <c r="A37" s="54">
        <v>11</v>
      </c>
      <c r="B37" s="653" t="s">
        <v>1151</v>
      </c>
      <c r="C37" s="654"/>
      <c r="D37" s="654"/>
      <c r="E37" s="655">
        <v>0.21</v>
      </c>
      <c r="F37" s="654"/>
      <c r="I37" s="693"/>
      <c r="J37" s="692"/>
    </row>
    <row r="38" spans="1:34">
      <c r="B38" s="654"/>
      <c r="C38" s="654"/>
      <c r="D38" s="654"/>
      <c r="E38" s="655"/>
      <c r="F38" s="654"/>
      <c r="I38" s="692"/>
      <c r="J38" s="692"/>
    </row>
    <row r="39" spans="1:34">
      <c r="E39" s="164"/>
    </row>
    <row r="40" spans="1:34">
      <c r="E40" s="164"/>
    </row>
    <row r="41" spans="1:34">
      <c r="G41" s="694"/>
    </row>
    <row r="43" spans="1:34">
      <c r="E43" s="164"/>
    </row>
  </sheetData>
  <mergeCells count="5">
    <mergeCell ref="A2:H2"/>
    <mergeCell ref="A3:H3"/>
    <mergeCell ref="A4:H4"/>
    <mergeCell ref="A5:H5"/>
    <mergeCell ref="A1:H1"/>
  </mergeCells>
  <phoneticPr fontId="22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activeCell="D31" sqref="D31"/>
    </sheetView>
  </sheetViews>
  <sheetFormatPr defaultRowHeight="15"/>
  <cols>
    <col min="3" max="3" width="45.44140625" customWidth="1"/>
  </cols>
  <sheetData>
    <row r="1" spans="1:3">
      <c r="A1" s="1195" t="str">
        <f>'Table of Contents'!A1:C1</f>
        <v>Atmos Energy Corporation, Kentucky/Mid-States Division</v>
      </c>
      <c r="B1" s="1195"/>
      <c r="C1" s="1195"/>
    </row>
    <row r="2" spans="1:3">
      <c r="A2" s="1195" t="str">
        <f>'Table of Contents'!A2:C2</f>
        <v>Kentucky Jurisdiction Case No. 2018-00281</v>
      </c>
      <c r="B2" s="1195"/>
      <c r="C2" s="1195"/>
    </row>
    <row r="3" spans="1:3">
      <c r="A3" s="1195" t="str">
        <f>'Table of Contents'!A3:C3</f>
        <v>Base Period: Twelve Months Ended December 31, 2018</v>
      </c>
      <c r="B3" s="1195"/>
      <c r="C3" s="1195"/>
    </row>
    <row r="4" spans="1:3">
      <c r="A4" s="1195" t="str">
        <f>'Table of Contents'!A4:C4</f>
        <v>Forecasted Test Period: Twelve Months Ended March 31, 2020</v>
      </c>
      <c r="B4" s="1195"/>
      <c r="C4" s="1195"/>
    </row>
    <row r="11" spans="1:3">
      <c r="A11" s="1195" t="s">
        <v>1438</v>
      </c>
      <c r="B11" s="1195"/>
      <c r="C11" s="1195"/>
    </row>
    <row r="13" spans="1:3">
      <c r="A13" s="1195"/>
      <c r="B13" s="1195"/>
      <c r="C13" s="1195"/>
    </row>
    <row r="16" spans="1:3">
      <c r="A16" s="58" t="s">
        <v>58</v>
      </c>
      <c r="B16" s="58" t="s">
        <v>614</v>
      </c>
      <c r="C16" s="58" t="s">
        <v>985</v>
      </c>
    </row>
    <row r="18" spans="1:3">
      <c r="A18" t="s">
        <v>545</v>
      </c>
      <c r="B18" s="176">
        <v>2</v>
      </c>
      <c r="C18" t="s">
        <v>546</v>
      </c>
    </row>
    <row r="19" spans="1:3">
      <c r="A19" t="s">
        <v>547</v>
      </c>
      <c r="B19" s="176">
        <v>1</v>
      </c>
      <c r="C19" t="s">
        <v>548</v>
      </c>
    </row>
    <row r="20" spans="1:3">
      <c r="A20" t="s">
        <v>501</v>
      </c>
      <c r="B20" s="176">
        <v>1</v>
      </c>
      <c r="C20" t="s">
        <v>549</v>
      </c>
    </row>
    <row r="21" spans="1:3">
      <c r="A21" t="s">
        <v>550</v>
      </c>
      <c r="B21" s="176">
        <v>1</v>
      </c>
      <c r="C21" t="s">
        <v>551</v>
      </c>
    </row>
    <row r="22" spans="1:3">
      <c r="A22" t="s">
        <v>502</v>
      </c>
      <c r="B22" s="176">
        <v>1</v>
      </c>
      <c r="C22" t="s">
        <v>552</v>
      </c>
    </row>
    <row r="23" spans="1:3">
      <c r="A23" t="s">
        <v>553</v>
      </c>
      <c r="B23" s="176">
        <v>1</v>
      </c>
      <c r="C23" t="s">
        <v>954</v>
      </c>
    </row>
    <row r="24" spans="1:3">
      <c r="A24" t="s">
        <v>554</v>
      </c>
      <c r="B24" s="176">
        <v>1</v>
      </c>
      <c r="C24" t="s">
        <v>555</v>
      </c>
    </row>
    <row r="25" spans="1:3">
      <c r="A25" t="s">
        <v>556</v>
      </c>
      <c r="B25" s="176">
        <v>1</v>
      </c>
      <c r="C25" t="s">
        <v>220</v>
      </c>
    </row>
    <row r="26" spans="1:3">
      <c r="A26" t="s">
        <v>557</v>
      </c>
      <c r="B26" s="176">
        <v>1</v>
      </c>
      <c r="C26" t="s">
        <v>558</v>
      </c>
    </row>
    <row r="27" spans="1:3">
      <c r="A27" t="s">
        <v>972</v>
      </c>
      <c r="B27" s="176">
        <v>1</v>
      </c>
      <c r="C27" t="s">
        <v>559</v>
      </c>
    </row>
    <row r="28" spans="1:3">
      <c r="A28" t="s">
        <v>1299</v>
      </c>
      <c r="B28" s="677">
        <v>1</v>
      </c>
      <c r="C28" t="s">
        <v>1300</v>
      </c>
    </row>
    <row r="29" spans="1:3">
      <c r="A29" t="s">
        <v>1374</v>
      </c>
      <c r="B29" s="839">
        <v>1</v>
      </c>
      <c r="C29" t="s">
        <v>1487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76"/>
  <sheetViews>
    <sheetView view="pageBreakPreview" zoomScale="60" zoomScaleNormal="90" workbookViewId="0">
      <pane ySplit="11" topLeftCell="A12" activePane="bottomLeft" state="frozen"/>
      <selection activeCell="F45" sqref="F45"/>
      <selection pane="bottomLeft" activeCell="F67" sqref="F67"/>
    </sheetView>
  </sheetViews>
  <sheetFormatPr defaultColWidth="11.21875" defaultRowHeight="15"/>
  <cols>
    <col min="1" max="1" width="4.6640625" style="437" customWidth="1"/>
    <col min="2" max="2" width="9.5546875" style="437" customWidth="1"/>
    <col min="3" max="3" width="56.5546875" style="437" customWidth="1"/>
    <col min="4" max="4" width="10.6640625" style="437" customWidth="1"/>
    <col min="5" max="5" width="13.5546875" style="437" customWidth="1"/>
    <col min="6" max="6" width="11.6640625" style="437" customWidth="1"/>
    <col min="7" max="7" width="3.6640625" style="437" customWidth="1"/>
    <col min="8" max="8" width="7.6640625" style="437" customWidth="1"/>
    <col min="9" max="9" width="4.6640625" style="437" customWidth="1"/>
    <col min="10" max="10" width="23.6640625" style="437" customWidth="1"/>
    <col min="11" max="12" width="10.6640625" style="437" customWidth="1"/>
    <col min="13" max="13" width="11.6640625" style="437" customWidth="1"/>
    <col min="14" max="14" width="10.6640625" style="437" customWidth="1"/>
    <col min="15" max="15" width="9.6640625" style="437" customWidth="1"/>
    <col min="16" max="16" width="14.6640625" style="437" customWidth="1"/>
    <col min="17" max="17" width="5.6640625" style="437" customWidth="1"/>
    <col min="18" max="18" width="4.6640625" style="437" customWidth="1"/>
    <col min="19" max="19" width="9.6640625" style="437" customWidth="1"/>
    <col min="20" max="20" width="20.6640625" style="437" customWidth="1"/>
    <col min="21" max="21" width="9.6640625" style="437" customWidth="1"/>
    <col min="22" max="22" width="15.6640625" style="437" customWidth="1"/>
    <col min="23" max="23" width="9.6640625" style="437" customWidth="1"/>
    <col min="24" max="24" width="6.6640625" style="437" customWidth="1"/>
    <col min="25" max="25" width="9.6640625" style="437" customWidth="1"/>
    <col min="26" max="26" width="16.6640625" style="437" customWidth="1"/>
    <col min="27" max="27" width="9.6640625" style="437" customWidth="1"/>
    <col min="28" max="28" width="5.6640625" style="437" customWidth="1"/>
    <col min="29" max="29" width="10.6640625" style="437" customWidth="1"/>
    <col min="30" max="30" width="19.6640625" style="437" customWidth="1"/>
    <col min="31" max="31" width="9.6640625" style="437" customWidth="1"/>
    <col min="32" max="32" width="16.6640625" style="437" customWidth="1"/>
    <col min="33" max="33" width="11.21875" style="437"/>
    <col min="34" max="34" width="5.6640625" style="437" customWidth="1"/>
    <col min="35" max="35" width="10.6640625" style="437" customWidth="1"/>
    <col min="36" max="36" width="17.6640625" style="437" customWidth="1"/>
    <col min="37" max="37" width="10.6640625" style="437" customWidth="1"/>
    <col min="38" max="38" width="24.6640625" style="437" customWidth="1"/>
    <col min="39" max="40" width="9.6640625" style="437" customWidth="1"/>
    <col min="41" max="41" width="11.6640625" style="437" customWidth="1"/>
    <col min="42" max="43" width="9.6640625" style="437" customWidth="1"/>
    <col min="44" max="44" width="13.6640625" style="437" customWidth="1"/>
    <col min="45" max="45" width="19.6640625" style="437" customWidth="1"/>
    <col min="46" max="46" width="14.6640625" style="437" customWidth="1"/>
    <col min="47" max="50" width="11.21875" style="437"/>
    <col min="51" max="51" width="9.6640625" style="437" customWidth="1"/>
    <col min="52" max="52" width="14.6640625" style="437" customWidth="1"/>
    <col min="53" max="54" width="11.21875" style="437"/>
    <col min="55" max="55" width="12.6640625" style="437" customWidth="1"/>
    <col min="56" max="56" width="10.6640625" style="437" customWidth="1"/>
    <col min="57" max="16384" width="11.21875" style="437"/>
  </cols>
  <sheetData>
    <row r="1" spans="1:7" ht="15.75" customHeight="1">
      <c r="A1" s="1217" t="str">
        <f>'Table of Contents'!A1:C1</f>
        <v>Atmos Energy Corporation, Kentucky/Mid-States Division</v>
      </c>
      <c r="B1" s="1217"/>
      <c r="C1" s="1217"/>
      <c r="D1" s="1217"/>
      <c r="E1" s="1217"/>
      <c r="F1" s="1217"/>
    </row>
    <row r="2" spans="1:7" ht="15.75">
      <c r="A2" s="1217" t="str">
        <f>'Table of Contents'!A2:C2</f>
        <v>Kentucky Jurisdiction Case No. 2018-00281</v>
      </c>
      <c r="B2" s="1217"/>
      <c r="C2" s="1217"/>
      <c r="D2" s="1217"/>
      <c r="E2" s="1217"/>
      <c r="F2" s="1217"/>
    </row>
    <row r="3" spans="1:7" ht="15.75">
      <c r="A3" s="1217" t="s">
        <v>424</v>
      </c>
      <c r="B3" s="1217"/>
      <c r="C3" s="1217"/>
      <c r="D3" s="1217"/>
      <c r="E3" s="1217"/>
      <c r="F3" s="1217"/>
    </row>
    <row r="4" spans="1:7" ht="15.75">
      <c r="A4" s="1217" t="str">
        <f>'Table of Contents'!A3:C3</f>
        <v>Base Period: Twelve Months Ended December 31, 2018</v>
      </c>
      <c r="B4" s="1217"/>
      <c r="C4" s="1217"/>
      <c r="D4" s="1217"/>
      <c r="E4" s="1217"/>
      <c r="F4" s="1217"/>
    </row>
    <row r="5" spans="1:7" ht="15.75">
      <c r="A5" s="1217" t="str">
        <f>'Table of Contents'!A4:C4</f>
        <v>Forecasted Test Period: Twelve Months Ended March 31, 2020</v>
      </c>
      <c r="B5" s="1217"/>
      <c r="C5" s="1217"/>
      <c r="D5" s="1217"/>
      <c r="E5" s="1217"/>
      <c r="F5" s="1217"/>
    </row>
    <row r="7" spans="1:7" ht="15.75">
      <c r="A7" s="556" t="s">
        <v>803</v>
      </c>
      <c r="B7" s="438"/>
      <c r="F7" s="557" t="s">
        <v>1410</v>
      </c>
    </row>
    <row r="8" spans="1:7" ht="15.75">
      <c r="A8" s="556" t="s">
        <v>1122</v>
      </c>
      <c r="B8" s="438"/>
      <c r="F8" s="558" t="s">
        <v>174</v>
      </c>
    </row>
    <row r="9" spans="1:7" ht="15.75">
      <c r="A9" s="556" t="s">
        <v>426</v>
      </c>
      <c r="B9" s="438"/>
      <c r="F9" s="559" t="s">
        <v>1347</v>
      </c>
    </row>
    <row r="10" spans="1:7">
      <c r="A10" s="442" t="s">
        <v>93</v>
      </c>
      <c r="B10" s="443"/>
      <c r="C10" s="443"/>
      <c r="D10" s="442" t="s">
        <v>96</v>
      </c>
      <c r="E10" s="443"/>
      <c r="F10" s="443"/>
      <c r="G10" s="441"/>
    </row>
    <row r="11" spans="1:7">
      <c r="A11" s="444" t="s">
        <v>99</v>
      </c>
      <c r="B11" s="444" t="s">
        <v>175</v>
      </c>
      <c r="C11" s="444" t="s">
        <v>176</v>
      </c>
      <c r="D11" s="444" t="s">
        <v>593</v>
      </c>
      <c r="E11" s="444" t="s">
        <v>177</v>
      </c>
      <c r="F11" s="444" t="s">
        <v>594</v>
      </c>
      <c r="G11" s="441"/>
    </row>
    <row r="12" spans="1:7">
      <c r="A12" s="453"/>
      <c r="B12" s="453"/>
      <c r="C12" s="453"/>
      <c r="D12" s="453"/>
      <c r="E12" s="453"/>
      <c r="F12" s="453"/>
      <c r="G12" s="441"/>
    </row>
    <row r="13" spans="1:7" ht="15.75">
      <c r="A13" s="453"/>
      <c r="C13" s="455" t="s">
        <v>805</v>
      </c>
      <c r="D13" s="453"/>
      <c r="E13" s="453"/>
      <c r="F13" s="453"/>
      <c r="G13" s="441"/>
    </row>
    <row r="14" spans="1:7">
      <c r="G14" s="441"/>
    </row>
    <row r="15" spans="1:7">
      <c r="A15" s="445">
        <v>1</v>
      </c>
      <c r="B15" s="446" t="s">
        <v>624</v>
      </c>
      <c r="C15" s="799" t="s">
        <v>388</v>
      </c>
      <c r="D15" s="779">
        <f>[18]F.1!D15</f>
        <v>44365.33</v>
      </c>
      <c r="E15" s="447" t="s">
        <v>1059</v>
      </c>
      <c r="F15" s="445">
        <f t="shared" ref="F15:F37" si="0">D15</f>
        <v>44365.33</v>
      </c>
    </row>
    <row r="16" spans="1:7">
      <c r="A16" s="445">
        <f>A15+1</f>
        <v>2</v>
      </c>
      <c r="B16" s="446" t="s">
        <v>624</v>
      </c>
      <c r="C16" s="799" t="s">
        <v>1627</v>
      </c>
      <c r="D16" s="779">
        <f>[18]F.1!D16</f>
        <v>100</v>
      </c>
      <c r="E16" s="447"/>
      <c r="F16" s="445">
        <f t="shared" si="0"/>
        <v>100</v>
      </c>
    </row>
    <row r="17" spans="1:6">
      <c r="A17" s="445">
        <f t="shared" ref="A17:A80" si="1">A16+1</f>
        <v>3</v>
      </c>
      <c r="B17" s="446" t="s">
        <v>624</v>
      </c>
      <c r="C17" s="799" t="s">
        <v>1250</v>
      </c>
      <c r="D17" s="779">
        <f>[18]F.1!D17</f>
        <v>140</v>
      </c>
      <c r="E17" s="183"/>
      <c r="F17" s="445">
        <f t="shared" si="0"/>
        <v>140</v>
      </c>
    </row>
    <row r="18" spans="1:6">
      <c r="A18" s="445">
        <f t="shared" si="1"/>
        <v>4</v>
      </c>
      <c r="B18" s="446" t="s">
        <v>624</v>
      </c>
      <c r="C18" s="799" t="s">
        <v>1628</v>
      </c>
      <c r="D18" s="779">
        <f>[18]F.1!D18</f>
        <v>100</v>
      </c>
      <c r="E18" s="183"/>
      <c r="F18" s="445">
        <f t="shared" si="0"/>
        <v>100</v>
      </c>
    </row>
    <row r="19" spans="1:6">
      <c r="A19" s="445">
        <f t="shared" si="1"/>
        <v>5</v>
      </c>
      <c r="B19" s="446" t="s">
        <v>624</v>
      </c>
      <c r="C19" s="799" t="s">
        <v>1629</v>
      </c>
      <c r="D19" s="779">
        <f>[18]F.1!D19</f>
        <v>26.95</v>
      </c>
      <c r="E19" s="183"/>
      <c r="F19" s="445">
        <f t="shared" si="0"/>
        <v>26.95</v>
      </c>
    </row>
    <row r="20" spans="1:6">
      <c r="A20" s="445">
        <f t="shared" si="1"/>
        <v>6</v>
      </c>
      <c r="B20" s="446" t="s">
        <v>624</v>
      </c>
      <c r="C20" s="799" t="s">
        <v>1587</v>
      </c>
      <c r="D20" s="779">
        <f>[18]F.1!D20</f>
        <v>130</v>
      </c>
      <c r="E20" s="183"/>
      <c r="F20" s="445">
        <f t="shared" si="0"/>
        <v>130</v>
      </c>
    </row>
    <row r="21" spans="1:6">
      <c r="A21" s="445">
        <f t="shared" si="1"/>
        <v>7</v>
      </c>
      <c r="B21" s="446" t="s">
        <v>624</v>
      </c>
      <c r="C21" s="799" t="s">
        <v>1630</v>
      </c>
      <c r="D21" s="779">
        <f>[18]F.1!D21</f>
        <v>75</v>
      </c>
      <c r="E21" s="183"/>
      <c r="F21" s="445">
        <f t="shared" si="0"/>
        <v>75</v>
      </c>
    </row>
    <row r="22" spans="1:6">
      <c r="A22" s="445">
        <f t="shared" si="1"/>
        <v>8</v>
      </c>
      <c r="B22" s="446" t="s">
        <v>624</v>
      </c>
      <c r="C22" s="799" t="s">
        <v>1585</v>
      </c>
      <c r="D22" s="779">
        <f>[18]F.1!D22</f>
        <v>200</v>
      </c>
      <c r="E22" s="183"/>
      <c r="F22" s="445">
        <f t="shared" si="0"/>
        <v>200</v>
      </c>
    </row>
    <row r="23" spans="1:6">
      <c r="A23" s="445">
        <f t="shared" si="1"/>
        <v>9</v>
      </c>
      <c r="B23" s="446" t="s">
        <v>624</v>
      </c>
      <c r="C23" s="799" t="s">
        <v>1631</v>
      </c>
      <c r="D23" s="779">
        <f>[18]F.1!D23</f>
        <v>59</v>
      </c>
      <c r="E23" s="183"/>
      <c r="F23" s="445">
        <f t="shared" si="0"/>
        <v>59</v>
      </c>
    </row>
    <row r="24" spans="1:6">
      <c r="A24" s="445">
        <f t="shared" si="1"/>
        <v>10</v>
      </c>
      <c r="B24" s="446" t="s">
        <v>624</v>
      </c>
      <c r="C24" s="799" t="s">
        <v>1588</v>
      </c>
      <c r="D24" s="779">
        <f>[18]F.1!D24</f>
        <v>510</v>
      </c>
      <c r="E24" s="183"/>
      <c r="F24" s="445">
        <f t="shared" si="0"/>
        <v>510</v>
      </c>
    </row>
    <row r="25" spans="1:6">
      <c r="A25" s="445">
        <f t="shared" si="1"/>
        <v>11</v>
      </c>
      <c r="B25" s="446" t="s">
        <v>624</v>
      </c>
      <c r="C25" s="799" t="s">
        <v>1632</v>
      </c>
      <c r="D25" s="779">
        <f>[18]F.1!D25</f>
        <v>2500</v>
      </c>
      <c r="E25" s="183"/>
      <c r="F25" s="445">
        <f t="shared" si="0"/>
        <v>2500</v>
      </c>
    </row>
    <row r="26" spans="1:6">
      <c r="A26" s="445">
        <f t="shared" si="1"/>
        <v>12</v>
      </c>
      <c r="B26" s="446" t="s">
        <v>624</v>
      </c>
      <c r="C26" s="799" t="s">
        <v>1632</v>
      </c>
      <c r="D26" s="779">
        <f>[18]F.1!D26</f>
        <v>1250</v>
      </c>
      <c r="E26" s="183"/>
      <c r="F26" s="445">
        <f t="shared" si="0"/>
        <v>1250</v>
      </c>
    </row>
    <row r="27" spans="1:6">
      <c r="A27" s="445">
        <f t="shared" si="1"/>
        <v>13</v>
      </c>
      <c r="B27" s="446" t="s">
        <v>624</v>
      </c>
      <c r="C27" s="799" t="s">
        <v>1632</v>
      </c>
      <c r="D27" s="779">
        <f>[18]F.1!D27</f>
        <v>75</v>
      </c>
      <c r="E27" s="183"/>
      <c r="F27" s="445">
        <f t="shared" si="0"/>
        <v>75</v>
      </c>
    </row>
    <row r="28" spans="1:6">
      <c r="A28" s="445">
        <f t="shared" si="1"/>
        <v>14</v>
      </c>
      <c r="B28" s="446" t="s">
        <v>624</v>
      </c>
      <c r="C28" s="799" t="s">
        <v>1243</v>
      </c>
      <c r="D28" s="779">
        <f>[18]F.1!D28</f>
        <v>200</v>
      </c>
      <c r="E28" s="183"/>
      <c r="F28" s="445">
        <f t="shared" si="0"/>
        <v>200</v>
      </c>
    </row>
    <row r="29" spans="1:6">
      <c r="A29" s="445">
        <f t="shared" si="1"/>
        <v>15</v>
      </c>
      <c r="B29" s="446" t="s">
        <v>624</v>
      </c>
      <c r="C29" s="799" t="s">
        <v>1583</v>
      </c>
      <c r="D29" s="779">
        <f>[18]F.1!D29</f>
        <v>150</v>
      </c>
      <c r="E29" s="183"/>
      <c r="F29" s="445">
        <f t="shared" si="0"/>
        <v>150</v>
      </c>
    </row>
    <row r="30" spans="1:6">
      <c r="A30" s="445">
        <f t="shared" si="1"/>
        <v>16</v>
      </c>
      <c r="B30" s="446" t="s">
        <v>624</v>
      </c>
      <c r="C30" s="799" t="s">
        <v>1582</v>
      </c>
      <c r="D30" s="779">
        <f>[18]F.1!D30</f>
        <v>300</v>
      </c>
      <c r="E30" s="183"/>
      <c r="F30" s="445">
        <f t="shared" si="0"/>
        <v>300</v>
      </c>
    </row>
    <row r="31" spans="1:6">
      <c r="A31" s="445">
        <f t="shared" si="1"/>
        <v>17</v>
      </c>
      <c r="B31" s="446" t="s">
        <v>624</v>
      </c>
      <c r="C31" s="799" t="s">
        <v>1633</v>
      </c>
      <c r="D31" s="779">
        <f>[18]F.1!D31</f>
        <v>235</v>
      </c>
      <c r="E31" s="183"/>
      <c r="F31" s="445">
        <f t="shared" si="0"/>
        <v>235</v>
      </c>
    </row>
    <row r="32" spans="1:6">
      <c r="A32" s="445">
        <f t="shared" si="1"/>
        <v>18</v>
      </c>
      <c r="B32" s="446" t="s">
        <v>624</v>
      </c>
      <c r="C32" s="799" t="s">
        <v>1249</v>
      </c>
      <c r="D32" s="779">
        <f>[18]F.1!D32</f>
        <v>250</v>
      </c>
      <c r="E32" s="183"/>
      <c r="F32" s="445">
        <f t="shared" si="0"/>
        <v>250</v>
      </c>
    </row>
    <row r="33" spans="1:6">
      <c r="A33" s="445">
        <f t="shared" si="1"/>
        <v>19</v>
      </c>
      <c r="B33" s="446" t="s">
        <v>624</v>
      </c>
      <c r="C33" s="799" t="s">
        <v>1634</v>
      </c>
      <c r="D33" s="779">
        <f>[18]F.1!D33</f>
        <v>421</v>
      </c>
      <c r="E33" s="183"/>
      <c r="F33" s="445">
        <f t="shared" si="0"/>
        <v>421</v>
      </c>
    </row>
    <row r="34" spans="1:6">
      <c r="A34" s="445">
        <f t="shared" si="1"/>
        <v>20</v>
      </c>
      <c r="B34" s="446" t="s">
        <v>624</v>
      </c>
      <c r="C34" s="799" t="s">
        <v>1252</v>
      </c>
      <c r="D34" s="779">
        <f>[18]F.1!D34</f>
        <v>300</v>
      </c>
      <c r="E34" s="183"/>
      <c r="F34" s="445">
        <f t="shared" si="0"/>
        <v>300</v>
      </c>
    </row>
    <row r="35" spans="1:6">
      <c r="A35" s="445">
        <f t="shared" si="1"/>
        <v>21</v>
      </c>
      <c r="B35" s="446" t="s">
        <v>624</v>
      </c>
      <c r="C35" s="799" t="s">
        <v>1253</v>
      </c>
      <c r="D35" s="779">
        <f>[18]F.1!D35</f>
        <v>350</v>
      </c>
      <c r="E35" s="183"/>
      <c r="F35" s="445">
        <f t="shared" si="0"/>
        <v>350</v>
      </c>
    </row>
    <row r="36" spans="1:6">
      <c r="A36" s="445">
        <f t="shared" si="1"/>
        <v>22</v>
      </c>
      <c r="B36" s="446" t="s">
        <v>624</v>
      </c>
      <c r="C36" s="799" t="s">
        <v>1400</v>
      </c>
      <c r="D36" s="779">
        <f>[18]F.1!D36</f>
        <v>10000</v>
      </c>
      <c r="E36" s="183"/>
      <c r="F36" s="445">
        <f t="shared" si="0"/>
        <v>10000</v>
      </c>
    </row>
    <row r="37" spans="1:6">
      <c r="A37" s="445">
        <f t="shared" si="1"/>
        <v>23</v>
      </c>
      <c r="B37" s="446" t="s">
        <v>624</v>
      </c>
      <c r="C37" s="799" t="s">
        <v>1584</v>
      </c>
      <c r="D37" s="779">
        <f>[18]F.1!D37</f>
        <v>13735</v>
      </c>
      <c r="E37" s="183"/>
      <c r="F37" s="445">
        <f t="shared" si="0"/>
        <v>13735</v>
      </c>
    </row>
    <row r="38" spans="1:6">
      <c r="A38" s="445">
        <f t="shared" si="1"/>
        <v>24</v>
      </c>
      <c r="B38" s="446" t="s">
        <v>624</v>
      </c>
      <c r="C38" s="799" t="s">
        <v>1402</v>
      </c>
      <c r="D38" s="779">
        <f>[18]F.1!D38</f>
        <v>400</v>
      </c>
      <c r="E38" s="447"/>
      <c r="F38" s="445">
        <f t="shared" ref="F38:F59" si="2">D38</f>
        <v>400</v>
      </c>
    </row>
    <row r="39" spans="1:6">
      <c r="A39" s="445">
        <f t="shared" si="1"/>
        <v>25</v>
      </c>
      <c r="B39" s="446" t="s">
        <v>624</v>
      </c>
      <c r="C39" s="799" t="s">
        <v>1635</v>
      </c>
      <c r="D39" s="779">
        <f>[18]F.1!D39</f>
        <v>150</v>
      </c>
      <c r="F39" s="445">
        <f t="shared" si="2"/>
        <v>150</v>
      </c>
    </row>
    <row r="40" spans="1:6">
      <c r="A40" s="445">
        <f t="shared" si="1"/>
        <v>26</v>
      </c>
      <c r="B40" s="446" t="s">
        <v>624</v>
      </c>
      <c r="C40" s="799" t="s">
        <v>1246</v>
      </c>
      <c r="D40" s="779">
        <f>[18]F.1!D40</f>
        <v>760</v>
      </c>
      <c r="F40" s="445">
        <f t="shared" si="2"/>
        <v>760</v>
      </c>
    </row>
    <row r="41" spans="1:6">
      <c r="A41" s="445">
        <f t="shared" si="1"/>
        <v>27</v>
      </c>
      <c r="B41" s="446" t="s">
        <v>624</v>
      </c>
      <c r="C41" s="799" t="s">
        <v>1248</v>
      </c>
      <c r="D41" s="779">
        <f>[18]F.1!D41</f>
        <v>295</v>
      </c>
      <c r="F41" s="445">
        <f t="shared" si="2"/>
        <v>295</v>
      </c>
    </row>
    <row r="42" spans="1:6">
      <c r="A42" s="445">
        <f t="shared" si="1"/>
        <v>28</v>
      </c>
      <c r="B42" s="446" t="s">
        <v>624</v>
      </c>
      <c r="C42" s="799" t="s">
        <v>1242</v>
      </c>
      <c r="D42" s="779">
        <f>[18]F.1!D42</f>
        <v>300</v>
      </c>
      <c r="E42" s="439" t="s">
        <v>323</v>
      </c>
      <c r="F42" s="445">
        <f t="shared" si="2"/>
        <v>300</v>
      </c>
    </row>
    <row r="43" spans="1:6">
      <c r="A43" s="445">
        <f t="shared" si="1"/>
        <v>29</v>
      </c>
      <c r="B43" s="446" t="s">
        <v>624</v>
      </c>
      <c r="C43" s="799" t="s">
        <v>1242</v>
      </c>
      <c r="D43" s="779">
        <f>[18]F.1!D43</f>
        <v>3000</v>
      </c>
      <c r="F43" s="445">
        <f t="shared" si="2"/>
        <v>3000</v>
      </c>
    </row>
    <row r="44" spans="1:6">
      <c r="A44" s="445">
        <f t="shared" si="1"/>
        <v>30</v>
      </c>
      <c r="B44" s="446" t="s">
        <v>624</v>
      </c>
      <c r="C44" s="799" t="s">
        <v>1636</v>
      </c>
      <c r="D44" s="779">
        <f>[18]F.1!D44</f>
        <v>200</v>
      </c>
      <c r="F44" s="445">
        <f t="shared" si="2"/>
        <v>200</v>
      </c>
    </row>
    <row r="45" spans="1:6">
      <c r="A45" s="445">
        <f t="shared" si="1"/>
        <v>31</v>
      </c>
      <c r="B45" s="446" t="s">
        <v>624</v>
      </c>
      <c r="C45" s="799" t="s">
        <v>1637</v>
      </c>
      <c r="D45" s="779">
        <f>[18]F.1!D45</f>
        <v>775</v>
      </c>
      <c r="F45" s="445">
        <f t="shared" si="2"/>
        <v>775</v>
      </c>
    </row>
    <row r="46" spans="1:6">
      <c r="A46" s="445">
        <f t="shared" si="1"/>
        <v>32</v>
      </c>
      <c r="B46" s="446" t="s">
        <v>624</v>
      </c>
      <c r="C46" s="799" t="s">
        <v>1638</v>
      </c>
      <c r="D46" s="779">
        <f>[18]F.1!D46</f>
        <v>2500</v>
      </c>
      <c r="F46" s="445">
        <f t="shared" si="2"/>
        <v>2500</v>
      </c>
    </row>
    <row r="47" spans="1:6">
      <c r="A47" s="445">
        <f t="shared" si="1"/>
        <v>33</v>
      </c>
      <c r="B47" s="446" t="s">
        <v>624</v>
      </c>
      <c r="C47" s="799" t="s">
        <v>1245</v>
      </c>
      <c r="D47" s="779">
        <f>[18]F.1!D47</f>
        <v>187</v>
      </c>
      <c r="E47" s="439" t="s">
        <v>323</v>
      </c>
      <c r="F47" s="445">
        <f t="shared" si="2"/>
        <v>187</v>
      </c>
    </row>
    <row r="48" spans="1:6">
      <c r="A48" s="445">
        <f t="shared" si="1"/>
        <v>34</v>
      </c>
      <c r="B48" s="446" t="s">
        <v>624</v>
      </c>
      <c r="C48" s="799" t="s">
        <v>1254</v>
      </c>
      <c r="D48" s="779">
        <f>[18]F.1!D48</f>
        <v>2999.4</v>
      </c>
      <c r="F48" s="445">
        <f t="shared" si="2"/>
        <v>2999.4</v>
      </c>
    </row>
    <row r="49" spans="1:6">
      <c r="A49" s="445">
        <f t="shared" si="1"/>
        <v>35</v>
      </c>
      <c r="B49" s="446" t="s">
        <v>624</v>
      </c>
      <c r="C49" s="799" t="s">
        <v>1639</v>
      </c>
      <c r="D49" s="779">
        <f>[18]F.1!D49</f>
        <v>11000</v>
      </c>
      <c r="F49" s="445">
        <f t="shared" si="2"/>
        <v>11000</v>
      </c>
    </row>
    <row r="50" spans="1:6">
      <c r="A50" s="445">
        <f t="shared" si="1"/>
        <v>36</v>
      </c>
      <c r="B50" s="446" t="s">
        <v>624</v>
      </c>
      <c r="C50" s="799" t="s">
        <v>1399</v>
      </c>
      <c r="D50" s="779">
        <f>[18]F.1!D50</f>
        <v>1348.08</v>
      </c>
      <c r="F50" s="445">
        <f t="shared" si="2"/>
        <v>1348.08</v>
      </c>
    </row>
    <row r="51" spans="1:6">
      <c r="A51" s="445">
        <f t="shared" si="1"/>
        <v>37</v>
      </c>
      <c r="B51" s="446" t="s">
        <v>624</v>
      </c>
      <c r="C51" s="799" t="s">
        <v>1640</v>
      </c>
      <c r="D51" s="779">
        <f>[18]F.1!D51</f>
        <v>100</v>
      </c>
      <c r="F51" s="445">
        <f t="shared" si="2"/>
        <v>100</v>
      </c>
    </row>
    <row r="52" spans="1:6">
      <c r="A52" s="445">
        <f t="shared" si="1"/>
        <v>38</v>
      </c>
      <c r="B52" s="446" t="s">
        <v>624</v>
      </c>
      <c r="C52" s="799" t="s">
        <v>1641</v>
      </c>
      <c r="D52" s="779">
        <f>[18]F.1!D52</f>
        <v>395</v>
      </c>
      <c r="F52" s="445">
        <f t="shared" si="2"/>
        <v>395</v>
      </c>
    </row>
    <row r="53" spans="1:6">
      <c r="A53" s="445">
        <f t="shared" si="1"/>
        <v>39</v>
      </c>
      <c r="B53" s="446" t="s">
        <v>624</v>
      </c>
      <c r="C53" s="799" t="s">
        <v>1642</v>
      </c>
      <c r="D53" s="779">
        <f>[18]F.1!D53</f>
        <v>7500</v>
      </c>
      <c r="F53" s="445">
        <f t="shared" si="2"/>
        <v>7500</v>
      </c>
    </row>
    <row r="54" spans="1:6">
      <c r="A54" s="445">
        <f t="shared" si="1"/>
        <v>40</v>
      </c>
      <c r="B54" s="446" t="s">
        <v>624</v>
      </c>
      <c r="C54" s="799" t="s">
        <v>1643</v>
      </c>
      <c r="D54" s="779">
        <f>[18]F.1!D54</f>
        <v>305</v>
      </c>
      <c r="F54" s="445">
        <f t="shared" si="2"/>
        <v>305</v>
      </c>
    </row>
    <row r="55" spans="1:6">
      <c r="A55" s="445">
        <f t="shared" si="1"/>
        <v>41</v>
      </c>
      <c r="B55" s="446" t="s">
        <v>624</v>
      </c>
      <c r="C55" s="799" t="s">
        <v>1644</v>
      </c>
      <c r="D55" s="779">
        <f>[18]F.1!D55</f>
        <v>200</v>
      </c>
      <c r="F55" s="445">
        <f t="shared" si="2"/>
        <v>200</v>
      </c>
    </row>
    <row r="56" spans="1:6">
      <c r="A56" s="445">
        <f t="shared" si="1"/>
        <v>42</v>
      </c>
      <c r="B56" s="446" t="s">
        <v>624</v>
      </c>
      <c r="C56" s="799" t="s">
        <v>1645</v>
      </c>
      <c r="D56" s="779">
        <f>[18]F.1!D56</f>
        <v>415</v>
      </c>
      <c r="F56" s="445">
        <f t="shared" si="2"/>
        <v>415</v>
      </c>
    </row>
    <row r="57" spans="1:6">
      <c r="A57" s="445">
        <f t="shared" si="1"/>
        <v>43</v>
      </c>
      <c r="B57" s="446" t="s">
        <v>624</v>
      </c>
      <c r="C57" s="799" t="s">
        <v>1646</v>
      </c>
      <c r="D57" s="779">
        <f>[18]F.1!D57</f>
        <v>421</v>
      </c>
      <c r="F57" s="445">
        <f t="shared" si="2"/>
        <v>421</v>
      </c>
    </row>
    <row r="58" spans="1:6">
      <c r="A58" s="445">
        <f t="shared" si="1"/>
        <v>44</v>
      </c>
      <c r="B58" s="446" t="s">
        <v>624</v>
      </c>
      <c r="C58" s="799" t="s">
        <v>1581</v>
      </c>
      <c r="D58" s="779">
        <f>[18]F.1!D58</f>
        <v>256</v>
      </c>
      <c r="F58" s="445">
        <f t="shared" si="2"/>
        <v>256</v>
      </c>
    </row>
    <row r="59" spans="1:6">
      <c r="A59" s="445">
        <f t="shared" si="1"/>
        <v>45</v>
      </c>
      <c r="B59" s="446" t="s">
        <v>624</v>
      </c>
      <c r="C59" s="799" t="s">
        <v>1647</v>
      </c>
      <c r="D59" s="779">
        <f>[18]F.1!D59</f>
        <v>500</v>
      </c>
      <c r="F59" s="445">
        <f t="shared" si="2"/>
        <v>500</v>
      </c>
    </row>
    <row r="60" spans="1:6">
      <c r="A60" s="445">
        <f t="shared" si="1"/>
        <v>46</v>
      </c>
      <c r="B60" s="446" t="s">
        <v>624</v>
      </c>
      <c r="C60" s="799" t="s">
        <v>1244</v>
      </c>
      <c r="D60" s="779">
        <f>[18]F.1!D60</f>
        <v>100</v>
      </c>
      <c r="E60" s="447"/>
      <c r="F60" s="445">
        <f t="shared" ref="F60:F85" si="3">D60</f>
        <v>100</v>
      </c>
    </row>
    <row r="61" spans="1:6">
      <c r="A61" s="445">
        <f t="shared" si="1"/>
        <v>47</v>
      </c>
      <c r="B61" s="446" t="s">
        <v>624</v>
      </c>
      <c r="C61" s="799" t="s">
        <v>1579</v>
      </c>
      <c r="D61" s="779">
        <f>[18]F.1!D61</f>
        <v>100</v>
      </c>
      <c r="F61" s="445">
        <f t="shared" si="3"/>
        <v>100</v>
      </c>
    </row>
    <row r="62" spans="1:6">
      <c r="A62" s="445">
        <f t="shared" si="1"/>
        <v>48</v>
      </c>
      <c r="B62" s="446" t="s">
        <v>624</v>
      </c>
      <c r="C62" s="799" t="s">
        <v>1648</v>
      </c>
      <c r="D62" s="779">
        <f>[18]F.1!D62</f>
        <v>75</v>
      </c>
      <c r="F62" s="445">
        <f t="shared" si="3"/>
        <v>75</v>
      </c>
    </row>
    <row r="63" spans="1:6">
      <c r="A63" s="445">
        <f t="shared" si="1"/>
        <v>49</v>
      </c>
      <c r="B63" s="450" t="s">
        <v>624</v>
      </c>
      <c r="C63" s="799" t="s">
        <v>1645</v>
      </c>
      <c r="D63" s="779">
        <f>[18]F.1!D63</f>
        <v>450</v>
      </c>
      <c r="F63" s="445">
        <f t="shared" si="3"/>
        <v>450</v>
      </c>
    </row>
    <row r="64" spans="1:6">
      <c r="A64" s="445">
        <f t="shared" si="1"/>
        <v>50</v>
      </c>
      <c r="B64" s="446" t="s">
        <v>624</v>
      </c>
      <c r="C64" s="799" t="s">
        <v>1649</v>
      </c>
      <c r="D64" s="779">
        <f>[18]F.1!D64</f>
        <v>100</v>
      </c>
      <c r="F64" s="445">
        <f t="shared" si="3"/>
        <v>100</v>
      </c>
    </row>
    <row r="65" spans="1:6">
      <c r="A65" s="445">
        <f t="shared" si="1"/>
        <v>51</v>
      </c>
      <c r="B65" s="446" t="s">
        <v>624</v>
      </c>
      <c r="C65" s="799" t="s">
        <v>1580</v>
      </c>
      <c r="D65" s="779">
        <f>[18]F.1!D65</f>
        <v>1000</v>
      </c>
      <c r="F65" s="445">
        <f t="shared" si="3"/>
        <v>1000</v>
      </c>
    </row>
    <row r="66" spans="1:6">
      <c r="A66" s="445">
        <f t="shared" si="1"/>
        <v>52</v>
      </c>
      <c r="B66" s="446" t="s">
        <v>624</v>
      </c>
      <c r="C66" s="799" t="s">
        <v>1650</v>
      </c>
      <c r="D66" s="779">
        <f>[18]F.1!D66</f>
        <v>300</v>
      </c>
      <c r="F66" s="445">
        <f t="shared" si="3"/>
        <v>300</v>
      </c>
    </row>
    <row r="67" spans="1:6">
      <c r="A67" s="445">
        <f t="shared" si="1"/>
        <v>53</v>
      </c>
      <c r="B67" s="446" t="s">
        <v>624</v>
      </c>
      <c r="C67" s="799" t="s">
        <v>1651</v>
      </c>
      <c r="D67" s="779">
        <f>[18]F.1!D67</f>
        <v>155</v>
      </c>
      <c r="F67" s="445">
        <f t="shared" si="3"/>
        <v>155</v>
      </c>
    </row>
    <row r="68" spans="1:6">
      <c r="A68" s="445">
        <f t="shared" si="1"/>
        <v>54</v>
      </c>
      <c r="B68" s="446" t="s">
        <v>624</v>
      </c>
      <c r="C68" s="799" t="s">
        <v>1652</v>
      </c>
      <c r="D68" s="779">
        <f>[18]F.1!D68</f>
        <v>34.340000000000003</v>
      </c>
      <c r="F68" s="445">
        <f t="shared" si="3"/>
        <v>34.340000000000003</v>
      </c>
    </row>
    <row r="69" spans="1:6">
      <c r="A69" s="445">
        <f t="shared" si="1"/>
        <v>55</v>
      </c>
      <c r="B69" s="446" t="s">
        <v>624</v>
      </c>
      <c r="C69" s="799" t="s">
        <v>1653</v>
      </c>
      <c r="D69" s="779">
        <f>[18]F.1!D69</f>
        <v>140</v>
      </c>
      <c r="F69" s="445">
        <f t="shared" si="3"/>
        <v>140</v>
      </c>
    </row>
    <row r="70" spans="1:6">
      <c r="A70" s="445">
        <f t="shared" si="1"/>
        <v>56</v>
      </c>
      <c r="B70" s="446" t="s">
        <v>624</v>
      </c>
      <c r="C70" s="799" t="s">
        <v>1654</v>
      </c>
      <c r="D70" s="779">
        <f>[18]F.1!D70</f>
        <v>50</v>
      </c>
      <c r="F70" s="445">
        <f t="shared" si="3"/>
        <v>50</v>
      </c>
    </row>
    <row r="71" spans="1:6">
      <c r="A71" s="445">
        <f t="shared" si="1"/>
        <v>57</v>
      </c>
      <c r="B71" s="446" t="s">
        <v>624</v>
      </c>
      <c r="C71" s="799" t="s">
        <v>1655</v>
      </c>
      <c r="D71" s="779">
        <f>[18]F.1!D71</f>
        <v>50</v>
      </c>
      <c r="F71" s="445">
        <f t="shared" si="3"/>
        <v>50</v>
      </c>
    </row>
    <row r="72" spans="1:6">
      <c r="A72" s="445">
        <f t="shared" si="1"/>
        <v>58</v>
      </c>
      <c r="B72" s="446" t="s">
        <v>624</v>
      </c>
      <c r="C72" s="799" t="s">
        <v>1654</v>
      </c>
      <c r="D72" s="779">
        <f>[18]F.1!D72</f>
        <v>20</v>
      </c>
      <c r="F72" s="445">
        <f t="shared" si="3"/>
        <v>20</v>
      </c>
    </row>
    <row r="73" spans="1:6">
      <c r="A73" s="445">
        <f t="shared" si="1"/>
        <v>59</v>
      </c>
      <c r="B73" s="446" t="s">
        <v>624</v>
      </c>
      <c r="C73" s="799" t="s">
        <v>1656</v>
      </c>
      <c r="D73" s="779">
        <f>[18]F.1!D73</f>
        <v>70</v>
      </c>
      <c r="F73" s="445">
        <f t="shared" si="3"/>
        <v>70</v>
      </c>
    </row>
    <row r="74" spans="1:6">
      <c r="A74" s="445">
        <f t="shared" si="1"/>
        <v>60</v>
      </c>
      <c r="B74" s="446" t="s">
        <v>624</v>
      </c>
      <c r="C74" s="799" t="s">
        <v>1657</v>
      </c>
      <c r="D74" s="779">
        <f>[18]F.1!D74</f>
        <v>38</v>
      </c>
      <c r="F74" s="445">
        <f t="shared" si="3"/>
        <v>38</v>
      </c>
    </row>
    <row r="75" spans="1:6">
      <c r="A75" s="445">
        <f t="shared" si="1"/>
        <v>61</v>
      </c>
      <c r="B75" s="446" t="s">
        <v>624</v>
      </c>
      <c r="C75" s="799" t="s">
        <v>1658</v>
      </c>
      <c r="D75" s="779">
        <f>[18]F.1!D75</f>
        <v>264</v>
      </c>
      <c r="F75" s="445">
        <f t="shared" si="3"/>
        <v>264</v>
      </c>
    </row>
    <row r="76" spans="1:6">
      <c r="A76" s="445">
        <f t="shared" si="1"/>
        <v>62</v>
      </c>
      <c r="B76" s="446" t="s">
        <v>624</v>
      </c>
      <c r="C76" s="799" t="s">
        <v>1659</v>
      </c>
      <c r="D76" s="779">
        <f>[18]F.1!D76</f>
        <v>409.4</v>
      </c>
      <c r="E76" s="456"/>
      <c r="F76" s="445">
        <f t="shared" si="3"/>
        <v>409.4</v>
      </c>
    </row>
    <row r="77" spans="1:6">
      <c r="A77" s="445">
        <f t="shared" si="1"/>
        <v>63</v>
      </c>
      <c r="B77" s="446" t="s">
        <v>624</v>
      </c>
      <c r="C77" s="799" t="s">
        <v>1401</v>
      </c>
      <c r="D77" s="779">
        <f>[18]F.1!D77</f>
        <v>1000</v>
      </c>
      <c r="E77" s="456"/>
      <c r="F77" s="445">
        <f t="shared" si="3"/>
        <v>1000</v>
      </c>
    </row>
    <row r="78" spans="1:6">
      <c r="A78" s="445">
        <f t="shared" si="1"/>
        <v>64</v>
      </c>
      <c r="B78" s="446" t="s">
        <v>624</v>
      </c>
      <c r="C78" s="799" t="s">
        <v>1586</v>
      </c>
      <c r="D78" s="779">
        <f>[18]F.1!D78</f>
        <v>350</v>
      </c>
      <c r="E78" s="456"/>
      <c r="F78" s="445">
        <f t="shared" si="3"/>
        <v>350</v>
      </c>
    </row>
    <row r="79" spans="1:6">
      <c r="A79" s="445">
        <f t="shared" si="1"/>
        <v>65</v>
      </c>
      <c r="B79" s="446" t="s">
        <v>624</v>
      </c>
      <c r="C79" s="799" t="s">
        <v>1251</v>
      </c>
      <c r="D79" s="779">
        <f>[18]F.1!D79</f>
        <v>140</v>
      </c>
      <c r="E79" s="456"/>
      <c r="F79" s="445">
        <f t="shared" si="3"/>
        <v>140</v>
      </c>
    </row>
    <row r="80" spans="1:6">
      <c r="A80" s="445">
        <f t="shared" si="1"/>
        <v>66</v>
      </c>
      <c r="B80" s="446" t="s">
        <v>624</v>
      </c>
      <c r="C80" s="799" t="s">
        <v>1255</v>
      </c>
      <c r="D80" s="779">
        <f>[18]F.1!D80</f>
        <v>420</v>
      </c>
      <c r="E80" s="456"/>
      <c r="F80" s="445">
        <f t="shared" si="3"/>
        <v>420</v>
      </c>
    </row>
    <row r="81" spans="1:6">
      <c r="A81" s="445">
        <f t="shared" ref="A81:A85" si="4">A80+1</f>
        <v>67</v>
      </c>
      <c r="B81" s="446" t="s">
        <v>624</v>
      </c>
      <c r="C81" s="799" t="s">
        <v>1660</v>
      </c>
      <c r="D81" s="779">
        <f>[18]F.1!D81</f>
        <v>250</v>
      </c>
      <c r="E81" s="456"/>
      <c r="F81" s="445">
        <f t="shared" si="3"/>
        <v>250</v>
      </c>
    </row>
    <row r="82" spans="1:6">
      <c r="A82" s="445">
        <f t="shared" si="4"/>
        <v>68</v>
      </c>
      <c r="B82" s="446" t="s">
        <v>624</v>
      </c>
      <c r="C82" s="799" t="s">
        <v>1660</v>
      </c>
      <c r="D82" s="779">
        <f>[18]F.1!D82</f>
        <v>250</v>
      </c>
      <c r="E82" s="456"/>
      <c r="F82" s="445">
        <f t="shared" si="3"/>
        <v>250</v>
      </c>
    </row>
    <row r="83" spans="1:6">
      <c r="A83" s="445">
        <f t="shared" si="4"/>
        <v>69</v>
      </c>
      <c r="B83" s="446" t="s">
        <v>624</v>
      </c>
      <c r="C83" s="799" t="s">
        <v>1661</v>
      </c>
      <c r="D83" s="779">
        <f>[18]F.1!D83</f>
        <v>300</v>
      </c>
      <c r="E83" s="456"/>
      <c r="F83" s="445">
        <f t="shared" si="3"/>
        <v>300</v>
      </c>
    </row>
    <row r="84" spans="1:6">
      <c r="A84" s="445">
        <f t="shared" si="4"/>
        <v>70</v>
      </c>
      <c r="B84" s="446" t="s">
        <v>624</v>
      </c>
      <c r="C84" s="799" t="s">
        <v>1247</v>
      </c>
      <c r="D84" s="779">
        <f>[18]F.1!D84</f>
        <v>200</v>
      </c>
      <c r="E84" s="456"/>
      <c r="F84" s="445">
        <f t="shared" si="3"/>
        <v>200</v>
      </c>
    </row>
    <row r="85" spans="1:6">
      <c r="A85" s="445">
        <f t="shared" si="4"/>
        <v>71</v>
      </c>
      <c r="B85" s="446" t="s">
        <v>624</v>
      </c>
      <c r="C85" s="799" t="s">
        <v>1589</v>
      </c>
      <c r="D85" s="779">
        <f>[18]F.1!D85</f>
        <v>11000</v>
      </c>
      <c r="E85" s="456"/>
      <c r="F85" s="445">
        <f t="shared" si="3"/>
        <v>11000</v>
      </c>
    </row>
    <row r="86" spans="1:6">
      <c r="A86" s="445"/>
      <c r="B86" s="446"/>
    </row>
    <row r="87" spans="1:6" ht="15.75">
      <c r="C87" s="452" t="s">
        <v>804</v>
      </c>
      <c r="D87" s="448">
        <f>SUM(D15:D86)</f>
        <v>126744.49999999999</v>
      </c>
      <c r="F87" s="448">
        <f>SUM(F15:F86)</f>
        <v>126744.49999999999</v>
      </c>
    </row>
    <row r="89" spans="1:6" ht="15.75">
      <c r="C89" s="455" t="s">
        <v>1377</v>
      </c>
    </row>
    <row r="90" spans="1:6" ht="15.75">
      <c r="C90" s="454"/>
    </row>
    <row r="91" spans="1:6">
      <c r="A91" s="445">
        <v>1</v>
      </c>
      <c r="B91" s="446" t="s">
        <v>624</v>
      </c>
      <c r="C91" s="799" t="s">
        <v>388</v>
      </c>
      <c r="D91" s="779">
        <f>D15</f>
        <v>44365.33</v>
      </c>
      <c r="E91" s="447" t="s">
        <v>1059</v>
      </c>
      <c r="F91" s="445">
        <f t="shared" ref="F91:F112" si="5">D91</f>
        <v>44365.33</v>
      </c>
    </row>
    <row r="92" spans="1:6">
      <c r="A92" s="445">
        <f t="shared" ref="A92:A107" si="6">A91+1</f>
        <v>2</v>
      </c>
      <c r="B92" s="446" t="s">
        <v>624</v>
      </c>
      <c r="C92" s="799" t="s">
        <v>1627</v>
      </c>
      <c r="D92" s="779">
        <f t="shared" ref="D92:D155" si="7">D16</f>
        <v>100</v>
      </c>
      <c r="F92" s="445">
        <f t="shared" si="5"/>
        <v>100</v>
      </c>
    </row>
    <row r="93" spans="1:6">
      <c r="A93" s="445">
        <f t="shared" si="6"/>
        <v>3</v>
      </c>
      <c r="B93" s="446" t="s">
        <v>624</v>
      </c>
      <c r="C93" s="799" t="s">
        <v>1250</v>
      </c>
      <c r="D93" s="779">
        <f t="shared" si="7"/>
        <v>140</v>
      </c>
      <c r="F93" s="445">
        <f t="shared" si="5"/>
        <v>140</v>
      </c>
    </row>
    <row r="94" spans="1:6">
      <c r="A94" s="445">
        <f t="shared" si="6"/>
        <v>4</v>
      </c>
      <c r="B94" s="446" t="s">
        <v>624</v>
      </c>
      <c r="C94" s="799" t="s">
        <v>1628</v>
      </c>
      <c r="D94" s="779">
        <f t="shared" si="7"/>
        <v>100</v>
      </c>
      <c r="F94" s="445">
        <f t="shared" si="5"/>
        <v>100</v>
      </c>
    </row>
    <row r="95" spans="1:6">
      <c r="A95" s="445">
        <f t="shared" si="6"/>
        <v>5</v>
      </c>
      <c r="B95" s="446" t="s">
        <v>624</v>
      </c>
      <c r="C95" s="799" t="s">
        <v>1629</v>
      </c>
      <c r="D95" s="779">
        <f t="shared" si="7"/>
        <v>26.95</v>
      </c>
      <c r="F95" s="445">
        <f t="shared" si="5"/>
        <v>26.95</v>
      </c>
    </row>
    <row r="96" spans="1:6">
      <c r="A96" s="445">
        <f t="shared" si="6"/>
        <v>6</v>
      </c>
      <c r="B96" s="446" t="s">
        <v>624</v>
      </c>
      <c r="C96" s="799" t="s">
        <v>1587</v>
      </c>
      <c r="D96" s="779">
        <f t="shared" si="7"/>
        <v>130</v>
      </c>
      <c r="F96" s="445">
        <f t="shared" si="5"/>
        <v>130</v>
      </c>
    </row>
    <row r="97" spans="1:6">
      <c r="A97" s="445">
        <f t="shared" si="6"/>
        <v>7</v>
      </c>
      <c r="B97" s="446" t="s">
        <v>624</v>
      </c>
      <c r="C97" s="799" t="s">
        <v>1630</v>
      </c>
      <c r="D97" s="779">
        <f t="shared" si="7"/>
        <v>75</v>
      </c>
      <c r="F97" s="445">
        <f t="shared" si="5"/>
        <v>75</v>
      </c>
    </row>
    <row r="98" spans="1:6">
      <c r="A98" s="445">
        <f t="shared" si="6"/>
        <v>8</v>
      </c>
      <c r="B98" s="446" t="s">
        <v>624</v>
      </c>
      <c r="C98" s="799" t="s">
        <v>1585</v>
      </c>
      <c r="D98" s="779">
        <f t="shared" si="7"/>
        <v>200</v>
      </c>
      <c r="F98" s="445">
        <f t="shared" si="5"/>
        <v>200</v>
      </c>
    </row>
    <row r="99" spans="1:6">
      <c r="A99" s="445">
        <f t="shared" si="6"/>
        <v>9</v>
      </c>
      <c r="B99" s="446" t="s">
        <v>624</v>
      </c>
      <c r="C99" s="799" t="s">
        <v>1631</v>
      </c>
      <c r="D99" s="779">
        <f t="shared" si="7"/>
        <v>59</v>
      </c>
      <c r="F99" s="445">
        <f t="shared" si="5"/>
        <v>59</v>
      </c>
    </row>
    <row r="100" spans="1:6">
      <c r="A100" s="445">
        <f t="shared" si="6"/>
        <v>10</v>
      </c>
      <c r="B100" s="446" t="s">
        <v>624</v>
      </c>
      <c r="C100" s="799" t="s">
        <v>1588</v>
      </c>
      <c r="D100" s="779">
        <f t="shared" si="7"/>
        <v>510</v>
      </c>
      <c r="F100" s="445">
        <f t="shared" si="5"/>
        <v>510</v>
      </c>
    </row>
    <row r="101" spans="1:6">
      <c r="A101" s="445">
        <f t="shared" si="6"/>
        <v>11</v>
      </c>
      <c r="B101" s="446" t="s">
        <v>624</v>
      </c>
      <c r="C101" s="799" t="s">
        <v>1632</v>
      </c>
      <c r="D101" s="779">
        <f t="shared" si="7"/>
        <v>2500</v>
      </c>
      <c r="F101" s="445">
        <f t="shared" si="5"/>
        <v>2500</v>
      </c>
    </row>
    <row r="102" spans="1:6">
      <c r="A102" s="445">
        <f t="shared" si="6"/>
        <v>12</v>
      </c>
      <c r="B102" s="446" t="s">
        <v>624</v>
      </c>
      <c r="C102" s="799" t="s">
        <v>1632</v>
      </c>
      <c r="D102" s="779">
        <f t="shared" si="7"/>
        <v>1250</v>
      </c>
      <c r="F102" s="445">
        <f t="shared" si="5"/>
        <v>1250</v>
      </c>
    </row>
    <row r="103" spans="1:6">
      <c r="A103" s="445">
        <f t="shared" si="6"/>
        <v>13</v>
      </c>
      <c r="B103" s="446" t="s">
        <v>624</v>
      </c>
      <c r="C103" s="799" t="s">
        <v>1632</v>
      </c>
      <c r="D103" s="779">
        <f t="shared" si="7"/>
        <v>75</v>
      </c>
      <c r="F103" s="445">
        <f t="shared" si="5"/>
        <v>75</v>
      </c>
    </row>
    <row r="104" spans="1:6">
      <c r="A104" s="445">
        <f t="shared" si="6"/>
        <v>14</v>
      </c>
      <c r="B104" s="446" t="s">
        <v>624</v>
      </c>
      <c r="C104" s="799" t="s">
        <v>1243</v>
      </c>
      <c r="D104" s="779">
        <f t="shared" si="7"/>
        <v>200</v>
      </c>
      <c r="F104" s="445">
        <f t="shared" si="5"/>
        <v>200</v>
      </c>
    </row>
    <row r="105" spans="1:6">
      <c r="A105" s="445">
        <f t="shared" si="6"/>
        <v>15</v>
      </c>
      <c r="B105" s="446" t="s">
        <v>624</v>
      </c>
      <c r="C105" s="799" t="s">
        <v>1583</v>
      </c>
      <c r="D105" s="779">
        <f t="shared" si="7"/>
        <v>150</v>
      </c>
      <c r="F105" s="445">
        <f t="shared" si="5"/>
        <v>150</v>
      </c>
    </row>
    <row r="106" spans="1:6">
      <c r="A106" s="445">
        <f t="shared" si="6"/>
        <v>16</v>
      </c>
      <c r="B106" s="446" t="s">
        <v>624</v>
      </c>
      <c r="C106" s="799" t="s">
        <v>1582</v>
      </c>
      <c r="D106" s="779">
        <f t="shared" si="7"/>
        <v>300</v>
      </c>
      <c r="F106" s="445">
        <f t="shared" si="5"/>
        <v>300</v>
      </c>
    </row>
    <row r="107" spans="1:6">
      <c r="A107" s="445">
        <f t="shared" si="6"/>
        <v>17</v>
      </c>
      <c r="B107" s="446" t="s">
        <v>624</v>
      </c>
      <c r="C107" s="799" t="s">
        <v>1633</v>
      </c>
      <c r="D107" s="779">
        <f t="shared" si="7"/>
        <v>235</v>
      </c>
      <c r="F107" s="445">
        <f t="shared" si="5"/>
        <v>235</v>
      </c>
    </row>
    <row r="108" spans="1:6">
      <c r="A108" s="445">
        <v>18</v>
      </c>
      <c r="B108" s="446" t="s">
        <v>624</v>
      </c>
      <c r="C108" s="799" t="s">
        <v>1249</v>
      </c>
      <c r="D108" s="779">
        <f t="shared" si="7"/>
        <v>250</v>
      </c>
      <c r="F108" s="445">
        <f t="shared" si="5"/>
        <v>250</v>
      </c>
    </row>
    <row r="109" spans="1:6">
      <c r="A109" s="445">
        <f>A108+1</f>
        <v>19</v>
      </c>
      <c r="B109" s="446" t="s">
        <v>624</v>
      </c>
      <c r="C109" s="799" t="s">
        <v>1634</v>
      </c>
      <c r="D109" s="779">
        <f t="shared" si="7"/>
        <v>421</v>
      </c>
      <c r="F109" s="445">
        <f t="shared" si="5"/>
        <v>421</v>
      </c>
    </row>
    <row r="110" spans="1:6">
      <c r="A110" s="445">
        <f>A109+1</f>
        <v>20</v>
      </c>
      <c r="B110" s="446" t="s">
        <v>624</v>
      </c>
      <c r="C110" s="799" t="s">
        <v>1252</v>
      </c>
      <c r="D110" s="779">
        <f t="shared" si="7"/>
        <v>300</v>
      </c>
      <c r="F110" s="445">
        <f t="shared" si="5"/>
        <v>300</v>
      </c>
    </row>
    <row r="111" spans="1:6">
      <c r="A111" s="445">
        <f>A110+1</f>
        <v>21</v>
      </c>
      <c r="B111" s="446" t="s">
        <v>624</v>
      </c>
      <c r="C111" s="799" t="s">
        <v>1253</v>
      </c>
      <c r="D111" s="779">
        <f t="shared" si="7"/>
        <v>350</v>
      </c>
      <c r="F111" s="445">
        <f t="shared" si="5"/>
        <v>350</v>
      </c>
    </row>
    <row r="112" spans="1:6">
      <c r="A112" s="445">
        <f>A111+1</f>
        <v>22</v>
      </c>
      <c r="B112" s="446" t="s">
        <v>624</v>
      </c>
      <c r="C112" s="799" t="s">
        <v>1400</v>
      </c>
      <c r="D112" s="779">
        <f t="shared" si="7"/>
        <v>10000</v>
      </c>
      <c r="F112" s="445">
        <f t="shared" si="5"/>
        <v>10000</v>
      </c>
    </row>
    <row r="113" spans="1:6">
      <c r="A113" s="445">
        <v>23</v>
      </c>
      <c r="B113" s="446" t="s">
        <v>624</v>
      </c>
      <c r="C113" s="799" t="s">
        <v>1584</v>
      </c>
      <c r="D113" s="779">
        <f t="shared" si="7"/>
        <v>13735</v>
      </c>
      <c r="E113" s="447"/>
      <c r="F113" s="445">
        <f t="shared" ref="F113:F134" si="8">D113</f>
        <v>13735</v>
      </c>
    </row>
    <row r="114" spans="1:6">
      <c r="A114" s="445">
        <f t="shared" ref="A114:A134" si="9">A113+1</f>
        <v>24</v>
      </c>
      <c r="B114" s="446" t="s">
        <v>624</v>
      </c>
      <c r="C114" s="799" t="s">
        <v>1402</v>
      </c>
      <c r="D114" s="779">
        <f t="shared" si="7"/>
        <v>400</v>
      </c>
      <c r="F114" s="445">
        <f t="shared" si="8"/>
        <v>400</v>
      </c>
    </row>
    <row r="115" spans="1:6">
      <c r="A115" s="445">
        <f t="shared" si="9"/>
        <v>25</v>
      </c>
      <c r="B115" s="446" t="s">
        <v>624</v>
      </c>
      <c r="C115" s="799" t="s">
        <v>1635</v>
      </c>
      <c r="D115" s="779">
        <f t="shared" si="7"/>
        <v>150</v>
      </c>
      <c r="F115" s="445">
        <f t="shared" si="8"/>
        <v>150</v>
      </c>
    </row>
    <row r="116" spans="1:6">
      <c r="A116" s="445">
        <f t="shared" si="9"/>
        <v>26</v>
      </c>
      <c r="B116" s="446" t="s">
        <v>624</v>
      </c>
      <c r="C116" s="799" t="s">
        <v>1246</v>
      </c>
      <c r="D116" s="779">
        <f t="shared" si="7"/>
        <v>760</v>
      </c>
      <c r="F116" s="445">
        <f t="shared" si="8"/>
        <v>760</v>
      </c>
    </row>
    <row r="117" spans="1:6">
      <c r="A117" s="445">
        <f t="shared" si="9"/>
        <v>27</v>
      </c>
      <c r="B117" s="446" t="s">
        <v>624</v>
      </c>
      <c r="C117" s="799" t="s">
        <v>1248</v>
      </c>
      <c r="D117" s="779">
        <f t="shared" si="7"/>
        <v>295</v>
      </c>
      <c r="E117" s="439" t="s">
        <v>323</v>
      </c>
      <c r="F117" s="445">
        <f t="shared" si="8"/>
        <v>295</v>
      </c>
    </row>
    <row r="118" spans="1:6">
      <c r="A118" s="445">
        <f t="shared" si="9"/>
        <v>28</v>
      </c>
      <c r="B118" s="446" t="s">
        <v>624</v>
      </c>
      <c r="C118" s="799" t="s">
        <v>1242</v>
      </c>
      <c r="D118" s="779">
        <f t="shared" si="7"/>
        <v>300</v>
      </c>
      <c r="F118" s="445">
        <f t="shared" si="8"/>
        <v>300</v>
      </c>
    </row>
    <row r="119" spans="1:6">
      <c r="A119" s="445">
        <f t="shared" si="9"/>
        <v>29</v>
      </c>
      <c r="B119" s="446" t="s">
        <v>624</v>
      </c>
      <c r="C119" s="799" t="s">
        <v>1242</v>
      </c>
      <c r="D119" s="779">
        <f t="shared" si="7"/>
        <v>3000</v>
      </c>
      <c r="F119" s="445">
        <f t="shared" si="8"/>
        <v>3000</v>
      </c>
    </row>
    <row r="120" spans="1:6">
      <c r="A120" s="445">
        <f t="shared" si="9"/>
        <v>30</v>
      </c>
      <c r="B120" s="446" t="s">
        <v>624</v>
      </c>
      <c r="C120" s="799" t="s">
        <v>1636</v>
      </c>
      <c r="D120" s="779">
        <f t="shared" si="7"/>
        <v>200</v>
      </c>
      <c r="F120" s="445">
        <f t="shared" si="8"/>
        <v>200</v>
      </c>
    </row>
    <row r="121" spans="1:6">
      <c r="A121" s="445">
        <f t="shared" si="9"/>
        <v>31</v>
      </c>
      <c r="B121" s="446" t="s">
        <v>624</v>
      </c>
      <c r="C121" s="799" t="s">
        <v>1637</v>
      </c>
      <c r="D121" s="779">
        <f t="shared" si="7"/>
        <v>775</v>
      </c>
      <c r="F121" s="445">
        <f t="shared" si="8"/>
        <v>775</v>
      </c>
    </row>
    <row r="122" spans="1:6">
      <c r="A122" s="445">
        <f t="shared" si="9"/>
        <v>32</v>
      </c>
      <c r="B122" s="446" t="s">
        <v>624</v>
      </c>
      <c r="C122" s="799" t="s">
        <v>1638</v>
      </c>
      <c r="D122" s="779">
        <f t="shared" si="7"/>
        <v>2500</v>
      </c>
      <c r="E122" s="439" t="s">
        <v>323</v>
      </c>
      <c r="F122" s="445">
        <f t="shared" si="8"/>
        <v>2500</v>
      </c>
    </row>
    <row r="123" spans="1:6">
      <c r="A123" s="445">
        <f t="shared" si="9"/>
        <v>33</v>
      </c>
      <c r="B123" s="446" t="s">
        <v>624</v>
      </c>
      <c r="C123" s="799" t="s">
        <v>1245</v>
      </c>
      <c r="D123" s="779">
        <f t="shared" si="7"/>
        <v>187</v>
      </c>
      <c r="F123" s="445">
        <f t="shared" si="8"/>
        <v>187</v>
      </c>
    </row>
    <row r="124" spans="1:6">
      <c r="A124" s="445">
        <f t="shared" si="9"/>
        <v>34</v>
      </c>
      <c r="B124" s="446" t="s">
        <v>624</v>
      </c>
      <c r="C124" s="799" t="s">
        <v>1254</v>
      </c>
      <c r="D124" s="779">
        <f t="shared" si="7"/>
        <v>2999.4</v>
      </c>
      <c r="F124" s="445">
        <f t="shared" si="8"/>
        <v>2999.4</v>
      </c>
    </row>
    <row r="125" spans="1:6">
      <c r="A125" s="445">
        <f t="shared" si="9"/>
        <v>35</v>
      </c>
      <c r="B125" s="446" t="s">
        <v>624</v>
      </c>
      <c r="C125" s="799" t="s">
        <v>1639</v>
      </c>
      <c r="D125" s="779">
        <f t="shared" si="7"/>
        <v>11000</v>
      </c>
      <c r="F125" s="445">
        <f t="shared" si="8"/>
        <v>11000</v>
      </c>
    </row>
    <row r="126" spans="1:6">
      <c r="A126" s="445">
        <f t="shared" si="9"/>
        <v>36</v>
      </c>
      <c r="B126" s="446" t="s">
        <v>624</v>
      </c>
      <c r="C126" s="799" t="s">
        <v>1399</v>
      </c>
      <c r="D126" s="779">
        <f t="shared" si="7"/>
        <v>1348.08</v>
      </c>
      <c r="F126" s="445">
        <f t="shared" si="8"/>
        <v>1348.08</v>
      </c>
    </row>
    <row r="127" spans="1:6">
      <c r="A127" s="445">
        <f t="shared" si="9"/>
        <v>37</v>
      </c>
      <c r="B127" s="446" t="s">
        <v>624</v>
      </c>
      <c r="C127" s="799" t="s">
        <v>1640</v>
      </c>
      <c r="D127" s="779">
        <f t="shared" si="7"/>
        <v>100</v>
      </c>
      <c r="F127" s="445">
        <f t="shared" si="8"/>
        <v>100</v>
      </c>
    </row>
    <row r="128" spans="1:6">
      <c r="A128" s="445">
        <f t="shared" si="9"/>
        <v>38</v>
      </c>
      <c r="B128" s="446" t="s">
        <v>624</v>
      </c>
      <c r="C128" s="799" t="s">
        <v>1641</v>
      </c>
      <c r="D128" s="779">
        <f t="shared" si="7"/>
        <v>395</v>
      </c>
      <c r="F128" s="445">
        <f t="shared" si="8"/>
        <v>395</v>
      </c>
    </row>
    <row r="129" spans="1:6">
      <c r="A129" s="445">
        <f t="shared" si="9"/>
        <v>39</v>
      </c>
      <c r="B129" s="446" t="s">
        <v>624</v>
      </c>
      <c r="C129" s="799" t="s">
        <v>1642</v>
      </c>
      <c r="D129" s="779">
        <f t="shared" si="7"/>
        <v>7500</v>
      </c>
      <c r="F129" s="445">
        <f t="shared" si="8"/>
        <v>7500</v>
      </c>
    </row>
    <row r="130" spans="1:6">
      <c r="A130" s="445">
        <f t="shared" si="9"/>
        <v>40</v>
      </c>
      <c r="B130" s="446" t="s">
        <v>624</v>
      </c>
      <c r="C130" s="799" t="s">
        <v>1643</v>
      </c>
      <c r="D130" s="779">
        <f t="shared" si="7"/>
        <v>305</v>
      </c>
      <c r="F130" s="445">
        <f t="shared" si="8"/>
        <v>305</v>
      </c>
    </row>
    <row r="131" spans="1:6">
      <c r="A131" s="445">
        <f t="shared" si="9"/>
        <v>41</v>
      </c>
      <c r="B131" s="446" t="s">
        <v>624</v>
      </c>
      <c r="C131" s="799" t="s">
        <v>1644</v>
      </c>
      <c r="D131" s="779">
        <f t="shared" si="7"/>
        <v>200</v>
      </c>
      <c r="F131" s="445">
        <f t="shared" si="8"/>
        <v>200</v>
      </c>
    </row>
    <row r="132" spans="1:6">
      <c r="A132" s="445">
        <f t="shared" si="9"/>
        <v>42</v>
      </c>
      <c r="B132" s="446" t="s">
        <v>624</v>
      </c>
      <c r="C132" s="799" t="s">
        <v>1645</v>
      </c>
      <c r="D132" s="779">
        <f t="shared" si="7"/>
        <v>415</v>
      </c>
      <c r="F132" s="445">
        <f t="shared" si="8"/>
        <v>415</v>
      </c>
    </row>
    <row r="133" spans="1:6">
      <c r="A133" s="445">
        <f t="shared" si="9"/>
        <v>43</v>
      </c>
      <c r="B133" s="446" t="s">
        <v>624</v>
      </c>
      <c r="C133" s="799" t="s">
        <v>1646</v>
      </c>
      <c r="D133" s="779">
        <f t="shared" si="7"/>
        <v>421</v>
      </c>
      <c r="F133" s="445">
        <f t="shared" si="8"/>
        <v>421</v>
      </c>
    </row>
    <row r="134" spans="1:6">
      <c r="A134" s="445">
        <f t="shared" si="9"/>
        <v>44</v>
      </c>
      <c r="B134" s="446" t="s">
        <v>624</v>
      </c>
      <c r="C134" s="799" t="s">
        <v>1581</v>
      </c>
      <c r="D134" s="779">
        <f t="shared" si="7"/>
        <v>256</v>
      </c>
      <c r="F134" s="445">
        <f t="shared" si="8"/>
        <v>256</v>
      </c>
    </row>
    <row r="135" spans="1:6">
      <c r="A135" s="445">
        <f>A134+1</f>
        <v>45</v>
      </c>
      <c r="B135" s="446" t="s">
        <v>624</v>
      </c>
      <c r="C135" s="799" t="s">
        <v>1647</v>
      </c>
      <c r="D135" s="779">
        <f t="shared" si="7"/>
        <v>500</v>
      </c>
      <c r="E135" s="447"/>
      <c r="F135" s="445">
        <f t="shared" ref="F135:F161" si="10">D135</f>
        <v>500</v>
      </c>
    </row>
    <row r="136" spans="1:6">
      <c r="A136" s="445">
        <f t="shared" ref="A136:A161" si="11">A135+1</f>
        <v>46</v>
      </c>
      <c r="B136" s="446" t="s">
        <v>624</v>
      </c>
      <c r="C136" s="799" t="s">
        <v>1244</v>
      </c>
      <c r="D136" s="779">
        <f t="shared" si="7"/>
        <v>100</v>
      </c>
      <c r="F136" s="445">
        <f t="shared" si="10"/>
        <v>100</v>
      </c>
    </row>
    <row r="137" spans="1:6">
      <c r="A137" s="445">
        <f t="shared" si="11"/>
        <v>47</v>
      </c>
      <c r="B137" s="446" t="s">
        <v>624</v>
      </c>
      <c r="C137" s="799" t="s">
        <v>1579</v>
      </c>
      <c r="D137" s="779">
        <f t="shared" si="7"/>
        <v>100</v>
      </c>
      <c r="F137" s="445">
        <f t="shared" si="10"/>
        <v>100</v>
      </c>
    </row>
    <row r="138" spans="1:6">
      <c r="A138" s="445">
        <f t="shared" si="11"/>
        <v>48</v>
      </c>
      <c r="B138" s="446" t="s">
        <v>624</v>
      </c>
      <c r="C138" s="799" t="s">
        <v>1648</v>
      </c>
      <c r="D138" s="779">
        <f t="shared" si="7"/>
        <v>75</v>
      </c>
      <c r="F138" s="445">
        <f t="shared" si="10"/>
        <v>75</v>
      </c>
    </row>
    <row r="139" spans="1:6">
      <c r="A139" s="445">
        <f t="shared" si="11"/>
        <v>49</v>
      </c>
      <c r="B139" s="446" t="s">
        <v>624</v>
      </c>
      <c r="C139" s="799" t="s">
        <v>1645</v>
      </c>
      <c r="D139" s="779">
        <f t="shared" si="7"/>
        <v>450</v>
      </c>
      <c r="F139" s="445">
        <f t="shared" si="10"/>
        <v>450</v>
      </c>
    </row>
    <row r="140" spans="1:6">
      <c r="A140" s="445">
        <f t="shared" si="11"/>
        <v>50</v>
      </c>
      <c r="B140" s="446" t="s">
        <v>624</v>
      </c>
      <c r="C140" s="799" t="s">
        <v>1649</v>
      </c>
      <c r="D140" s="779">
        <f t="shared" si="7"/>
        <v>100</v>
      </c>
      <c r="F140" s="445">
        <f t="shared" si="10"/>
        <v>100</v>
      </c>
    </row>
    <row r="141" spans="1:6">
      <c r="A141" s="445">
        <f t="shared" si="11"/>
        <v>51</v>
      </c>
      <c r="B141" s="446" t="s">
        <v>624</v>
      </c>
      <c r="C141" s="799" t="s">
        <v>1580</v>
      </c>
      <c r="D141" s="779">
        <f t="shared" si="7"/>
        <v>1000</v>
      </c>
      <c r="F141" s="445">
        <f t="shared" si="10"/>
        <v>1000</v>
      </c>
    </row>
    <row r="142" spans="1:6">
      <c r="A142" s="445">
        <f t="shared" si="11"/>
        <v>52</v>
      </c>
      <c r="B142" s="446" t="s">
        <v>624</v>
      </c>
      <c r="C142" s="799" t="s">
        <v>1650</v>
      </c>
      <c r="D142" s="779">
        <f t="shared" si="7"/>
        <v>300</v>
      </c>
      <c r="F142" s="445">
        <f t="shared" si="10"/>
        <v>300</v>
      </c>
    </row>
    <row r="143" spans="1:6">
      <c r="A143" s="445">
        <f t="shared" si="11"/>
        <v>53</v>
      </c>
      <c r="B143" s="446" t="s">
        <v>624</v>
      </c>
      <c r="C143" s="799" t="s">
        <v>1651</v>
      </c>
      <c r="D143" s="779">
        <f t="shared" si="7"/>
        <v>155</v>
      </c>
      <c r="F143" s="445">
        <f t="shared" si="10"/>
        <v>155</v>
      </c>
    </row>
    <row r="144" spans="1:6">
      <c r="A144" s="445">
        <f t="shared" si="11"/>
        <v>54</v>
      </c>
      <c r="B144" s="446" t="s">
        <v>624</v>
      </c>
      <c r="C144" s="799" t="s">
        <v>1652</v>
      </c>
      <c r="D144" s="779">
        <f t="shared" si="7"/>
        <v>34.340000000000003</v>
      </c>
      <c r="F144" s="445">
        <f t="shared" si="10"/>
        <v>34.340000000000003</v>
      </c>
    </row>
    <row r="145" spans="1:6">
      <c r="A145" s="445">
        <f t="shared" si="11"/>
        <v>55</v>
      </c>
      <c r="B145" s="446" t="s">
        <v>624</v>
      </c>
      <c r="C145" s="799" t="s">
        <v>1653</v>
      </c>
      <c r="D145" s="779">
        <f t="shared" si="7"/>
        <v>140</v>
      </c>
      <c r="F145" s="445">
        <f t="shared" si="10"/>
        <v>140</v>
      </c>
    </row>
    <row r="146" spans="1:6">
      <c r="A146" s="445">
        <f t="shared" si="11"/>
        <v>56</v>
      </c>
      <c r="B146" s="446" t="s">
        <v>624</v>
      </c>
      <c r="C146" s="799" t="s">
        <v>1654</v>
      </c>
      <c r="D146" s="779">
        <f t="shared" si="7"/>
        <v>50</v>
      </c>
      <c r="F146" s="445">
        <f t="shared" si="10"/>
        <v>50</v>
      </c>
    </row>
    <row r="147" spans="1:6">
      <c r="A147" s="445">
        <f t="shared" si="11"/>
        <v>57</v>
      </c>
      <c r="B147" s="446" t="s">
        <v>624</v>
      </c>
      <c r="C147" s="799" t="s">
        <v>1655</v>
      </c>
      <c r="D147" s="779">
        <f t="shared" si="7"/>
        <v>50</v>
      </c>
      <c r="F147" s="445">
        <f t="shared" si="10"/>
        <v>50</v>
      </c>
    </row>
    <row r="148" spans="1:6">
      <c r="A148" s="445">
        <f t="shared" si="11"/>
        <v>58</v>
      </c>
      <c r="B148" s="446" t="s">
        <v>624</v>
      </c>
      <c r="C148" s="799" t="s">
        <v>1654</v>
      </c>
      <c r="D148" s="779">
        <f t="shared" si="7"/>
        <v>20</v>
      </c>
      <c r="F148" s="445">
        <f t="shared" si="10"/>
        <v>20</v>
      </c>
    </row>
    <row r="149" spans="1:6">
      <c r="A149" s="445">
        <f t="shared" si="11"/>
        <v>59</v>
      </c>
      <c r="B149" s="446" t="s">
        <v>624</v>
      </c>
      <c r="C149" s="799" t="s">
        <v>1656</v>
      </c>
      <c r="D149" s="779">
        <f t="shared" si="7"/>
        <v>70</v>
      </c>
      <c r="F149" s="445">
        <f t="shared" si="10"/>
        <v>70</v>
      </c>
    </row>
    <row r="150" spans="1:6">
      <c r="A150" s="445">
        <f t="shared" si="11"/>
        <v>60</v>
      </c>
      <c r="B150" s="446" t="s">
        <v>624</v>
      </c>
      <c r="C150" s="799" t="s">
        <v>1657</v>
      </c>
      <c r="D150" s="779">
        <f t="shared" si="7"/>
        <v>38</v>
      </c>
      <c r="F150" s="445">
        <f t="shared" si="10"/>
        <v>38</v>
      </c>
    </row>
    <row r="151" spans="1:6">
      <c r="A151" s="445">
        <f t="shared" si="11"/>
        <v>61</v>
      </c>
      <c r="B151" s="446" t="s">
        <v>624</v>
      </c>
      <c r="C151" s="799" t="s">
        <v>1658</v>
      </c>
      <c r="D151" s="779">
        <f t="shared" si="7"/>
        <v>264</v>
      </c>
      <c r="F151" s="445">
        <f t="shared" si="10"/>
        <v>264</v>
      </c>
    </row>
    <row r="152" spans="1:6">
      <c r="A152" s="445">
        <f t="shared" si="11"/>
        <v>62</v>
      </c>
      <c r="B152" s="446" t="s">
        <v>624</v>
      </c>
      <c r="C152" s="799" t="s">
        <v>1659</v>
      </c>
      <c r="D152" s="779">
        <f t="shared" si="7"/>
        <v>409.4</v>
      </c>
      <c r="E152" s="46"/>
      <c r="F152" s="445">
        <f t="shared" si="10"/>
        <v>409.4</v>
      </c>
    </row>
    <row r="153" spans="1:6">
      <c r="A153" s="445">
        <f t="shared" si="11"/>
        <v>63</v>
      </c>
      <c r="B153" s="446" t="s">
        <v>624</v>
      </c>
      <c r="C153" s="799" t="s">
        <v>1401</v>
      </c>
      <c r="D153" s="779">
        <f t="shared" si="7"/>
        <v>1000</v>
      </c>
      <c r="E153" s="46"/>
      <c r="F153" s="445">
        <f t="shared" si="10"/>
        <v>1000</v>
      </c>
    </row>
    <row r="154" spans="1:6">
      <c r="A154" s="445">
        <f t="shared" si="11"/>
        <v>64</v>
      </c>
      <c r="B154" s="446" t="s">
        <v>624</v>
      </c>
      <c r="C154" s="799" t="s">
        <v>1586</v>
      </c>
      <c r="D154" s="779">
        <f t="shared" si="7"/>
        <v>350</v>
      </c>
      <c r="E154" s="46"/>
      <c r="F154" s="445">
        <f t="shared" si="10"/>
        <v>350</v>
      </c>
    </row>
    <row r="155" spans="1:6">
      <c r="A155" s="445">
        <f t="shared" si="11"/>
        <v>65</v>
      </c>
      <c r="B155" s="446" t="s">
        <v>624</v>
      </c>
      <c r="C155" s="799" t="s">
        <v>1251</v>
      </c>
      <c r="D155" s="779">
        <f t="shared" si="7"/>
        <v>140</v>
      </c>
      <c r="E155" s="46"/>
      <c r="F155" s="445">
        <f t="shared" si="10"/>
        <v>140</v>
      </c>
    </row>
    <row r="156" spans="1:6">
      <c r="A156" s="445">
        <f t="shared" si="11"/>
        <v>66</v>
      </c>
      <c r="B156" s="446" t="s">
        <v>624</v>
      </c>
      <c r="C156" s="799" t="s">
        <v>1255</v>
      </c>
      <c r="D156" s="779">
        <f t="shared" ref="D156:D161" si="12">D80</f>
        <v>420</v>
      </c>
      <c r="E156" s="46"/>
      <c r="F156" s="445">
        <f t="shared" si="10"/>
        <v>420</v>
      </c>
    </row>
    <row r="157" spans="1:6">
      <c r="A157" s="445">
        <f t="shared" si="11"/>
        <v>67</v>
      </c>
      <c r="B157" s="446" t="s">
        <v>624</v>
      </c>
      <c r="C157" s="799" t="s">
        <v>1660</v>
      </c>
      <c r="D157" s="779">
        <f t="shared" si="12"/>
        <v>250</v>
      </c>
      <c r="E157" s="46"/>
      <c r="F157" s="445">
        <f t="shared" si="10"/>
        <v>250</v>
      </c>
    </row>
    <row r="158" spans="1:6">
      <c r="A158" s="445">
        <f t="shared" si="11"/>
        <v>68</v>
      </c>
      <c r="B158" s="446" t="s">
        <v>624</v>
      </c>
      <c r="C158" s="799" t="s">
        <v>1660</v>
      </c>
      <c r="D158" s="779">
        <f t="shared" si="12"/>
        <v>250</v>
      </c>
      <c r="E158" s="46"/>
      <c r="F158" s="445">
        <f t="shared" si="10"/>
        <v>250</v>
      </c>
    </row>
    <row r="159" spans="1:6">
      <c r="A159" s="445">
        <f t="shared" si="11"/>
        <v>69</v>
      </c>
      <c r="B159" s="446" t="s">
        <v>624</v>
      </c>
      <c r="C159" s="799" t="s">
        <v>1661</v>
      </c>
      <c r="D159" s="779">
        <f t="shared" si="12"/>
        <v>300</v>
      </c>
      <c r="E159" s="46"/>
      <c r="F159" s="445">
        <f t="shared" si="10"/>
        <v>300</v>
      </c>
    </row>
    <row r="160" spans="1:6">
      <c r="A160" s="445">
        <f t="shared" si="11"/>
        <v>70</v>
      </c>
      <c r="B160" s="446" t="s">
        <v>624</v>
      </c>
      <c r="C160" s="799" t="s">
        <v>1247</v>
      </c>
      <c r="D160" s="779">
        <f t="shared" si="12"/>
        <v>200</v>
      </c>
      <c r="E160" s="46"/>
      <c r="F160" s="445">
        <f t="shared" si="10"/>
        <v>200</v>
      </c>
    </row>
    <row r="161" spans="1:8">
      <c r="A161" s="445">
        <f t="shared" si="11"/>
        <v>71</v>
      </c>
      <c r="B161" s="446" t="s">
        <v>624</v>
      </c>
      <c r="C161" s="799" t="s">
        <v>1589</v>
      </c>
      <c r="D161" s="779">
        <f t="shared" si="12"/>
        <v>11000</v>
      </c>
      <c r="E161" s="456"/>
      <c r="F161" s="445">
        <f t="shared" si="10"/>
        <v>11000</v>
      </c>
    </row>
    <row r="162" spans="1:8">
      <c r="A162" s="445"/>
      <c r="B162" s="446"/>
      <c r="C162" s="440"/>
      <c r="D162" s="445"/>
      <c r="E162" s="451"/>
      <c r="F162" s="445"/>
    </row>
    <row r="163" spans="1:8" ht="15.75">
      <c r="C163" s="452" t="s">
        <v>1310</v>
      </c>
      <c r="D163" s="448">
        <f>SUM(D91:D162)</f>
        <v>126744.49999999999</v>
      </c>
      <c r="F163" s="448">
        <f>SUM(F91:F162)</f>
        <v>126744.49999999999</v>
      </c>
    </row>
    <row r="165" spans="1:8">
      <c r="A165" s="449"/>
      <c r="B165" s="449"/>
      <c r="C165" s="449"/>
      <c r="D165" s="449"/>
      <c r="E165" s="449"/>
      <c r="F165" s="449"/>
      <c r="G165" s="449"/>
      <c r="H165" s="449"/>
    </row>
    <row r="166" spans="1:8">
      <c r="A166" s="449"/>
      <c r="B166" s="449"/>
      <c r="C166" s="449"/>
      <c r="D166" s="449"/>
      <c r="E166" s="449"/>
      <c r="F166" s="449"/>
      <c r="G166" s="449"/>
      <c r="H166" s="449"/>
    </row>
    <row r="167" spans="1:8">
      <c r="A167" s="449"/>
      <c r="B167" s="449"/>
      <c r="C167" t="s">
        <v>518</v>
      </c>
      <c r="D167" s="449"/>
      <c r="E167" s="449"/>
      <c r="F167" s="449"/>
      <c r="G167" s="449"/>
      <c r="H167" s="449"/>
    </row>
    <row r="168" spans="1:8">
      <c r="A168" s="449"/>
      <c r="B168" s="449"/>
      <c r="C168" s="80" t="s">
        <v>1479</v>
      </c>
      <c r="D168" s="449"/>
      <c r="E168" s="449"/>
      <c r="F168" s="449"/>
      <c r="G168" s="449"/>
      <c r="H168" s="449"/>
    </row>
    <row r="169" spans="1:8">
      <c r="A169" s="449"/>
      <c r="B169" s="449"/>
      <c r="C169" s="449"/>
      <c r="D169" s="449"/>
      <c r="E169" s="449"/>
      <c r="F169" s="449"/>
      <c r="G169" s="449"/>
      <c r="H169" s="449"/>
    </row>
    <row r="170" spans="1:8">
      <c r="A170" s="449"/>
      <c r="B170" s="449"/>
      <c r="C170" s="449"/>
      <c r="D170" s="449"/>
      <c r="E170" s="449"/>
      <c r="F170" s="449"/>
      <c r="G170" s="449"/>
      <c r="H170" s="449"/>
    </row>
    <row r="171" spans="1:8">
      <c r="A171" s="449"/>
      <c r="B171" s="449"/>
      <c r="C171" s="449"/>
      <c r="D171" s="449"/>
      <c r="E171" s="449"/>
      <c r="F171" s="449"/>
      <c r="G171" s="449"/>
      <c r="H171" s="449"/>
    </row>
    <row r="172" spans="1:8">
      <c r="A172" s="449"/>
      <c r="B172" s="449"/>
      <c r="C172" s="449"/>
      <c r="D172" s="449"/>
      <c r="E172" s="449"/>
      <c r="F172" s="449"/>
      <c r="G172" s="449"/>
      <c r="H172" s="449"/>
    </row>
    <row r="173" spans="1:8">
      <c r="A173" s="449"/>
      <c r="B173" s="449"/>
      <c r="C173" s="449"/>
      <c r="D173" s="449"/>
      <c r="E173" s="449"/>
      <c r="F173" s="449"/>
      <c r="G173" s="449"/>
      <c r="H173" s="449"/>
    </row>
    <row r="174" spans="1:8">
      <c r="A174" s="449"/>
      <c r="B174" s="449"/>
      <c r="C174" s="449"/>
      <c r="D174" s="449"/>
      <c r="E174" s="449"/>
      <c r="F174" s="449"/>
      <c r="G174" s="449"/>
      <c r="H174" s="449"/>
    </row>
    <row r="175" spans="1:8">
      <c r="A175" s="449"/>
      <c r="B175" s="449"/>
      <c r="C175" s="449"/>
      <c r="D175" s="449"/>
      <c r="E175" s="449"/>
      <c r="F175" s="449"/>
      <c r="G175" s="449"/>
      <c r="H175" s="449"/>
    </row>
    <row r="176" spans="1:8">
      <c r="A176" s="449"/>
      <c r="B176" s="449"/>
      <c r="C176" s="449"/>
      <c r="D176" s="449"/>
      <c r="E176" s="449"/>
      <c r="F176" s="449"/>
      <c r="G176" s="449"/>
      <c r="H176" s="449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0.75" right="0.75" top="0.5" bottom="0.56999999999999995" header="0.5" footer="0.23"/>
  <pageSetup scale="49" fitToHeight="53" orientation="portrait" verticalDpi="300" r:id="rId1"/>
  <headerFooter alignWithMargins="0">
    <oddFooter>&amp;RSchedule &amp;A
Page &amp;P of &amp;N</oddFooter>
  </headerFooter>
  <rowBreaks count="1" manualBreakCount="1">
    <brk id="87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zoomScale="70" zoomScaleNormal="90" zoomScaleSheetLayoutView="70" workbookViewId="0">
      <selection activeCell="B44" sqref="B44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218" t="str">
        <f>'Table of Contents'!A1:C1</f>
        <v>Atmos Energy Corporation, Kentucky/Mid-States Division</v>
      </c>
      <c r="B1" s="1218"/>
      <c r="C1" s="1218"/>
      <c r="D1" s="1218"/>
      <c r="E1" s="1218"/>
      <c r="F1" s="1218"/>
      <c r="G1" s="92"/>
    </row>
    <row r="2" spans="1:13" ht="15.75">
      <c r="A2" s="1218" t="str">
        <f>'Table of Contents'!A2:C2</f>
        <v>Kentucky Jurisdiction Case No. 2018-00281</v>
      </c>
      <c r="B2" s="1218"/>
      <c r="C2" s="1218"/>
      <c r="D2" s="1218"/>
      <c r="E2" s="1218"/>
      <c r="F2" s="1218"/>
      <c r="G2" s="92"/>
    </row>
    <row r="3" spans="1:13" ht="15.75">
      <c r="A3" s="1218" t="s">
        <v>1376</v>
      </c>
      <c r="B3" s="1218"/>
      <c r="C3" s="1218"/>
      <c r="D3" s="1218"/>
      <c r="E3" s="1218"/>
      <c r="F3" s="1218"/>
      <c r="G3" s="92"/>
    </row>
    <row r="4" spans="1:13" ht="15.75">
      <c r="A4" s="1218" t="str">
        <f>'Table of Contents'!A3:C3</f>
        <v>Base Period: Twelve Months Ended December 31, 2018</v>
      </c>
      <c r="B4" s="1218"/>
      <c r="C4" s="1218"/>
      <c r="D4" s="1218"/>
      <c r="E4" s="1218"/>
      <c r="F4" s="1218"/>
      <c r="G4" s="92"/>
    </row>
    <row r="5" spans="1:13" ht="15.75">
      <c r="A5" s="1218" t="str">
        <f>'Table of Contents'!A4:C4</f>
        <v>Forecasted Test Period: Twelve Months Ended March 31, 2020</v>
      </c>
      <c r="B5" s="1218"/>
      <c r="C5" s="1218"/>
      <c r="D5" s="1218"/>
      <c r="E5" s="1218"/>
      <c r="F5" s="1218"/>
      <c r="G5" s="92"/>
    </row>
    <row r="6" spans="1:13" ht="15.75">
      <c r="A6" s="12"/>
      <c r="B6" s="12"/>
      <c r="C6" s="92"/>
      <c r="D6" s="92"/>
      <c r="F6" s="92"/>
      <c r="G6" s="92"/>
    </row>
    <row r="7" spans="1:13" ht="15.75">
      <c r="A7" s="66" t="s">
        <v>803</v>
      </c>
      <c r="B7" s="12"/>
      <c r="C7" s="12"/>
      <c r="D7" s="92"/>
      <c r="F7" s="376" t="s">
        <v>1410</v>
      </c>
      <c r="G7" s="92"/>
    </row>
    <row r="8" spans="1:13" ht="15.75">
      <c r="A8" s="66" t="s">
        <v>1122</v>
      </c>
      <c r="B8" s="12"/>
      <c r="C8" s="12"/>
      <c r="D8" s="92"/>
      <c r="F8" s="561" t="s">
        <v>143</v>
      </c>
      <c r="G8" s="92"/>
    </row>
    <row r="9" spans="1:13" ht="15.75">
      <c r="A9" s="66" t="s">
        <v>426</v>
      </c>
      <c r="B9" s="12"/>
      <c r="C9" s="12"/>
      <c r="D9" s="92"/>
      <c r="F9" s="562" t="str">
        <f>F.1!F9</f>
        <v>Witness: Waller</v>
      </c>
      <c r="G9" s="92"/>
    </row>
    <row r="10" spans="1:13">
      <c r="A10" s="120" t="s">
        <v>93</v>
      </c>
      <c r="B10" s="119"/>
      <c r="C10" s="119"/>
      <c r="D10" s="120" t="s">
        <v>96</v>
      </c>
      <c r="E10" s="119"/>
      <c r="F10" s="119"/>
      <c r="G10" s="92"/>
    </row>
    <row r="11" spans="1:13">
      <c r="A11" s="101" t="s">
        <v>99</v>
      </c>
      <c r="B11" s="101" t="s">
        <v>175</v>
      </c>
      <c r="C11" s="101" t="s">
        <v>90</v>
      </c>
      <c r="D11" s="101" t="s">
        <v>593</v>
      </c>
      <c r="E11" s="91" t="s">
        <v>177</v>
      </c>
      <c r="F11" s="101" t="s">
        <v>594</v>
      </c>
      <c r="G11" s="92"/>
    </row>
    <row r="12" spans="1:13">
      <c r="A12" s="92"/>
      <c r="B12" s="92"/>
      <c r="C12" s="92"/>
      <c r="D12" s="92"/>
      <c r="E12" s="92"/>
      <c r="F12" s="92"/>
      <c r="G12" s="92"/>
    </row>
    <row r="13" spans="1:13" ht="15.75">
      <c r="A13" s="92"/>
      <c r="B13" s="92"/>
      <c r="C13" s="455" t="s">
        <v>805</v>
      </c>
      <c r="D13" s="92"/>
      <c r="E13" s="92"/>
      <c r="F13" s="92"/>
      <c r="G13" s="92"/>
    </row>
    <row r="14" spans="1:13">
      <c r="A14" s="92"/>
      <c r="B14" s="92"/>
      <c r="C14" s="92"/>
      <c r="D14" s="92"/>
      <c r="E14" s="92"/>
      <c r="F14" s="92"/>
      <c r="G14" s="92"/>
    </row>
    <row r="15" spans="1:13">
      <c r="A15" s="104">
        <v>1</v>
      </c>
      <c r="B15" s="446" t="s">
        <v>624</v>
      </c>
      <c r="C15" s="777" t="s">
        <v>1032</v>
      </c>
      <c r="D15" s="778">
        <f>'[19]F.2.1'!$D$16</f>
        <v>36362.5</v>
      </c>
      <c r="E15" s="446" t="s">
        <v>1059</v>
      </c>
      <c r="F15" s="469">
        <f>D15</f>
        <v>36362.5</v>
      </c>
      <c r="G15" s="80"/>
      <c r="H15" s="80"/>
      <c r="I15" s="80"/>
      <c r="J15" s="80"/>
      <c r="K15" s="80"/>
      <c r="L15" s="80"/>
      <c r="M15" s="80"/>
    </row>
    <row r="16" spans="1:13">
      <c r="A16" s="104">
        <f t="shared" ref="A16:A23" si="0">A15+1</f>
        <v>2</v>
      </c>
      <c r="B16" s="446" t="s">
        <v>624</v>
      </c>
      <c r="C16" s="777" t="s">
        <v>1033</v>
      </c>
      <c r="D16" s="778">
        <v>0</v>
      </c>
      <c r="E16" s="437"/>
      <c r="F16" s="445">
        <f t="shared" ref="F16:F24" si="1">D16</f>
        <v>0</v>
      </c>
      <c r="G16" s="80"/>
    </row>
    <row r="17" spans="1:13">
      <c r="A17" s="104">
        <f>A16+1</f>
        <v>3</v>
      </c>
      <c r="B17" s="446" t="s">
        <v>624</v>
      </c>
      <c r="C17" s="777" t="s">
        <v>435</v>
      </c>
      <c r="D17" s="778">
        <v>0</v>
      </c>
      <c r="E17" s="437"/>
      <c r="F17" s="445">
        <f t="shared" si="1"/>
        <v>0</v>
      </c>
      <c r="G17" s="80"/>
    </row>
    <row r="18" spans="1:13">
      <c r="A18" s="104">
        <f t="shared" si="0"/>
        <v>4</v>
      </c>
      <c r="B18" s="446" t="s">
        <v>624</v>
      </c>
      <c r="C18" s="777" t="s">
        <v>958</v>
      </c>
      <c r="D18" s="778">
        <f>'[19]F.2.1'!$D$17</f>
        <v>17865.12</v>
      </c>
      <c r="E18" s="437"/>
      <c r="F18" s="445">
        <f t="shared" si="1"/>
        <v>17865.12</v>
      </c>
      <c r="G18" s="80"/>
      <c r="H18" s="80"/>
      <c r="I18" s="80"/>
      <c r="J18" s="80"/>
      <c r="K18" s="80"/>
      <c r="L18" s="80"/>
      <c r="M18" s="80"/>
    </row>
    <row r="19" spans="1:13">
      <c r="A19" s="104">
        <f t="shared" si="0"/>
        <v>5</v>
      </c>
      <c r="B19" s="446" t="s">
        <v>624</v>
      </c>
      <c r="C19" s="777" t="s">
        <v>959</v>
      </c>
      <c r="D19" s="778">
        <f>'[19]F.2.1'!$D$18</f>
        <v>6350</v>
      </c>
      <c r="E19" s="437"/>
      <c r="F19" s="445">
        <f t="shared" si="1"/>
        <v>6350</v>
      </c>
      <c r="G19" s="80"/>
      <c r="H19" s="80"/>
      <c r="I19" s="80"/>
      <c r="J19" s="80"/>
      <c r="K19" s="80"/>
      <c r="L19" s="80"/>
      <c r="M19" s="80"/>
    </row>
    <row r="20" spans="1:13">
      <c r="A20" s="104">
        <f t="shared" si="0"/>
        <v>6</v>
      </c>
      <c r="B20" s="446" t="s">
        <v>624</v>
      </c>
      <c r="C20" s="777" t="s">
        <v>1034</v>
      </c>
      <c r="D20" s="778">
        <f>'[19]F.2.1'!$D$15</f>
        <v>111309</v>
      </c>
      <c r="E20" s="437"/>
      <c r="F20" s="445">
        <f t="shared" si="1"/>
        <v>111309</v>
      </c>
      <c r="G20" s="80"/>
      <c r="H20" s="80"/>
      <c r="I20" s="80"/>
      <c r="J20" s="80"/>
      <c r="K20" s="80"/>
      <c r="L20" s="80"/>
      <c r="M20" s="80"/>
    </row>
    <row r="21" spans="1:13">
      <c r="A21" s="104">
        <f t="shared" si="0"/>
        <v>7</v>
      </c>
      <c r="B21" s="446" t="s">
        <v>624</v>
      </c>
      <c r="C21" s="780" t="s">
        <v>808</v>
      </c>
      <c r="D21" s="778">
        <f>'[19]F.2.1'!$D$20</f>
        <v>5000</v>
      </c>
      <c r="E21" s="437"/>
      <c r="F21" s="445">
        <f t="shared" si="1"/>
        <v>5000</v>
      </c>
      <c r="G21" s="80"/>
      <c r="H21" s="80"/>
      <c r="I21" s="80"/>
      <c r="J21" s="80"/>
      <c r="K21" s="80"/>
      <c r="L21" s="80"/>
      <c r="M21" s="80"/>
    </row>
    <row r="22" spans="1:13">
      <c r="A22" s="104">
        <f t="shared" si="0"/>
        <v>8</v>
      </c>
      <c r="B22" s="446" t="s">
        <v>624</v>
      </c>
      <c r="C22" s="780" t="s">
        <v>522</v>
      </c>
      <c r="D22" s="778">
        <v>0</v>
      </c>
      <c r="E22" s="437"/>
      <c r="F22" s="445">
        <f t="shared" si="1"/>
        <v>0</v>
      </c>
      <c r="G22" s="80"/>
      <c r="H22" s="80"/>
      <c r="I22" s="80"/>
      <c r="J22" s="80"/>
      <c r="K22" s="80"/>
      <c r="L22" s="80"/>
      <c r="M22" s="80"/>
    </row>
    <row r="23" spans="1:13">
      <c r="A23" s="104">
        <f t="shared" si="0"/>
        <v>9</v>
      </c>
      <c r="B23" s="446" t="s">
        <v>624</v>
      </c>
      <c r="C23" s="780" t="s">
        <v>1256</v>
      </c>
      <c r="D23" s="778">
        <f>'[19]F.2.1'!$D$19</f>
        <v>115000</v>
      </c>
      <c r="E23" s="437"/>
      <c r="F23" s="445">
        <f t="shared" si="1"/>
        <v>115000</v>
      </c>
      <c r="G23" s="80"/>
      <c r="H23" s="80"/>
      <c r="I23" s="80"/>
      <c r="J23" s="80"/>
      <c r="K23" s="80"/>
      <c r="L23" s="80"/>
      <c r="M23" s="80"/>
    </row>
    <row r="24" spans="1:13">
      <c r="A24" s="92"/>
      <c r="B24" s="437"/>
      <c r="C24" s="446" t="s">
        <v>96</v>
      </c>
      <c r="D24" s="560">
        <f>SUM(D15:D23,0)</f>
        <v>291886.62</v>
      </c>
      <c r="E24" s="437"/>
      <c r="F24" s="560">
        <f t="shared" si="1"/>
        <v>291886.62</v>
      </c>
      <c r="G24" s="92"/>
      <c r="H24" s="80"/>
      <c r="I24" s="80"/>
      <c r="J24" s="80"/>
      <c r="K24" s="80"/>
      <c r="L24" s="80"/>
      <c r="M24" s="80"/>
    </row>
    <row r="25" spans="1:13">
      <c r="A25" s="92"/>
      <c r="B25" s="92"/>
      <c r="C25" s="92"/>
      <c r="D25" s="92"/>
      <c r="E25" s="92"/>
      <c r="F25" s="92"/>
      <c r="G25" s="92"/>
      <c r="H25" s="80"/>
      <c r="I25" s="80"/>
      <c r="J25" s="80"/>
      <c r="K25" s="80"/>
      <c r="L25" s="80"/>
      <c r="M25" s="80"/>
    </row>
    <row r="26" spans="1:13" ht="15.75">
      <c r="A26" s="92"/>
      <c r="B26" s="437"/>
      <c r="C26" s="455" t="s">
        <v>1377</v>
      </c>
      <c r="D26" s="464"/>
      <c r="E26" s="437"/>
      <c r="F26" s="464"/>
      <c r="G26" s="92"/>
      <c r="H26" s="80"/>
      <c r="I26" s="80"/>
      <c r="J26" s="80"/>
      <c r="K26" s="80"/>
      <c r="L26" s="80"/>
      <c r="M26" s="80"/>
    </row>
    <row r="27" spans="1:13">
      <c r="A27" s="92"/>
      <c r="B27" s="437"/>
      <c r="C27" s="446"/>
      <c r="D27" s="464"/>
      <c r="E27" s="437"/>
      <c r="F27" s="464"/>
      <c r="G27" s="92"/>
      <c r="H27" s="80"/>
      <c r="I27" s="80"/>
      <c r="J27" s="80"/>
      <c r="K27" s="80"/>
      <c r="L27" s="80"/>
      <c r="M27" s="80"/>
    </row>
    <row r="28" spans="1:13">
      <c r="A28" s="104">
        <v>1</v>
      </c>
      <c r="B28" s="446" t="s">
        <v>624</v>
      </c>
      <c r="C28" s="777" t="s">
        <v>1032</v>
      </c>
      <c r="D28" s="778">
        <f>'[19]F.2.1'!$D$26</f>
        <v>36362.5</v>
      </c>
      <c r="E28" s="446" t="s">
        <v>1059</v>
      </c>
      <c r="F28" s="469">
        <f t="shared" ref="F28:F37" si="2">D28</f>
        <v>36362.5</v>
      </c>
      <c r="G28" s="92"/>
      <c r="H28" s="80"/>
      <c r="I28" s="80"/>
      <c r="J28" s="80"/>
      <c r="K28" s="80"/>
      <c r="L28" s="80"/>
      <c r="M28" s="80"/>
    </row>
    <row r="29" spans="1:13">
      <c r="A29" s="104">
        <f t="shared" ref="A29:A36" si="3">A28+1</f>
        <v>2</v>
      </c>
      <c r="B29" s="446" t="s">
        <v>624</v>
      </c>
      <c r="C29" s="777" t="s">
        <v>1033</v>
      </c>
      <c r="D29" s="778">
        <v>0</v>
      </c>
      <c r="E29" s="437"/>
      <c r="F29" s="445">
        <f t="shared" si="2"/>
        <v>0</v>
      </c>
      <c r="G29" s="92"/>
      <c r="H29" s="80"/>
      <c r="I29" s="80"/>
      <c r="J29" s="80"/>
      <c r="K29" s="80"/>
      <c r="L29" s="80"/>
      <c r="M29" s="80"/>
    </row>
    <row r="30" spans="1:13">
      <c r="A30" s="104">
        <f t="shared" si="3"/>
        <v>3</v>
      </c>
      <c r="B30" s="446" t="s">
        <v>624</v>
      </c>
      <c r="C30" s="777" t="s">
        <v>435</v>
      </c>
      <c r="D30" s="778">
        <v>0</v>
      </c>
      <c r="E30" s="437"/>
      <c r="F30" s="445">
        <f t="shared" si="2"/>
        <v>0</v>
      </c>
      <c r="G30" s="92"/>
      <c r="H30" s="80"/>
      <c r="I30" s="80"/>
      <c r="J30" s="80"/>
      <c r="K30" s="80"/>
      <c r="L30" s="80"/>
      <c r="M30" s="80"/>
    </row>
    <row r="31" spans="1:13">
      <c r="A31" s="104">
        <f t="shared" si="3"/>
        <v>4</v>
      </c>
      <c r="B31" s="446" t="s">
        <v>624</v>
      </c>
      <c r="C31" s="777" t="s">
        <v>958</v>
      </c>
      <c r="D31" s="778">
        <f>'[19]F.2.1'!$D$27</f>
        <v>17865.12</v>
      </c>
      <c r="E31" s="437"/>
      <c r="F31" s="445">
        <f t="shared" si="2"/>
        <v>17865.12</v>
      </c>
      <c r="G31" s="92"/>
      <c r="H31" s="80"/>
      <c r="I31" s="80"/>
      <c r="J31" s="80"/>
      <c r="K31" s="80"/>
      <c r="L31" s="80"/>
      <c r="M31" s="80"/>
    </row>
    <row r="32" spans="1:13">
      <c r="A32" s="104">
        <f t="shared" si="3"/>
        <v>5</v>
      </c>
      <c r="B32" s="446" t="s">
        <v>624</v>
      </c>
      <c r="C32" s="777" t="s">
        <v>959</v>
      </c>
      <c r="D32" s="778">
        <f>'[19]F.2.1'!$D$28</f>
        <v>6350</v>
      </c>
      <c r="E32" s="437"/>
      <c r="F32" s="445">
        <f t="shared" si="2"/>
        <v>6350</v>
      </c>
      <c r="G32" s="92"/>
      <c r="H32" s="80"/>
      <c r="I32" s="80"/>
      <c r="J32" s="80"/>
      <c r="K32" s="80"/>
      <c r="L32" s="80"/>
      <c r="M32" s="80"/>
    </row>
    <row r="33" spans="1:13">
      <c r="A33" s="104">
        <f t="shared" si="3"/>
        <v>6</v>
      </c>
      <c r="B33" s="446" t="s">
        <v>624</v>
      </c>
      <c r="C33" s="777" t="s">
        <v>1034</v>
      </c>
      <c r="D33" s="778">
        <f>'[19]F.2.1'!$D$25</f>
        <v>111309</v>
      </c>
      <c r="E33" s="437"/>
      <c r="F33" s="445">
        <f t="shared" si="2"/>
        <v>111309</v>
      </c>
      <c r="G33" s="92"/>
      <c r="H33" s="80"/>
      <c r="I33" s="80"/>
      <c r="J33" s="80"/>
      <c r="K33" s="80"/>
      <c r="L33" s="80"/>
      <c r="M33" s="80"/>
    </row>
    <row r="34" spans="1:13">
      <c r="A34" s="104">
        <f t="shared" si="3"/>
        <v>7</v>
      </c>
      <c r="B34" s="446" t="s">
        <v>624</v>
      </c>
      <c r="C34" s="780" t="s">
        <v>808</v>
      </c>
      <c r="D34" s="778">
        <f>'[19]F.2.1'!$D$30</f>
        <v>5000</v>
      </c>
      <c r="E34" s="437"/>
      <c r="F34" s="445">
        <f t="shared" si="2"/>
        <v>5000</v>
      </c>
      <c r="G34" s="92"/>
      <c r="H34" s="80"/>
      <c r="I34" s="80"/>
      <c r="J34" s="80"/>
      <c r="K34" s="80"/>
      <c r="L34" s="80"/>
      <c r="M34" s="80"/>
    </row>
    <row r="35" spans="1:13">
      <c r="A35" s="104">
        <f t="shared" si="3"/>
        <v>8</v>
      </c>
      <c r="B35" s="446" t="s">
        <v>624</v>
      </c>
      <c r="C35" s="780" t="s">
        <v>522</v>
      </c>
      <c r="D35" s="778">
        <v>0</v>
      </c>
      <c r="E35" s="437"/>
      <c r="F35" s="445">
        <f t="shared" si="2"/>
        <v>0</v>
      </c>
      <c r="G35" s="92"/>
      <c r="H35" s="80"/>
      <c r="I35" s="80"/>
      <c r="J35" s="80"/>
      <c r="K35" s="80"/>
      <c r="L35" s="80"/>
      <c r="M35" s="80"/>
    </row>
    <row r="36" spans="1:13">
      <c r="A36" s="104">
        <f t="shared" si="3"/>
        <v>9</v>
      </c>
      <c r="B36" s="446" t="s">
        <v>624</v>
      </c>
      <c r="C36" s="780" t="s">
        <v>1256</v>
      </c>
      <c r="D36" s="778">
        <f>'[19]F.2.1'!$D$29</f>
        <v>115000</v>
      </c>
      <c r="E36" s="437"/>
      <c r="F36" s="445">
        <f t="shared" si="2"/>
        <v>115000</v>
      </c>
      <c r="G36" s="92"/>
      <c r="H36" s="80"/>
      <c r="I36" s="80"/>
      <c r="J36" s="80"/>
      <c r="K36" s="80"/>
      <c r="L36" s="80"/>
      <c r="M36" s="80"/>
    </row>
    <row r="37" spans="1:13">
      <c r="A37" s="92"/>
      <c r="B37" s="437"/>
      <c r="C37" s="446" t="s">
        <v>96</v>
      </c>
      <c r="D37" s="560">
        <f>SUM(D28:D36,0)</f>
        <v>291886.62</v>
      </c>
      <c r="E37" s="437"/>
      <c r="F37" s="560">
        <f t="shared" si="2"/>
        <v>291886.62</v>
      </c>
      <c r="G37" s="92"/>
      <c r="H37" s="80"/>
      <c r="I37" s="80"/>
      <c r="J37" s="80"/>
      <c r="K37" s="80"/>
      <c r="L37" s="80"/>
      <c r="M37" s="80"/>
    </row>
    <row r="38" spans="1:13">
      <c r="A38" s="92"/>
      <c r="B38" s="92"/>
      <c r="C38" s="92"/>
      <c r="D38" s="92"/>
      <c r="E38" s="92"/>
      <c r="F38" s="92"/>
      <c r="G38" s="92"/>
      <c r="H38" s="80"/>
      <c r="I38" s="80"/>
      <c r="J38" s="80"/>
      <c r="K38" s="80"/>
      <c r="L38" s="80"/>
      <c r="M38" s="80"/>
    </row>
    <row r="39" spans="1:13" ht="15.75">
      <c r="A39" s="12"/>
      <c r="B39" s="92"/>
      <c r="C39" s="92"/>
      <c r="D39" s="92"/>
      <c r="E39" s="92"/>
      <c r="F39" s="92"/>
      <c r="G39" s="92"/>
      <c r="H39" s="80"/>
      <c r="I39" s="80"/>
      <c r="J39" s="80"/>
      <c r="K39" s="80"/>
      <c r="L39" s="80"/>
      <c r="M39" s="80"/>
    </row>
    <row r="40" spans="1:13">
      <c r="B40" s="96" t="s">
        <v>409</v>
      </c>
      <c r="G40" s="92"/>
      <c r="H40" s="80"/>
      <c r="I40" s="80"/>
      <c r="J40" s="80"/>
      <c r="K40" s="80"/>
      <c r="L40" s="80"/>
      <c r="M40" s="80"/>
    </row>
    <row r="41" spans="1:13">
      <c r="A41" s="92"/>
      <c r="B41" s="92"/>
      <c r="C41" s="92"/>
      <c r="D41" s="92"/>
      <c r="E41" s="92"/>
      <c r="F41" s="92"/>
      <c r="G41" s="92"/>
      <c r="H41" s="80"/>
      <c r="I41" s="80"/>
      <c r="J41" s="80"/>
      <c r="K41" s="80"/>
      <c r="L41" s="80"/>
      <c r="M41" s="80"/>
    </row>
    <row r="42" spans="1:13">
      <c r="H42" s="80"/>
      <c r="I42" s="80"/>
      <c r="J42" s="80"/>
      <c r="K42" s="80"/>
      <c r="L42" s="80"/>
      <c r="M42" s="80"/>
    </row>
    <row r="43" spans="1:13">
      <c r="B43" t="s">
        <v>518</v>
      </c>
      <c r="H43" s="80"/>
      <c r="I43" s="80"/>
      <c r="J43" s="80"/>
      <c r="K43" s="80"/>
      <c r="L43" s="80"/>
      <c r="M43" s="80"/>
    </row>
    <row r="44" spans="1:13">
      <c r="B44" t="s">
        <v>1478</v>
      </c>
      <c r="H44" s="80"/>
      <c r="I44" s="80"/>
      <c r="J44" s="80"/>
      <c r="K44" s="80"/>
      <c r="L44" s="80"/>
      <c r="M44" s="80"/>
    </row>
    <row r="45" spans="1:13">
      <c r="H45" s="80"/>
      <c r="I45" s="80"/>
      <c r="J45" s="80"/>
      <c r="K45" s="80"/>
      <c r="L45" s="80"/>
      <c r="M45" s="80"/>
    </row>
    <row r="46" spans="1:13">
      <c r="H46" s="80"/>
      <c r="I46" s="80"/>
      <c r="J46" s="80"/>
      <c r="K46" s="80"/>
      <c r="L46" s="80"/>
      <c r="M46" s="80"/>
    </row>
    <row r="47" spans="1:13">
      <c r="H47" s="80"/>
      <c r="I47" s="80"/>
      <c r="J47" s="80"/>
      <c r="K47" s="80"/>
      <c r="L47" s="80"/>
      <c r="M47" s="80"/>
    </row>
    <row r="48" spans="1:13">
      <c r="H48" s="80"/>
      <c r="I48" s="80"/>
      <c r="J48" s="80"/>
      <c r="K48" s="80"/>
      <c r="L48" s="80"/>
      <c r="M48" s="80"/>
    </row>
    <row r="49" spans="8:13">
      <c r="H49" s="80"/>
      <c r="I49" s="80"/>
      <c r="J49" s="80"/>
      <c r="K49" s="80"/>
      <c r="L49" s="80"/>
      <c r="M49" s="80"/>
    </row>
    <row r="50" spans="8:13">
      <c r="H50" s="80"/>
      <c r="I50" s="80"/>
      <c r="J50" s="80"/>
      <c r="K50" s="80"/>
      <c r="L50" s="80"/>
      <c r="M50" s="80"/>
    </row>
    <row r="51" spans="8:13">
      <c r="H51" s="80"/>
      <c r="I51" s="80"/>
      <c r="J51" s="80"/>
      <c r="K51" s="80"/>
      <c r="L51" s="80"/>
      <c r="M51" s="80"/>
    </row>
    <row r="52" spans="8:13">
      <c r="H52" s="80"/>
      <c r="I52" s="80"/>
      <c r="J52" s="80"/>
      <c r="K52" s="80"/>
      <c r="L52" s="80"/>
      <c r="M52" s="80"/>
    </row>
    <row r="53" spans="8:13">
      <c r="H53" s="80"/>
      <c r="I53" s="80"/>
      <c r="J53" s="80"/>
      <c r="K53" s="80"/>
      <c r="L53" s="80"/>
      <c r="M53" s="80"/>
    </row>
    <row r="54" spans="8:13">
      <c r="H54" s="80"/>
      <c r="I54" s="80"/>
      <c r="J54" s="80"/>
      <c r="K54" s="80"/>
      <c r="L54" s="80"/>
      <c r="M54" s="80"/>
    </row>
    <row r="55" spans="8:13">
      <c r="H55" s="80"/>
      <c r="I55" s="80"/>
      <c r="J55" s="80"/>
      <c r="K55" s="80"/>
      <c r="L55" s="80"/>
      <c r="M55" s="80"/>
    </row>
    <row r="56" spans="8:13">
      <c r="H56" s="80"/>
      <c r="I56" s="80"/>
      <c r="J56" s="80"/>
      <c r="K56" s="80"/>
      <c r="L56" s="80"/>
      <c r="M56" s="80"/>
    </row>
    <row r="57" spans="8:13">
      <c r="H57" s="80"/>
      <c r="I57" s="80"/>
      <c r="J57" s="80"/>
      <c r="K57" s="80"/>
      <c r="L57" s="80"/>
      <c r="M57" s="80"/>
    </row>
    <row r="58" spans="8:13">
      <c r="H58" s="80"/>
      <c r="I58" s="80"/>
      <c r="J58" s="80"/>
      <c r="K58" s="80"/>
      <c r="L58" s="80"/>
      <c r="M58" s="80"/>
    </row>
    <row r="59" spans="8:13">
      <c r="H59" s="80"/>
      <c r="I59" s="80"/>
      <c r="J59" s="80"/>
      <c r="K59" s="80"/>
      <c r="L59" s="80"/>
      <c r="M59" s="80"/>
    </row>
    <row r="60" spans="8:13">
      <c r="H60" s="80"/>
      <c r="I60" s="80"/>
      <c r="J60" s="80"/>
      <c r="K60" s="80"/>
      <c r="L60" s="80"/>
      <c r="M60" s="80"/>
    </row>
    <row r="61" spans="8:13">
      <c r="H61" s="80"/>
      <c r="I61" s="80"/>
      <c r="J61" s="80"/>
      <c r="K61" s="80"/>
      <c r="L61" s="80"/>
      <c r="M61" s="80"/>
    </row>
    <row r="62" spans="8:13">
      <c r="H62" s="80"/>
      <c r="I62" s="80"/>
      <c r="J62" s="80"/>
      <c r="K62" s="80"/>
      <c r="L62" s="80"/>
      <c r="M62" s="80"/>
    </row>
    <row r="63" spans="8:13">
      <c r="H63" s="80"/>
      <c r="I63" s="80"/>
      <c r="J63" s="80"/>
      <c r="K63" s="80"/>
      <c r="L63" s="80"/>
      <c r="M63" s="80"/>
    </row>
    <row r="64" spans="8:13">
      <c r="H64" s="80"/>
      <c r="I64" s="80"/>
      <c r="J64" s="80"/>
      <c r="K64" s="80"/>
      <c r="L64" s="80"/>
      <c r="M64" s="80"/>
    </row>
    <row r="65" spans="8:13">
      <c r="H65" s="80"/>
      <c r="I65" s="80"/>
      <c r="J65" s="80"/>
      <c r="K65" s="80"/>
      <c r="L65" s="80"/>
      <c r="M65" s="80"/>
    </row>
    <row r="66" spans="8:13">
      <c r="H66" s="80"/>
      <c r="I66" s="80"/>
      <c r="J66" s="80"/>
      <c r="K66" s="80"/>
      <c r="L66" s="80"/>
      <c r="M66" s="80"/>
    </row>
    <row r="67" spans="8:13">
      <c r="H67" s="80"/>
      <c r="I67" s="80"/>
      <c r="J67" s="80"/>
      <c r="K67" s="80"/>
      <c r="L67" s="80"/>
      <c r="M67" s="80"/>
    </row>
    <row r="68" spans="8:13">
      <c r="H68" s="80"/>
      <c r="I68" s="80"/>
      <c r="J68" s="80"/>
      <c r="K68" s="80"/>
      <c r="L68" s="80"/>
      <c r="M68" s="80"/>
    </row>
    <row r="69" spans="8:13">
      <c r="H69" s="80"/>
      <c r="I69" s="80"/>
      <c r="J69" s="80"/>
      <c r="K69" s="80"/>
      <c r="L69" s="80"/>
      <c r="M69" s="80"/>
    </row>
    <row r="70" spans="8:13">
      <c r="H70" s="80"/>
      <c r="I70" s="80"/>
      <c r="J70" s="80"/>
      <c r="K70" s="80"/>
      <c r="L70" s="80"/>
      <c r="M70" s="80"/>
    </row>
    <row r="71" spans="8:13">
      <c r="H71" s="80"/>
      <c r="I71" s="80"/>
      <c r="J71" s="80"/>
      <c r="K71" s="80"/>
      <c r="L71" s="80"/>
      <c r="M71" s="80"/>
    </row>
    <row r="72" spans="8:13">
      <c r="H72" s="80"/>
      <c r="I72" s="80"/>
      <c r="J72" s="80"/>
      <c r="K72" s="80"/>
      <c r="L72" s="80"/>
      <c r="M72" s="80"/>
    </row>
    <row r="73" spans="8:13">
      <c r="H73" s="80"/>
      <c r="I73" s="80"/>
      <c r="J73" s="80"/>
      <c r="K73" s="80"/>
      <c r="L73" s="80"/>
      <c r="M73" s="80"/>
    </row>
    <row r="74" spans="8:13">
      <c r="H74" s="80"/>
      <c r="I74" s="80"/>
      <c r="J74" s="80"/>
      <c r="K74" s="80"/>
      <c r="L74" s="80"/>
      <c r="M74" s="80"/>
    </row>
    <row r="75" spans="8:13">
      <c r="H75" s="80"/>
      <c r="I75" s="80"/>
      <c r="J75" s="80"/>
      <c r="K75" s="80"/>
      <c r="L75" s="80"/>
      <c r="M75" s="80"/>
    </row>
    <row r="76" spans="8:13">
      <c r="H76" s="80"/>
      <c r="I76" s="80"/>
      <c r="J76" s="80"/>
      <c r="K76" s="80"/>
      <c r="L76" s="80"/>
      <c r="M76" s="80"/>
    </row>
    <row r="77" spans="8:13">
      <c r="H77" s="80"/>
      <c r="I77" s="80"/>
      <c r="J77" s="80"/>
      <c r="K77" s="80"/>
      <c r="L77" s="80"/>
      <c r="M77" s="80"/>
    </row>
    <row r="78" spans="8:13">
      <c r="H78" s="80"/>
      <c r="I78" s="80"/>
      <c r="J78" s="80"/>
      <c r="K78" s="80"/>
      <c r="L78" s="80"/>
      <c r="M78" s="80"/>
    </row>
    <row r="79" spans="8:13">
      <c r="H79" s="80"/>
      <c r="I79" s="80"/>
      <c r="J79" s="80"/>
      <c r="K79" s="80"/>
      <c r="L79" s="80"/>
      <c r="M79" s="80"/>
    </row>
    <row r="80" spans="8:13">
      <c r="H80" s="80"/>
      <c r="I80" s="80"/>
      <c r="J80" s="80"/>
      <c r="K80" s="80"/>
      <c r="L80" s="80"/>
      <c r="M80" s="80"/>
    </row>
    <row r="81" spans="8:13">
      <c r="H81" s="80"/>
      <c r="I81" s="80"/>
      <c r="J81" s="80"/>
      <c r="K81" s="80"/>
      <c r="L81" s="80"/>
      <c r="M81" s="80"/>
    </row>
    <row r="82" spans="8:13">
      <c r="H82" s="80"/>
      <c r="I82" s="80"/>
      <c r="J82" s="80"/>
      <c r="K82" s="80"/>
      <c r="L82" s="80"/>
      <c r="M82" s="80"/>
    </row>
    <row r="83" spans="8:13">
      <c r="H83" s="80"/>
      <c r="I83" s="80"/>
      <c r="J83" s="80"/>
      <c r="K83" s="80"/>
      <c r="L83" s="80"/>
      <c r="M83" s="80"/>
    </row>
    <row r="84" spans="8:13">
      <c r="H84" s="80"/>
      <c r="I84" s="80"/>
      <c r="J84" s="80"/>
      <c r="K84" s="80"/>
      <c r="L84" s="80"/>
      <c r="M84" s="8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zoomScale="60" zoomScaleNormal="90" workbookViewId="0">
      <selection activeCell="C42" sqref="C42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198" t="str">
        <f>'Table of Contents'!A1:C1</f>
        <v>Atmos Energy Corporation, Kentucky/Mid-States Division</v>
      </c>
      <c r="B1" s="1198"/>
      <c r="C1" s="1198"/>
      <c r="D1" s="1198"/>
      <c r="E1" s="1198"/>
      <c r="F1" s="1198"/>
      <c r="G1" s="1198"/>
      <c r="H1" s="1198"/>
      <c r="I1" s="1198"/>
      <c r="J1" s="1198"/>
    </row>
    <row r="2" spans="1:14" ht="15.75">
      <c r="A2" s="1198" t="str">
        <f>'Table of Contents'!A2:C2</f>
        <v>Kentucky Jurisdiction Case No. 2018-00281</v>
      </c>
      <c r="B2" s="1198"/>
      <c r="C2" s="1198"/>
      <c r="D2" s="1198"/>
      <c r="E2" s="1198"/>
      <c r="F2" s="1198"/>
      <c r="G2" s="1198"/>
      <c r="H2" s="1198"/>
      <c r="I2" s="1198"/>
      <c r="J2" s="1198"/>
    </row>
    <row r="3" spans="1:14" ht="15.75">
      <c r="A3" s="1198" t="s">
        <v>777</v>
      </c>
      <c r="B3" s="1198"/>
      <c r="C3" s="1198"/>
      <c r="D3" s="1198"/>
      <c r="E3" s="1198"/>
      <c r="F3" s="1198"/>
      <c r="G3" s="1198"/>
      <c r="H3" s="1198"/>
      <c r="I3" s="1198"/>
      <c r="J3" s="1198"/>
    </row>
    <row r="4" spans="1:14" ht="15.75">
      <c r="A4" s="1198" t="str">
        <f>'Table of Contents'!A3:C3</f>
        <v>Base Period: Twelve Months Ended December 31, 2018</v>
      </c>
      <c r="B4" s="1198"/>
      <c r="C4" s="1198"/>
      <c r="D4" s="1198"/>
      <c r="E4" s="1198"/>
      <c r="F4" s="1198"/>
      <c r="G4" s="1198"/>
      <c r="H4" s="1198"/>
      <c r="I4" s="1198"/>
      <c r="J4" s="1198"/>
    </row>
    <row r="5" spans="1:14" ht="15.75">
      <c r="A5" s="1198" t="str">
        <f>'Table of Contents'!A4:C4</f>
        <v>Forecasted Test Period: Twelve Months Ended March 31, 2020</v>
      </c>
      <c r="B5" s="1198"/>
      <c r="C5" s="1198"/>
      <c r="D5" s="1198"/>
      <c r="E5" s="1198"/>
      <c r="F5" s="1198"/>
      <c r="G5" s="1198"/>
      <c r="H5" s="1198"/>
      <c r="I5" s="1198"/>
      <c r="J5" s="1198"/>
    </row>
    <row r="6" spans="1:14" ht="15.75">
      <c r="A6" s="92"/>
      <c r="B6" s="12"/>
      <c r="C6" s="92"/>
      <c r="D6" s="92"/>
      <c r="E6" s="92"/>
      <c r="F6" s="92"/>
      <c r="G6" s="92"/>
      <c r="H6" s="92"/>
      <c r="I6" s="92"/>
      <c r="J6" s="92"/>
    </row>
    <row r="7" spans="1:14" ht="15.75">
      <c r="A7" s="92"/>
      <c r="B7" s="12"/>
      <c r="C7" s="12"/>
      <c r="D7" s="92"/>
      <c r="E7" s="92"/>
      <c r="F7" s="92"/>
      <c r="G7" s="92"/>
      <c r="H7" s="92"/>
      <c r="J7" s="92"/>
    </row>
    <row r="8" spans="1:14" ht="15.75">
      <c r="A8" s="66" t="s">
        <v>480</v>
      </c>
      <c r="B8" s="12"/>
      <c r="C8" s="92"/>
      <c r="D8" s="92"/>
      <c r="E8" s="92"/>
      <c r="F8" s="92"/>
      <c r="G8" s="92"/>
      <c r="H8" s="92"/>
      <c r="J8" s="376" t="s">
        <v>1410</v>
      </c>
    </row>
    <row r="9" spans="1:14" ht="15.75">
      <c r="A9" s="66" t="s">
        <v>1122</v>
      </c>
      <c r="B9" s="12"/>
      <c r="C9" s="92"/>
      <c r="D9" s="92"/>
      <c r="E9" s="92"/>
      <c r="F9" s="92"/>
      <c r="G9" s="92"/>
      <c r="H9" s="92"/>
      <c r="J9" s="561" t="s">
        <v>481</v>
      </c>
    </row>
    <row r="10" spans="1:14" ht="15.75">
      <c r="A10" s="66" t="s">
        <v>426</v>
      </c>
      <c r="B10" s="12"/>
      <c r="C10" s="92"/>
      <c r="D10" s="92"/>
      <c r="E10" s="92"/>
      <c r="F10" s="92"/>
      <c r="G10" s="92"/>
      <c r="H10" s="92"/>
      <c r="I10" s="57"/>
      <c r="J10" s="562" t="str">
        <f>F.1!F9</f>
        <v>Witness: Waller</v>
      </c>
    </row>
    <row r="11" spans="1:14" ht="15.75">
      <c r="A11" s="119"/>
      <c r="B11" s="119"/>
      <c r="C11" s="119"/>
      <c r="D11" s="565"/>
      <c r="E11" s="566" t="s">
        <v>324</v>
      </c>
      <c r="F11" s="567"/>
      <c r="G11" s="119"/>
      <c r="H11" s="565"/>
      <c r="I11" s="566" t="s">
        <v>325</v>
      </c>
      <c r="J11" s="567"/>
    </row>
    <row r="12" spans="1:14">
      <c r="A12" s="90" t="s">
        <v>93</v>
      </c>
      <c r="B12" s="92"/>
      <c r="C12" s="100" t="s">
        <v>482</v>
      </c>
      <c r="D12" s="100" t="s">
        <v>96</v>
      </c>
      <c r="E12" s="92"/>
      <c r="F12" s="92"/>
      <c r="G12" s="92"/>
      <c r="H12" s="100" t="s">
        <v>96</v>
      </c>
      <c r="I12" s="92"/>
      <c r="J12" s="92"/>
    </row>
    <row r="13" spans="1:14">
      <c r="A13" s="91" t="s">
        <v>99</v>
      </c>
      <c r="B13" s="101" t="s">
        <v>175</v>
      </c>
      <c r="C13" s="101" t="s">
        <v>291</v>
      </c>
      <c r="D13" s="101" t="s">
        <v>593</v>
      </c>
      <c r="E13" s="101" t="s">
        <v>177</v>
      </c>
      <c r="F13" s="101" t="s">
        <v>594</v>
      </c>
      <c r="G13" s="97"/>
      <c r="H13" s="101" t="s">
        <v>593</v>
      </c>
      <c r="I13" s="101" t="s">
        <v>177</v>
      </c>
      <c r="J13" s="91" t="s">
        <v>594</v>
      </c>
    </row>
    <row r="14" spans="1:14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80"/>
      <c r="L15" s="80"/>
      <c r="M15" s="80"/>
      <c r="N15" s="80"/>
    </row>
    <row r="16" spans="1:14">
      <c r="A16" s="90">
        <v>1</v>
      </c>
      <c r="B16" s="90" t="s">
        <v>624</v>
      </c>
      <c r="C16" s="781" t="s">
        <v>73</v>
      </c>
      <c r="D16" s="782">
        <v>0</v>
      </c>
      <c r="E16" s="2" t="s">
        <v>1059</v>
      </c>
      <c r="F16" s="563">
        <f>D16</f>
        <v>0</v>
      </c>
      <c r="G16" s="92"/>
      <c r="H16" s="563">
        <f>D16</f>
        <v>0</v>
      </c>
      <c r="I16" s="117" t="s">
        <v>1059</v>
      </c>
      <c r="J16" s="563">
        <f>H16</f>
        <v>0</v>
      </c>
      <c r="K16" s="80"/>
      <c r="L16" s="80"/>
      <c r="M16" s="80"/>
      <c r="N16" s="80"/>
    </row>
    <row r="17" spans="1:14">
      <c r="A17" s="92"/>
      <c r="B17" s="92"/>
      <c r="C17" s="92" t="s">
        <v>74</v>
      </c>
      <c r="D17" s="92"/>
      <c r="E17" s="92"/>
      <c r="F17" s="92"/>
      <c r="G17" s="92"/>
      <c r="H17" s="92"/>
      <c r="I17" s="92"/>
      <c r="J17" s="92"/>
      <c r="K17" s="80"/>
      <c r="L17" s="80"/>
      <c r="M17" s="80"/>
      <c r="N17" s="80"/>
    </row>
    <row r="18" spans="1:14">
      <c r="A18" s="122">
        <v>2</v>
      </c>
      <c r="B18" s="90" t="s">
        <v>624</v>
      </c>
      <c r="C18" s="781" t="s">
        <v>75</v>
      </c>
      <c r="D18" s="783">
        <v>0</v>
      </c>
      <c r="E18" s="92"/>
      <c r="F18" s="104">
        <f>D18</f>
        <v>0</v>
      </c>
      <c r="G18" s="92"/>
      <c r="H18" s="104">
        <v>0</v>
      </c>
      <c r="I18" s="92"/>
      <c r="J18" s="104">
        <f>H18</f>
        <v>0</v>
      </c>
      <c r="K18" s="80"/>
      <c r="L18" s="80"/>
      <c r="M18" s="80"/>
      <c r="N18" s="80"/>
    </row>
    <row r="19" spans="1:1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80"/>
      <c r="L19" s="80"/>
      <c r="M19" s="80"/>
      <c r="N19" s="80"/>
    </row>
    <row r="20" spans="1:14" ht="15.75" thickBot="1">
      <c r="A20" s="123">
        <v>3</v>
      </c>
      <c r="B20" s="92"/>
      <c r="C20" s="90" t="s">
        <v>397</v>
      </c>
      <c r="D20" s="564">
        <f>SUM(D16:D18)</f>
        <v>0</v>
      </c>
      <c r="E20" s="92"/>
      <c r="F20" s="564">
        <f>SUM(F16:F18)</f>
        <v>0</v>
      </c>
      <c r="G20" s="92"/>
      <c r="H20" s="564">
        <f>SUM(H16:H18)</f>
        <v>0</v>
      </c>
      <c r="I20" s="92"/>
      <c r="J20" s="564">
        <f>SUM(J16:J18)</f>
        <v>0</v>
      </c>
      <c r="K20" s="80"/>
      <c r="L20" s="80"/>
      <c r="M20" s="80"/>
      <c r="N20" s="80"/>
    </row>
    <row r="21" spans="1:14" ht="15.75" thickTop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4">
      <c r="A22" s="90" t="s">
        <v>323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4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4">
      <c r="A24" s="66" t="s">
        <v>1230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4">
      <c r="A25" s="66" t="s">
        <v>1525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4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4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4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30" spans="1:14">
      <c r="B30" t="s">
        <v>518</v>
      </c>
    </row>
    <row r="31" spans="1:14">
      <c r="B31" t="s">
        <v>1480</v>
      </c>
    </row>
    <row r="35" spans="2:2">
      <c r="B35" s="592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40"/>
  <sheetViews>
    <sheetView view="pageBreakPreview" zoomScale="70" zoomScaleNormal="90" zoomScaleSheetLayoutView="70" workbookViewId="0">
      <selection activeCell="O32" sqref="O32"/>
    </sheetView>
  </sheetViews>
  <sheetFormatPr defaultRowHeight="15"/>
  <cols>
    <col min="1" max="1" width="4.44140625" style="80" customWidth="1"/>
    <col min="2" max="2" width="10.6640625" style="80" customWidth="1"/>
    <col min="3" max="3" width="35.77734375" style="80" customWidth="1"/>
    <col min="4" max="6" width="12" style="80" bestFit="1" customWidth="1"/>
    <col min="7" max="7" width="4.5546875" style="80" customWidth="1"/>
    <col min="8" max="8" width="11" style="80" bestFit="1" customWidth="1"/>
    <col min="9" max="9" width="11.6640625" style="80" customWidth="1"/>
    <col min="10" max="10" width="12" style="80" bestFit="1" customWidth="1"/>
    <col min="11" max="16384" width="8.88671875" style="80"/>
  </cols>
  <sheetData>
    <row r="1" spans="1:12" ht="15.75">
      <c r="A1" s="1198" t="str">
        <f>'Table of Contents'!A1:C1</f>
        <v>Atmos Energy Corporation, Kentucky/Mid-States Division</v>
      </c>
      <c r="B1" s="1198"/>
      <c r="C1" s="1198"/>
      <c r="D1" s="1198"/>
      <c r="E1" s="1198"/>
      <c r="F1" s="1198"/>
      <c r="G1" s="1198"/>
      <c r="H1" s="1198"/>
      <c r="I1" s="1198"/>
      <c r="J1" s="1198"/>
    </row>
    <row r="2" spans="1:12" ht="15.75">
      <c r="A2" s="1198" t="str">
        <f>'Table of Contents'!A2:C2</f>
        <v>Kentucky Jurisdiction Case No. 2018-00281</v>
      </c>
      <c r="B2" s="1198"/>
      <c r="C2" s="1198"/>
      <c r="D2" s="1198"/>
      <c r="E2" s="1198"/>
      <c r="F2" s="1198"/>
      <c r="G2" s="1198"/>
      <c r="H2" s="1198"/>
      <c r="I2" s="1198"/>
      <c r="J2" s="1198"/>
    </row>
    <row r="3" spans="1:12" ht="15.75">
      <c r="A3" s="1198" t="s">
        <v>610</v>
      </c>
      <c r="B3" s="1198"/>
      <c r="C3" s="1198"/>
      <c r="D3" s="1198"/>
      <c r="E3" s="1198"/>
      <c r="F3" s="1198"/>
      <c r="G3" s="1198"/>
      <c r="H3" s="1198"/>
      <c r="I3" s="1198"/>
      <c r="J3" s="1198"/>
    </row>
    <row r="4" spans="1:12" ht="15.75">
      <c r="A4" s="1198" t="str">
        <f>'Table of Contents'!A3:C3</f>
        <v>Base Period: Twelve Months Ended December 31, 2018</v>
      </c>
      <c r="B4" s="1198"/>
      <c r="C4" s="1198"/>
      <c r="D4" s="1198"/>
      <c r="E4" s="1198"/>
      <c r="F4" s="1198"/>
      <c r="G4" s="1198"/>
      <c r="H4" s="1198"/>
      <c r="I4" s="1198"/>
      <c r="J4" s="1198"/>
    </row>
    <row r="5" spans="1:12" ht="15.75">
      <c r="A5" s="1198" t="str">
        <f>'Table of Contents'!A4:C4</f>
        <v>Forecasted Test Period: Twelve Months Ended March 31, 2020</v>
      </c>
      <c r="B5" s="1198"/>
      <c r="C5" s="1198"/>
      <c r="D5" s="1198"/>
      <c r="E5" s="1198"/>
      <c r="F5" s="1198"/>
      <c r="G5" s="1198"/>
      <c r="H5" s="1198"/>
      <c r="I5" s="1198"/>
      <c r="J5" s="1198"/>
    </row>
    <row r="6" spans="1:12" ht="15.75">
      <c r="A6" s="103"/>
      <c r="B6" s="921"/>
      <c r="C6" s="103"/>
      <c r="D6" s="103"/>
      <c r="E6" s="103"/>
      <c r="F6" s="103"/>
      <c r="G6" s="103"/>
      <c r="H6" s="103"/>
      <c r="I6" s="103"/>
      <c r="J6" s="103"/>
    </row>
    <row r="7" spans="1:12" ht="15.75">
      <c r="A7" s="103"/>
      <c r="B7" s="921"/>
      <c r="C7" s="921"/>
      <c r="D7" s="103"/>
      <c r="E7" s="103"/>
      <c r="F7" s="103"/>
      <c r="G7" s="103"/>
      <c r="H7" s="103"/>
      <c r="J7" s="103"/>
    </row>
    <row r="8" spans="1:12" ht="15.75">
      <c r="A8" s="695" t="s">
        <v>483</v>
      </c>
      <c r="B8" s="921"/>
      <c r="C8" s="103"/>
      <c r="D8" s="103"/>
      <c r="E8" s="103"/>
      <c r="F8" s="103"/>
      <c r="G8" s="103"/>
      <c r="H8" s="103"/>
      <c r="J8" s="170" t="s">
        <v>1410</v>
      </c>
    </row>
    <row r="9" spans="1:12" ht="15.75">
      <c r="A9" s="695" t="s">
        <v>1125</v>
      </c>
      <c r="B9" s="921"/>
      <c r="C9" s="103"/>
      <c r="D9" s="103"/>
      <c r="E9" s="103"/>
      <c r="F9" s="103"/>
      <c r="G9" s="103"/>
      <c r="H9" s="103"/>
      <c r="J9" s="922" t="s">
        <v>484</v>
      </c>
    </row>
    <row r="10" spans="1:12" ht="15.75">
      <c r="A10" s="695" t="s">
        <v>365</v>
      </c>
      <c r="B10" s="921"/>
      <c r="C10" s="103"/>
      <c r="D10" s="103"/>
      <c r="E10" s="103"/>
      <c r="F10" s="103"/>
      <c r="G10" s="103"/>
      <c r="H10" s="103"/>
      <c r="I10" s="923"/>
      <c r="J10" s="924" t="str">
        <f>F.1!$F$9</f>
        <v>Witness: Waller</v>
      </c>
    </row>
    <row r="11" spans="1:12" ht="15.75">
      <c r="A11" s="925"/>
      <c r="B11" s="925"/>
      <c r="C11" s="925"/>
      <c r="D11" s="926"/>
      <c r="E11" s="927" t="s">
        <v>324</v>
      </c>
      <c r="F11" s="928"/>
      <c r="G11" s="925"/>
      <c r="H11" s="926"/>
      <c r="I11" s="927" t="s">
        <v>325</v>
      </c>
      <c r="J11" s="928"/>
    </row>
    <row r="12" spans="1:12">
      <c r="A12" s="121" t="s">
        <v>93</v>
      </c>
      <c r="B12" s="103"/>
      <c r="C12" s="121"/>
      <c r="D12" s="121" t="s">
        <v>96</v>
      </c>
      <c r="E12" s="848" t="s">
        <v>11</v>
      </c>
      <c r="F12" s="765" t="s">
        <v>12</v>
      </c>
      <c r="G12" s="103"/>
      <c r="H12" s="121" t="s">
        <v>96</v>
      </c>
      <c r="I12" s="848" t="s">
        <v>11</v>
      </c>
      <c r="J12" s="765" t="s">
        <v>12</v>
      </c>
    </row>
    <row r="13" spans="1:12">
      <c r="A13" s="649" t="s">
        <v>99</v>
      </c>
      <c r="B13" s="649" t="s">
        <v>175</v>
      </c>
      <c r="C13" s="649" t="s">
        <v>477</v>
      </c>
      <c r="D13" s="649" t="s">
        <v>593</v>
      </c>
      <c r="E13" s="929" t="s">
        <v>97</v>
      </c>
      <c r="F13" s="649" t="s">
        <v>104</v>
      </c>
      <c r="G13" s="930"/>
      <c r="H13" s="649" t="s">
        <v>593</v>
      </c>
      <c r="I13" s="929" t="s">
        <v>97</v>
      </c>
      <c r="J13" s="649" t="s">
        <v>104</v>
      </c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429">
        <v>1</v>
      </c>
      <c r="C15" s="931" t="s">
        <v>193</v>
      </c>
      <c r="D15" s="691"/>
      <c r="E15" s="429"/>
      <c r="F15" s="401"/>
      <c r="G15" s="802"/>
      <c r="H15" s="932"/>
      <c r="I15" s="429"/>
      <c r="J15" s="401"/>
    </row>
    <row r="16" spans="1:12">
      <c r="A16" s="933">
        <v>2</v>
      </c>
      <c r="B16" s="836" t="s">
        <v>624</v>
      </c>
      <c r="C16" s="934" t="s">
        <v>933</v>
      </c>
      <c r="D16" s="328">
        <v>0</v>
      </c>
      <c r="E16" s="616">
        <v>1</v>
      </c>
      <c r="F16" s="328">
        <f>D16*E16</f>
        <v>0</v>
      </c>
      <c r="G16" s="802"/>
      <c r="H16" s="328">
        <v>0</v>
      </c>
      <c r="I16" s="616">
        <f>E16</f>
        <v>1</v>
      </c>
      <c r="J16" s="328">
        <f>H16*I16</f>
        <v>0</v>
      </c>
      <c r="L16" s="935"/>
    </row>
    <row r="17" spans="1:12">
      <c r="A17" s="429">
        <v>3</v>
      </c>
      <c r="B17" s="836"/>
      <c r="C17" s="934"/>
      <c r="D17" s="420"/>
      <c r="E17" s="936"/>
      <c r="F17" s="420"/>
      <c r="G17" s="802"/>
      <c r="H17" s="420"/>
      <c r="I17" s="616"/>
      <c r="J17" s="420"/>
    </row>
    <row r="18" spans="1:12">
      <c r="A18" s="933">
        <v>4</v>
      </c>
      <c r="B18" s="836"/>
      <c r="C18" s="405" t="s">
        <v>96</v>
      </c>
      <c r="D18" s="328">
        <f>SUM(D16:D17)</f>
        <v>0</v>
      </c>
      <c r="E18" s="802"/>
      <c r="F18" s="328">
        <f>SUM(F16:F17)</f>
        <v>0</v>
      </c>
      <c r="G18" s="802"/>
      <c r="H18" s="328">
        <f>SUM(H16:H17)</f>
        <v>0</v>
      </c>
      <c r="I18" s="616"/>
      <c r="J18" s="328">
        <f>SUM(J16:J17)</f>
        <v>0</v>
      </c>
    </row>
    <row r="19" spans="1:12">
      <c r="A19" s="429">
        <v>5</v>
      </c>
      <c r="B19" s="802"/>
      <c r="C19" s="802"/>
      <c r="D19" s="381"/>
      <c r="E19" s="802"/>
      <c r="F19" s="381"/>
      <c r="G19" s="802"/>
      <c r="H19" s="381"/>
      <c r="I19" s="616"/>
      <c r="J19" s="381"/>
    </row>
    <row r="20" spans="1:12" ht="15.75">
      <c r="A20" s="933">
        <v>6</v>
      </c>
      <c r="C20" s="931" t="s">
        <v>78</v>
      </c>
      <c r="D20" s="937"/>
      <c r="E20" s="938"/>
      <c r="F20" s="939"/>
      <c r="G20" s="940"/>
      <c r="H20" s="937"/>
      <c r="I20" s="616"/>
      <c r="J20" s="939"/>
    </row>
    <row r="21" spans="1:12">
      <c r="A21" s="429">
        <v>7</v>
      </c>
      <c r="B21" s="836" t="s">
        <v>624</v>
      </c>
      <c r="C21" s="934" t="s">
        <v>933</v>
      </c>
      <c r="D21" s="328">
        <f>SUM('[13]Div 91 forecast'!$F$64:$Q$64)</f>
        <v>44391.825248591398</v>
      </c>
      <c r="E21" s="941">
        <f>Allocation!$I$17</f>
        <v>0.49780000000000002</v>
      </c>
      <c r="F21" s="328">
        <f>D21*E21</f>
        <v>22098.2506087488</v>
      </c>
      <c r="G21" s="802"/>
      <c r="H21" s="328">
        <f>SUM('[13]Div 91 forecast'!$U$64:$AF$64)</f>
        <v>37359.421786418738</v>
      </c>
      <c r="I21" s="941">
        <f>Allocation!$E$17</f>
        <v>0.49780000000000002</v>
      </c>
      <c r="J21" s="328">
        <f>H21*I21</f>
        <v>18597.520165279249</v>
      </c>
      <c r="L21" s="691"/>
    </row>
    <row r="22" spans="1:12">
      <c r="A22" s="933">
        <v>8</v>
      </c>
      <c r="B22" s="836"/>
      <c r="C22" s="934"/>
      <c r="D22" s="420"/>
      <c r="E22" s="324"/>
      <c r="F22" s="420"/>
      <c r="G22" s="103"/>
      <c r="H22" s="420"/>
      <c r="I22" s="941"/>
      <c r="J22" s="420"/>
    </row>
    <row r="23" spans="1:12">
      <c r="A23" s="429">
        <v>9</v>
      </c>
      <c r="B23" s="836"/>
      <c r="C23" s="405" t="s">
        <v>96</v>
      </c>
      <c r="D23" s="328">
        <f>SUM(D21:D22)</f>
        <v>44391.825248591398</v>
      </c>
      <c r="E23" s="103"/>
      <c r="F23" s="328">
        <f>SUM(F21:F22)</f>
        <v>22098.2506087488</v>
      </c>
      <c r="G23" s="103"/>
      <c r="H23" s="328">
        <f>SUM(H21:H22)</f>
        <v>37359.421786418738</v>
      </c>
      <c r="I23" s="941"/>
      <c r="J23" s="328">
        <f>SUM(J21:J22)</f>
        <v>18597.520165279249</v>
      </c>
    </row>
    <row r="24" spans="1:12">
      <c r="A24" s="933">
        <v>10</v>
      </c>
      <c r="B24" s="103"/>
      <c r="C24" s="103"/>
      <c r="D24" s="513"/>
      <c r="E24" s="103"/>
      <c r="F24" s="103"/>
      <c r="G24" s="103"/>
      <c r="H24" s="513"/>
      <c r="I24" s="941"/>
      <c r="J24" s="103"/>
    </row>
    <row r="25" spans="1:12" ht="15.75">
      <c r="A25" s="429">
        <v>11</v>
      </c>
      <c r="C25" s="931" t="s">
        <v>76</v>
      </c>
      <c r="D25" s="513"/>
      <c r="E25" s="103"/>
      <c r="F25" s="103"/>
      <c r="G25" s="103"/>
      <c r="H25" s="513"/>
      <c r="I25" s="941"/>
      <c r="J25" s="103"/>
    </row>
    <row r="26" spans="1:12">
      <c r="A26" s="933">
        <v>12</v>
      </c>
      <c r="B26" s="836" t="s">
        <v>624</v>
      </c>
      <c r="C26" s="934" t="s">
        <v>933</v>
      </c>
      <c r="D26" s="328">
        <f>'[13]Div 2 forecast'!$AH$68</f>
        <v>0</v>
      </c>
      <c r="E26" s="941">
        <f>Allocation!$I$14</f>
        <v>5.1771199999999996E-2</v>
      </c>
      <c r="F26" s="328">
        <f>D26*E26</f>
        <v>0</v>
      </c>
      <c r="H26" s="328">
        <f>'[13]Div 2 forecast'!$AI$68</f>
        <v>0</v>
      </c>
      <c r="I26" s="941">
        <f>Allocation!$E$14</f>
        <v>5.1771199999999996E-2</v>
      </c>
      <c r="J26" s="328">
        <f>H26*I26</f>
        <v>0</v>
      </c>
      <c r="L26" s="691"/>
    </row>
    <row r="27" spans="1:12">
      <c r="A27" s="429">
        <v>13</v>
      </c>
      <c r="B27" s="836"/>
      <c r="C27" s="934"/>
      <c r="D27" s="420"/>
      <c r="E27" s="324"/>
      <c r="F27" s="420"/>
      <c r="H27" s="420"/>
      <c r="I27" s="941"/>
      <c r="J27" s="420"/>
    </row>
    <row r="28" spans="1:12">
      <c r="A28" s="933">
        <v>14</v>
      </c>
      <c r="B28" s="836"/>
      <c r="C28" s="405" t="s">
        <v>96</v>
      </c>
      <c r="D28" s="328">
        <f>SUM(D26:D27)</f>
        <v>0</v>
      </c>
      <c r="E28" s="324"/>
      <c r="F28" s="328">
        <f>SUM(F26:F27)</f>
        <v>0</v>
      </c>
      <c r="H28" s="328">
        <f>SUM(H26:H27)</f>
        <v>0</v>
      </c>
      <c r="I28" s="941"/>
      <c r="J28" s="328">
        <f>SUM(J26:J27)</f>
        <v>0</v>
      </c>
    </row>
    <row r="29" spans="1:12">
      <c r="A29" s="429">
        <v>15</v>
      </c>
      <c r="D29" s="513"/>
      <c r="E29" s="324"/>
      <c r="H29" s="513"/>
      <c r="I29" s="941"/>
    </row>
    <row r="30" spans="1:12" ht="15.75">
      <c r="A30" s="933">
        <v>16</v>
      </c>
      <c r="C30" s="931" t="s">
        <v>77</v>
      </c>
      <c r="D30" s="513"/>
      <c r="E30" s="324"/>
      <c r="H30" s="513"/>
      <c r="I30" s="941"/>
    </row>
    <row r="31" spans="1:12">
      <c r="A31" s="429">
        <v>17</v>
      </c>
      <c r="B31" s="836" t="s">
        <v>624</v>
      </c>
      <c r="C31" s="934" t="s">
        <v>933</v>
      </c>
      <c r="D31" s="328">
        <f>SUM('[13]Div 12 forecast'!$F$34:$Q$34)</f>
        <v>175117.72624509645</v>
      </c>
      <c r="E31" s="941">
        <f>Allocation!$I$15</f>
        <v>5.6412179785543033E-2</v>
      </c>
      <c r="F31" s="328">
        <f>D31*E31</f>
        <v>9878.7726565738885</v>
      </c>
      <c r="H31" s="328">
        <f>SUM('[13]Div 12 forecast'!$U$34:$AF$34)</f>
        <v>300931.40557907586</v>
      </c>
      <c r="I31" s="941">
        <f>Allocation!$E$15</f>
        <v>5.6412179785543033E-2</v>
      </c>
      <c r="J31" s="328">
        <f>H31*I31</f>
        <v>16976.196554642996</v>
      </c>
      <c r="L31" s="691"/>
    </row>
    <row r="32" spans="1:12">
      <c r="A32" s="933">
        <v>18</v>
      </c>
      <c r="B32" s="836"/>
      <c r="C32" s="934"/>
      <c r="D32" s="420"/>
      <c r="E32" s="324"/>
      <c r="F32" s="420"/>
      <c r="H32" s="420"/>
      <c r="I32" s="941"/>
      <c r="J32" s="420"/>
    </row>
    <row r="33" spans="1:10">
      <c r="A33" s="429">
        <v>19</v>
      </c>
      <c r="B33" s="836"/>
      <c r="C33" s="405" t="s">
        <v>96</v>
      </c>
      <c r="D33" s="328">
        <f>SUM(D31:D32)</f>
        <v>175117.72624509645</v>
      </c>
      <c r="F33" s="328">
        <f>SUM(F31:F32)</f>
        <v>9878.7726565738885</v>
      </c>
      <c r="H33" s="328">
        <f>SUM(H31:H32)</f>
        <v>300931.40557907586</v>
      </c>
      <c r="J33" s="328">
        <f>SUM(J31:J32)</f>
        <v>16976.196554642996</v>
      </c>
    </row>
    <row r="34" spans="1:10">
      <c r="A34" s="933">
        <v>20</v>
      </c>
      <c r="D34" s="513"/>
    </row>
    <row r="35" spans="1:10" ht="16.5" thickBot="1">
      <c r="A35" s="429">
        <v>21</v>
      </c>
      <c r="C35" s="942" t="s">
        <v>934</v>
      </c>
      <c r="D35" s="512">
        <f>D33+D28+D23+D18</f>
        <v>219509.55149368785</v>
      </c>
      <c r="F35" s="512">
        <f>F33+F28+F23+F18</f>
        <v>31977.023265322689</v>
      </c>
      <c r="H35" s="512">
        <f>H33+H28+H23+H18</f>
        <v>338290.82736549457</v>
      </c>
      <c r="J35" s="512">
        <f>J33+J28+J23+J18</f>
        <v>35573.716719922246</v>
      </c>
    </row>
    <row r="36" spans="1:10" ht="16.5" thickTop="1">
      <c r="A36" s="429"/>
      <c r="C36" s="942"/>
      <c r="D36" s="322"/>
      <c r="F36" s="322"/>
      <c r="H36" s="322"/>
      <c r="J36" s="322"/>
    </row>
    <row r="37" spans="1:10" ht="15.75">
      <c r="C37" s="942"/>
    </row>
    <row r="39" spans="1:10">
      <c r="B39" s="80" t="s">
        <v>518</v>
      </c>
    </row>
    <row r="40" spans="1:10">
      <c r="B40" s="80" t="s">
        <v>1703</v>
      </c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70" zoomScaleNormal="90" zoomScaleSheetLayoutView="70" workbookViewId="0">
      <pane ySplit="13" topLeftCell="A14" activePane="bottomLeft" state="frozen"/>
      <selection activeCell="F45" sqref="F45"/>
      <selection pane="bottomLeft" activeCell="H49" sqref="H49"/>
    </sheetView>
  </sheetViews>
  <sheetFormatPr defaultRowHeight="15"/>
  <cols>
    <col min="1" max="1" width="4.109375" style="80" customWidth="1"/>
    <col min="2" max="2" width="8.88671875" style="80"/>
    <col min="3" max="3" width="50.6640625" style="80" customWidth="1"/>
    <col min="4" max="4" width="9.5546875" style="80" bestFit="1" customWidth="1"/>
    <col min="5" max="5" width="11.33203125" style="80" bestFit="1" customWidth="1"/>
    <col min="6" max="6" width="9.5546875" style="80" bestFit="1" customWidth="1"/>
    <col min="7" max="7" width="3.109375" style="80" customWidth="1"/>
    <col min="8" max="8" width="9.5546875" style="80" customWidth="1"/>
    <col min="9" max="9" width="11.21875" style="80" customWidth="1"/>
    <col min="10" max="10" width="9.5546875" style="80" customWidth="1"/>
    <col min="11" max="16384" width="8.88671875" style="80"/>
  </cols>
  <sheetData>
    <row r="1" spans="1:10" ht="15.75">
      <c r="A1" s="1218" t="str">
        <f>'Table of Contents'!A1:C1</f>
        <v>Atmos Energy Corporation, Kentucky/Mid-States Division</v>
      </c>
      <c r="B1" s="1218"/>
      <c r="C1" s="1218"/>
      <c r="D1" s="1218"/>
      <c r="E1" s="1218"/>
      <c r="F1" s="1218"/>
      <c r="G1" s="1218"/>
      <c r="H1" s="1218"/>
      <c r="I1" s="1218"/>
      <c r="J1" s="1218"/>
    </row>
    <row r="2" spans="1:10" ht="15.75">
      <c r="A2" s="1218" t="str">
        <f>'Table of Contents'!A2:C2</f>
        <v>Kentucky Jurisdiction Case No. 2018-00281</v>
      </c>
      <c r="B2" s="1218"/>
      <c r="C2" s="1218"/>
      <c r="D2" s="1218"/>
      <c r="E2" s="1218"/>
      <c r="F2" s="1218"/>
      <c r="G2" s="1218"/>
      <c r="H2" s="1218"/>
      <c r="I2" s="1218"/>
      <c r="J2" s="1218"/>
    </row>
    <row r="3" spans="1:10" ht="15.75">
      <c r="A3" s="1218" t="s">
        <v>1057</v>
      </c>
      <c r="B3" s="1218"/>
      <c r="C3" s="1218"/>
      <c r="D3" s="1218"/>
      <c r="E3" s="1218"/>
      <c r="F3" s="1218"/>
      <c r="G3" s="1218"/>
      <c r="H3" s="1218"/>
      <c r="I3" s="1218"/>
      <c r="J3" s="1218"/>
    </row>
    <row r="4" spans="1:10" ht="15.75">
      <c r="A4" s="1218" t="str">
        <f>'Table of Contents'!A3:C3</f>
        <v>Base Period: Twelve Months Ended December 31, 2018</v>
      </c>
      <c r="B4" s="1218"/>
      <c r="C4" s="1218"/>
      <c r="D4" s="1218"/>
      <c r="E4" s="1218"/>
      <c r="F4" s="1218"/>
      <c r="G4" s="1218"/>
      <c r="H4" s="1218"/>
      <c r="I4" s="1218"/>
      <c r="J4" s="1218"/>
    </row>
    <row r="5" spans="1:10" ht="15.75">
      <c r="A5" s="1218" t="str">
        <f>'Table of Contents'!A4:C4</f>
        <v>Forecasted Test Period: Twelve Months Ended March 31, 2020</v>
      </c>
      <c r="B5" s="1218"/>
      <c r="C5" s="1218"/>
      <c r="D5" s="1218"/>
      <c r="E5" s="1218"/>
      <c r="F5" s="1218"/>
      <c r="G5" s="1218"/>
      <c r="H5" s="1218"/>
      <c r="I5" s="1218"/>
      <c r="J5" s="1218"/>
    </row>
    <row r="6" spans="1:10" ht="15.75">
      <c r="A6" s="103"/>
      <c r="B6" s="921"/>
      <c r="C6" s="103"/>
      <c r="D6" s="1100"/>
      <c r="E6" s="103"/>
      <c r="F6" s="103"/>
      <c r="G6" s="103"/>
      <c r="H6" s="103"/>
      <c r="I6" s="103"/>
      <c r="J6" s="103"/>
    </row>
    <row r="7" spans="1:10" ht="15.75">
      <c r="A7" s="103"/>
      <c r="B7" s="921"/>
      <c r="C7" s="921"/>
      <c r="D7" s="103"/>
      <c r="E7" s="103"/>
      <c r="F7" s="103"/>
      <c r="G7" s="103"/>
      <c r="H7" s="103"/>
      <c r="J7" s="103"/>
    </row>
    <row r="8" spans="1:10" ht="15.75">
      <c r="A8" s="695" t="s">
        <v>136</v>
      </c>
      <c r="B8" s="921"/>
      <c r="C8" s="103"/>
      <c r="D8" s="103"/>
      <c r="E8" s="103"/>
      <c r="F8" s="103"/>
      <c r="G8" s="103"/>
      <c r="H8" s="103"/>
      <c r="J8" s="170" t="s">
        <v>1410</v>
      </c>
    </row>
    <row r="9" spans="1:10" ht="15.75">
      <c r="A9" s="695" t="s">
        <v>1124</v>
      </c>
      <c r="B9" s="921"/>
      <c r="C9" s="103"/>
      <c r="D9" s="103"/>
      <c r="E9" s="103"/>
      <c r="F9" s="103"/>
      <c r="G9" s="103"/>
      <c r="H9" s="103"/>
      <c r="J9" s="922" t="s">
        <v>137</v>
      </c>
    </row>
    <row r="10" spans="1:10" ht="15.75">
      <c r="A10" s="695" t="s">
        <v>365</v>
      </c>
      <c r="B10" s="921"/>
      <c r="C10" s="103"/>
      <c r="D10" s="103"/>
      <c r="E10" s="103"/>
      <c r="F10" s="103"/>
      <c r="G10" s="103"/>
      <c r="H10" s="103"/>
      <c r="J10" s="924" t="str">
        <f>F.1!$F$9</f>
        <v>Witness: Waller</v>
      </c>
    </row>
    <row r="11" spans="1:10" ht="15.75">
      <c r="A11" s="925"/>
      <c r="B11" s="925"/>
      <c r="C11" s="925"/>
      <c r="D11" s="926"/>
      <c r="E11" s="927" t="s">
        <v>324</v>
      </c>
      <c r="F11" s="928"/>
      <c r="G11" s="925"/>
      <c r="H11" s="926"/>
      <c r="I11" s="927" t="s">
        <v>325</v>
      </c>
      <c r="J11" s="928"/>
    </row>
    <row r="12" spans="1:10">
      <c r="A12" s="121" t="s">
        <v>93</v>
      </c>
      <c r="B12" s="121" t="s">
        <v>338</v>
      </c>
      <c r="C12" s="103"/>
      <c r="D12" s="121" t="s">
        <v>96</v>
      </c>
      <c r="E12" s="854" t="s">
        <v>11</v>
      </c>
      <c r="F12" s="956" t="s">
        <v>12</v>
      </c>
      <c r="G12" s="103"/>
      <c r="H12" s="121" t="s">
        <v>96</v>
      </c>
      <c r="I12" s="956" t="str">
        <f>E12</f>
        <v xml:space="preserve">Kentucky </v>
      </c>
      <c r="J12" s="956" t="s">
        <v>981</v>
      </c>
    </row>
    <row r="13" spans="1:10">
      <c r="A13" s="649" t="s">
        <v>99</v>
      </c>
      <c r="B13" s="649" t="s">
        <v>138</v>
      </c>
      <c r="C13" s="649" t="s">
        <v>477</v>
      </c>
      <c r="D13" s="649" t="s">
        <v>593</v>
      </c>
      <c r="E13" s="929" t="s">
        <v>97</v>
      </c>
      <c r="F13" s="649" t="s">
        <v>104</v>
      </c>
      <c r="G13" s="930"/>
      <c r="H13" s="649" t="s">
        <v>593</v>
      </c>
      <c r="I13" s="649" t="str">
        <f>E13</f>
        <v>Jurisdictional</v>
      </c>
      <c r="J13" s="649" t="s">
        <v>104</v>
      </c>
    </row>
    <row r="14" spans="1:10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5.75">
      <c r="A15" s="584">
        <v>1</v>
      </c>
      <c r="B15" s="103"/>
      <c r="C15" s="1101" t="s">
        <v>568</v>
      </c>
      <c r="D15" s="103"/>
      <c r="E15" s="103"/>
      <c r="F15" s="103"/>
      <c r="G15" s="103"/>
      <c r="H15" s="103"/>
      <c r="I15" s="103"/>
      <c r="J15" s="103"/>
    </row>
    <row r="16" spans="1:10">
      <c r="A16" s="584">
        <v>2</v>
      </c>
      <c r="B16" s="103"/>
      <c r="D16" s="103"/>
      <c r="E16" s="1102"/>
      <c r="F16" s="103"/>
      <c r="G16" s="103"/>
      <c r="H16" s="103"/>
      <c r="I16" s="1102"/>
      <c r="J16" s="103"/>
    </row>
    <row r="17" spans="1:14" ht="15.75">
      <c r="A17" s="584">
        <v>3</v>
      </c>
      <c r="B17" s="103"/>
      <c r="C17" s="931" t="s">
        <v>193</v>
      </c>
      <c r="D17" s="103"/>
      <c r="E17" s="1102"/>
      <c r="F17" s="103"/>
      <c r="G17" s="103"/>
      <c r="H17" s="103"/>
      <c r="I17" s="1102"/>
      <c r="J17" s="103"/>
    </row>
    <row r="18" spans="1:14">
      <c r="A18" s="584">
        <v>4</v>
      </c>
      <c r="B18" s="121">
        <v>907</v>
      </c>
      <c r="C18" s="1103" t="s">
        <v>977</v>
      </c>
      <c r="D18" s="572">
        <v>0</v>
      </c>
      <c r="E18" s="1104">
        <v>1</v>
      </c>
      <c r="F18" s="572">
        <f>D18*E18</f>
        <v>0</v>
      </c>
      <c r="G18" s="103"/>
      <c r="H18" s="572">
        <v>0</v>
      </c>
      <c r="I18" s="1104">
        <f>E18</f>
        <v>1</v>
      </c>
      <c r="J18" s="572">
        <f>H18*I18</f>
        <v>0</v>
      </c>
    </row>
    <row r="19" spans="1:14">
      <c r="A19" s="584">
        <v>5</v>
      </c>
      <c r="B19" s="121">
        <v>908</v>
      </c>
      <c r="C19" s="1103" t="s">
        <v>479</v>
      </c>
      <c r="D19" s="628">
        <v>0</v>
      </c>
      <c r="E19" s="336">
        <f>$E$18</f>
        <v>1</v>
      </c>
      <c r="F19" s="628">
        <f>D19*E19</f>
        <v>0</v>
      </c>
      <c r="G19" s="103"/>
      <c r="H19" s="628">
        <v>0</v>
      </c>
      <c r="I19" s="1104">
        <f>E19</f>
        <v>1</v>
      </c>
      <c r="J19" s="628">
        <f>H19*I19</f>
        <v>0</v>
      </c>
    </row>
    <row r="20" spans="1:14">
      <c r="A20" s="584">
        <v>6</v>
      </c>
      <c r="B20" s="121">
        <v>909</v>
      </c>
      <c r="C20" s="1103" t="s">
        <v>978</v>
      </c>
      <c r="D20" s="628">
        <f>'C.2.2 B 09'!P95</f>
        <v>129522.85695117761</v>
      </c>
      <c r="E20" s="336">
        <f>$E$18</f>
        <v>1</v>
      </c>
      <c r="F20" s="628">
        <f>D20*E20</f>
        <v>129522.85695117761</v>
      </c>
      <c r="G20" s="103"/>
      <c r="H20" s="628">
        <f>'C.2.2-F 09'!P95</f>
        <v>128271.64717990512</v>
      </c>
      <c r="I20" s="1104">
        <f>E20</f>
        <v>1</v>
      </c>
      <c r="J20" s="628">
        <f>H20*I20</f>
        <v>128271.64717990512</v>
      </c>
    </row>
    <row r="21" spans="1:14">
      <c r="A21" s="584">
        <v>7</v>
      </c>
      <c r="B21" s="1105">
        <v>910</v>
      </c>
      <c r="C21" s="1103" t="s">
        <v>979</v>
      </c>
      <c r="D21" s="629">
        <v>0</v>
      </c>
      <c r="E21" s="336">
        <f>$E$18</f>
        <v>1</v>
      </c>
      <c r="F21" s="629">
        <f>D21*E21</f>
        <v>0</v>
      </c>
      <c r="G21" s="103"/>
      <c r="H21" s="629">
        <v>0</v>
      </c>
      <c r="I21" s="1104">
        <f>E21</f>
        <v>1</v>
      </c>
      <c r="J21" s="629">
        <f>H21*I21</f>
        <v>0</v>
      </c>
    </row>
    <row r="22" spans="1:14">
      <c r="A22" s="584">
        <v>8</v>
      </c>
      <c r="B22" s="956"/>
      <c r="C22" s="1106" t="s">
        <v>96</v>
      </c>
      <c r="D22" s="360">
        <f>SUM(D18:D21)</f>
        <v>129522.85695117761</v>
      </c>
      <c r="E22" s="1102"/>
      <c r="F22" s="360">
        <f>SUM(F18:F21)</f>
        <v>129522.85695117761</v>
      </c>
      <c r="G22" s="103"/>
      <c r="H22" s="360">
        <f>SUM(H18:H21)</f>
        <v>128271.64717990512</v>
      </c>
      <c r="I22" s="1102"/>
      <c r="J22" s="360">
        <f>SUM(J18:J21)</f>
        <v>128271.64717990512</v>
      </c>
    </row>
    <row r="23" spans="1:14">
      <c r="A23" s="584">
        <v>9</v>
      </c>
      <c r="B23" s="956"/>
      <c r="C23" s="1106"/>
      <c r="D23" s="617"/>
      <c r="E23" s="1102"/>
      <c r="F23" s="617"/>
      <c r="G23" s="103"/>
      <c r="H23" s="617"/>
      <c r="I23" s="1102"/>
      <c r="J23" s="617"/>
    </row>
    <row r="24" spans="1:14" ht="15.75">
      <c r="A24" s="584">
        <v>10</v>
      </c>
      <c r="B24" s="956"/>
      <c r="C24" s="931" t="s">
        <v>78</v>
      </c>
      <c r="D24" s="617"/>
      <c r="E24" s="1102"/>
      <c r="F24" s="617"/>
      <c r="G24" s="103"/>
      <c r="H24" s="617"/>
      <c r="I24" s="1102"/>
      <c r="J24" s="617"/>
    </row>
    <row r="25" spans="1:14">
      <c r="A25" s="584">
        <v>11</v>
      </c>
      <c r="B25" s="121">
        <v>907</v>
      </c>
      <c r="C25" s="1103" t="s">
        <v>977</v>
      </c>
      <c r="D25" s="572">
        <v>0</v>
      </c>
      <c r="E25" s="1107">
        <f>Allocation!$I$17</f>
        <v>0.49780000000000002</v>
      </c>
      <c r="F25" s="360">
        <f>D25*E25</f>
        <v>0</v>
      </c>
      <c r="G25" s="103"/>
      <c r="H25" s="572">
        <v>0</v>
      </c>
      <c r="I25" s="1107">
        <f>Allocation!$E$17</f>
        <v>0.49780000000000002</v>
      </c>
      <c r="J25" s="360">
        <f>H25*I25</f>
        <v>0</v>
      </c>
    </row>
    <row r="26" spans="1:14">
      <c r="A26" s="584">
        <v>12</v>
      </c>
      <c r="B26" s="121">
        <v>908</v>
      </c>
      <c r="C26" s="1103" t="s">
        <v>479</v>
      </c>
      <c r="D26" s="628">
        <v>0</v>
      </c>
      <c r="E26" s="324">
        <f>$E$25</f>
        <v>0.49780000000000002</v>
      </c>
      <c r="F26" s="617">
        <f>D26*E26</f>
        <v>0</v>
      </c>
      <c r="H26" s="628">
        <v>0</v>
      </c>
      <c r="I26" s="1107">
        <f>I25</f>
        <v>0.49780000000000002</v>
      </c>
      <c r="J26" s="617">
        <f>H26*I26</f>
        <v>0</v>
      </c>
      <c r="N26" s="885"/>
    </row>
    <row r="27" spans="1:14">
      <c r="A27" s="584">
        <v>13</v>
      </c>
      <c r="B27" s="121">
        <v>909</v>
      </c>
      <c r="C27" s="1103" t="s">
        <v>978</v>
      </c>
      <c r="D27" s="628">
        <v>0</v>
      </c>
      <c r="E27" s="324">
        <f>$E$25</f>
        <v>0.49780000000000002</v>
      </c>
      <c r="F27" s="617">
        <f>D27*E27</f>
        <v>0</v>
      </c>
      <c r="H27" s="628">
        <v>0</v>
      </c>
      <c r="I27" s="1107">
        <f>I25</f>
        <v>0.49780000000000002</v>
      </c>
      <c r="J27" s="617">
        <f>H27*I27</f>
        <v>0</v>
      </c>
    </row>
    <row r="28" spans="1:14">
      <c r="A28" s="584">
        <v>14</v>
      </c>
      <c r="B28" s="1105">
        <v>910</v>
      </c>
      <c r="C28" s="1103" t="s">
        <v>979</v>
      </c>
      <c r="D28" s="629">
        <f>'C.2.2 B 91'!P38</f>
        <v>1363.2409973177885</v>
      </c>
      <c r="E28" s="324">
        <f>$E$25</f>
        <v>0.49780000000000002</v>
      </c>
      <c r="F28" s="1046">
        <f>D28*E28</f>
        <v>678.62136846479518</v>
      </c>
      <c r="H28" s="629">
        <f>'C.2.2-F 91'!P36</f>
        <v>1616.0048710250735</v>
      </c>
      <c r="I28" s="1107">
        <f>I25</f>
        <v>0.49780000000000002</v>
      </c>
      <c r="J28" s="1046">
        <f>H28*I28</f>
        <v>804.4472247962816</v>
      </c>
    </row>
    <row r="29" spans="1:14">
      <c r="A29" s="584">
        <v>15</v>
      </c>
      <c r="B29" s="854"/>
      <c r="C29" s="1106" t="s">
        <v>96</v>
      </c>
      <c r="D29" s="360">
        <f>SUM(D25:D28)</f>
        <v>1363.2409973177885</v>
      </c>
      <c r="E29" s="1102"/>
      <c r="F29" s="360">
        <f>SUM(F25:F28)</f>
        <v>678.62136846479518</v>
      </c>
      <c r="G29" s="103"/>
      <c r="H29" s="360">
        <f>SUM(H25:H28)</f>
        <v>1616.0048710250735</v>
      </c>
      <c r="I29" s="1102"/>
      <c r="J29" s="360">
        <f>SUM(J25:J28)</f>
        <v>804.4472247962816</v>
      </c>
    </row>
    <row r="30" spans="1:14">
      <c r="A30" s="584">
        <v>16</v>
      </c>
      <c r="B30" s="854"/>
      <c r="C30" s="1106"/>
      <c r="D30" s="617"/>
      <c r="E30" s="1102"/>
      <c r="F30" s="617"/>
      <c r="G30" s="103"/>
      <c r="H30" s="617"/>
      <c r="I30" s="1102"/>
      <c r="J30" s="617"/>
    </row>
    <row r="31" spans="1:14" ht="15.75">
      <c r="A31" s="584">
        <v>17</v>
      </c>
      <c r="B31" s="956"/>
      <c r="C31" s="931" t="s">
        <v>76</v>
      </c>
      <c r="D31" s="617"/>
      <c r="F31" s="617"/>
      <c r="H31" s="617"/>
      <c r="I31" s="1107"/>
      <c r="J31" s="617"/>
    </row>
    <row r="32" spans="1:14">
      <c r="A32" s="584">
        <v>18</v>
      </c>
      <c r="B32" s="121">
        <v>907</v>
      </c>
      <c r="C32" s="1103" t="s">
        <v>977</v>
      </c>
      <c r="D32" s="572">
        <v>0</v>
      </c>
      <c r="E32" s="324">
        <f>Allocation!$I$14</f>
        <v>5.1771199999999996E-2</v>
      </c>
      <c r="F32" s="360">
        <f>D32*E32</f>
        <v>0</v>
      </c>
      <c r="H32" s="572">
        <v>0</v>
      </c>
      <c r="I32" s="324">
        <f>Allocation!$E$14</f>
        <v>5.1771199999999996E-2</v>
      </c>
      <c r="J32" s="360">
        <f>H32*I32</f>
        <v>0</v>
      </c>
    </row>
    <row r="33" spans="1:10">
      <c r="A33" s="584">
        <v>19</v>
      </c>
      <c r="B33" s="121">
        <v>908</v>
      </c>
      <c r="C33" s="1103" t="s">
        <v>479</v>
      </c>
      <c r="D33" s="628">
        <v>0</v>
      </c>
      <c r="E33" s="324">
        <f>$E$32</f>
        <v>5.1771199999999996E-2</v>
      </c>
      <c r="F33" s="617">
        <f>D33*E33</f>
        <v>0</v>
      </c>
      <c r="H33" s="628">
        <v>0</v>
      </c>
      <c r="I33" s="1107">
        <f>I32</f>
        <v>5.1771199999999996E-2</v>
      </c>
      <c r="J33" s="617">
        <f>H33*I33</f>
        <v>0</v>
      </c>
    </row>
    <row r="34" spans="1:10">
      <c r="A34" s="584">
        <v>20</v>
      </c>
      <c r="B34" s="121">
        <v>909</v>
      </c>
      <c r="C34" s="1103" t="s">
        <v>978</v>
      </c>
      <c r="D34" s="628">
        <v>0</v>
      </c>
      <c r="E34" s="324">
        <f>$E$32</f>
        <v>5.1771199999999996E-2</v>
      </c>
      <c r="F34" s="617">
        <f>D34*E34</f>
        <v>0</v>
      </c>
      <c r="H34" s="628">
        <v>0</v>
      </c>
      <c r="I34" s="1107">
        <f>I32</f>
        <v>5.1771199999999996E-2</v>
      </c>
      <c r="J34" s="617">
        <f>H34*I34</f>
        <v>0</v>
      </c>
    </row>
    <row r="35" spans="1:10">
      <c r="A35" s="584">
        <v>21</v>
      </c>
      <c r="B35" s="1105">
        <v>910</v>
      </c>
      <c r="C35" s="1103" t="s">
        <v>979</v>
      </c>
      <c r="D35" s="629">
        <f>'C.2.2 B 02'!P26</f>
        <v>0</v>
      </c>
      <c r="E35" s="324">
        <f>$E$32</f>
        <v>5.1771199999999996E-2</v>
      </c>
      <c r="F35" s="1046">
        <f>D35*E35</f>
        <v>0</v>
      </c>
      <c r="G35" s="103"/>
      <c r="H35" s="629">
        <f>'C.2.2-F 02'!P24:P24</f>
        <v>0</v>
      </c>
      <c r="I35" s="1107">
        <f>I32</f>
        <v>5.1771199999999996E-2</v>
      </c>
      <c r="J35" s="1046">
        <f>H35*I35</f>
        <v>0</v>
      </c>
    </row>
    <row r="36" spans="1:10">
      <c r="A36" s="584">
        <v>22</v>
      </c>
      <c r="B36" s="121"/>
      <c r="C36" s="1106" t="s">
        <v>96</v>
      </c>
      <c r="D36" s="360">
        <f>SUM(D32:D35)</f>
        <v>0</v>
      </c>
      <c r="E36" s="1102"/>
      <c r="F36" s="360">
        <f>SUM(F32:F35)</f>
        <v>0</v>
      </c>
      <c r="G36" s="103"/>
      <c r="H36" s="360">
        <f>SUM(H32:H35)</f>
        <v>0</v>
      </c>
      <c r="I36" s="1102"/>
      <c r="J36" s="360">
        <f>SUM(J32:J35)</f>
        <v>0</v>
      </c>
    </row>
    <row r="37" spans="1:10">
      <c r="A37" s="584">
        <v>23</v>
      </c>
      <c r="B37" s="121"/>
      <c r="C37" s="1106"/>
      <c r="D37" s="617"/>
      <c r="E37" s="1102"/>
      <c r="F37" s="617"/>
      <c r="G37" s="103"/>
      <c r="H37" s="617"/>
      <c r="I37" s="1102"/>
      <c r="J37" s="617"/>
    </row>
    <row r="38" spans="1:10" ht="15.75">
      <c r="A38" s="584">
        <v>24</v>
      </c>
      <c r="B38" s="956"/>
      <c r="C38" s="931" t="s">
        <v>77</v>
      </c>
      <c r="D38" s="617"/>
      <c r="E38" s="103"/>
      <c r="F38" s="617"/>
      <c r="G38" s="103"/>
      <c r="H38" s="617"/>
      <c r="I38" s="1107"/>
      <c r="J38" s="617"/>
    </row>
    <row r="39" spans="1:10">
      <c r="A39" s="584">
        <v>25</v>
      </c>
      <c r="B39" s="121">
        <v>907</v>
      </c>
      <c r="C39" s="1103" t="s">
        <v>977</v>
      </c>
      <c r="D39" s="572">
        <v>0</v>
      </c>
      <c r="E39" s="324">
        <f>Allocation!$I$15</f>
        <v>5.6412179785543033E-2</v>
      </c>
      <c r="F39" s="360">
        <f>D39*E39</f>
        <v>0</v>
      </c>
      <c r="G39" s="103"/>
      <c r="H39" s="572">
        <v>0</v>
      </c>
      <c r="I39" s="324">
        <f>Allocation!$E$15</f>
        <v>5.6412179785543033E-2</v>
      </c>
      <c r="J39" s="360">
        <f>H39*I39</f>
        <v>0</v>
      </c>
    </row>
    <row r="40" spans="1:10">
      <c r="A40" s="584">
        <v>26</v>
      </c>
      <c r="B40" s="121">
        <v>908</v>
      </c>
      <c r="C40" s="1103" t="s">
        <v>479</v>
      </c>
      <c r="D40" s="628">
        <v>0</v>
      </c>
      <c r="E40" s="324">
        <f>$E$39</f>
        <v>5.6412179785543033E-2</v>
      </c>
      <c r="F40" s="617">
        <f>D40*E40</f>
        <v>0</v>
      </c>
      <c r="G40" s="103"/>
      <c r="H40" s="628">
        <v>0</v>
      </c>
      <c r="I40" s="1107">
        <f>I39</f>
        <v>5.6412179785543033E-2</v>
      </c>
      <c r="J40" s="617">
        <f>H40*I40</f>
        <v>0</v>
      </c>
    </row>
    <row r="41" spans="1:10">
      <c r="A41" s="584">
        <v>27</v>
      </c>
      <c r="B41" s="121">
        <v>909</v>
      </c>
      <c r="C41" s="1103" t="s">
        <v>978</v>
      </c>
      <c r="D41" s="628">
        <v>0</v>
      </c>
      <c r="E41" s="324">
        <f>$E$39</f>
        <v>5.6412179785543033E-2</v>
      </c>
      <c r="F41" s="617">
        <f>D41*E41</f>
        <v>0</v>
      </c>
      <c r="G41" s="103"/>
      <c r="H41" s="628">
        <v>0</v>
      </c>
      <c r="I41" s="1107">
        <f>I39</f>
        <v>5.6412179785543033E-2</v>
      </c>
      <c r="J41" s="617">
        <f>H41*I41</f>
        <v>0</v>
      </c>
    </row>
    <row r="42" spans="1:10">
      <c r="A42" s="584">
        <v>28</v>
      </c>
      <c r="B42" s="1105">
        <v>910</v>
      </c>
      <c r="C42" s="1103" t="s">
        <v>979</v>
      </c>
      <c r="D42" s="628">
        <v>0</v>
      </c>
      <c r="E42" s="324">
        <f>$E$39</f>
        <v>5.6412179785543033E-2</v>
      </c>
      <c r="F42" s="1046">
        <f>D42*E42</f>
        <v>0</v>
      </c>
      <c r="G42" s="103"/>
      <c r="H42" s="628">
        <v>0</v>
      </c>
      <c r="I42" s="1107">
        <f>I39</f>
        <v>5.6412179785543033E-2</v>
      </c>
      <c r="J42" s="1046">
        <f>H42*I42</f>
        <v>0</v>
      </c>
    </row>
    <row r="43" spans="1:10">
      <c r="A43" s="584">
        <v>29</v>
      </c>
      <c r="B43" s="121"/>
      <c r="C43" s="1106" t="s">
        <v>96</v>
      </c>
      <c r="D43" s="360">
        <f>SUM(D39:D42)</f>
        <v>0</v>
      </c>
      <c r="E43" s="1102"/>
      <c r="F43" s="360">
        <f>SUM(F39:F42)</f>
        <v>0</v>
      </c>
      <c r="G43" s="103"/>
      <c r="H43" s="360">
        <f>SUM(H39:H42)</f>
        <v>0</v>
      </c>
      <c r="I43" s="1102"/>
      <c r="J43" s="360">
        <f>SUM(J39:J42)</f>
        <v>0</v>
      </c>
    </row>
    <row r="44" spans="1:10">
      <c r="A44" s="584">
        <v>30</v>
      </c>
      <c r="B44" s="121"/>
      <c r="C44" s="1106"/>
      <c r="D44" s="617"/>
      <c r="E44" s="1102"/>
      <c r="F44" s="617"/>
      <c r="G44" s="103"/>
      <c r="H44" s="617"/>
      <c r="I44" s="1102"/>
      <c r="J44" s="617"/>
    </row>
    <row r="45" spans="1:10" ht="15.75">
      <c r="A45" s="584">
        <v>31</v>
      </c>
      <c r="B45" s="121"/>
      <c r="C45" s="1101" t="s">
        <v>494</v>
      </c>
      <c r="D45" s="617"/>
      <c r="E45" s="1102"/>
      <c r="F45" s="617"/>
      <c r="G45" s="103"/>
      <c r="H45" s="617"/>
      <c r="I45" s="1102"/>
      <c r="J45" s="617"/>
    </row>
    <row r="46" spans="1:10">
      <c r="A46" s="584">
        <v>32</v>
      </c>
      <c r="B46" s="956"/>
      <c r="D46" s="617"/>
      <c r="E46" s="103"/>
      <c r="F46" s="617" t="s">
        <v>323</v>
      </c>
      <c r="G46" s="103"/>
      <c r="H46" s="617"/>
      <c r="I46" s="103"/>
      <c r="J46" s="617" t="s">
        <v>323</v>
      </c>
    </row>
    <row r="47" spans="1:10" ht="15.75">
      <c r="A47" s="584">
        <v>33</v>
      </c>
      <c r="B47" s="956"/>
      <c r="C47" s="931" t="s">
        <v>193</v>
      </c>
      <c r="D47" s="617"/>
      <c r="E47" s="103"/>
      <c r="F47" s="617"/>
      <c r="G47" s="103"/>
      <c r="H47" s="617"/>
      <c r="I47" s="103"/>
      <c r="J47" s="617"/>
    </row>
    <row r="48" spans="1:10">
      <c r="A48" s="584">
        <v>34</v>
      </c>
      <c r="B48" s="121">
        <v>911</v>
      </c>
      <c r="C48" s="1103" t="s">
        <v>478</v>
      </c>
      <c r="D48" s="572">
        <f>'C.2.2 B 09'!P97</f>
        <v>253381.5692414387</v>
      </c>
      <c r="E48" s="336">
        <f>E18</f>
        <v>1</v>
      </c>
      <c r="F48" s="572">
        <f>D48*E48</f>
        <v>253381.5692414387</v>
      </c>
      <c r="G48" s="103"/>
      <c r="H48" s="572">
        <f>'C.2.2-F 09'!P97</f>
        <v>253467.52409467613</v>
      </c>
      <c r="I48" s="336">
        <f>I18</f>
        <v>1</v>
      </c>
      <c r="J48" s="572">
        <f>H48</f>
        <v>253467.52409467613</v>
      </c>
    </row>
    <row r="49" spans="1:10">
      <c r="A49" s="584">
        <v>35</v>
      </c>
      <c r="B49" s="121">
        <v>912</v>
      </c>
      <c r="C49" s="1103" t="s">
        <v>980</v>
      </c>
      <c r="D49" s="628">
        <f>'C.2.2 B 09'!P98</f>
        <v>143980.74002517364</v>
      </c>
      <c r="E49" s="336">
        <f t="shared" ref="E49:E72" si="0">E19</f>
        <v>1</v>
      </c>
      <c r="F49" s="628">
        <f>D49*E49</f>
        <v>143980.74002517364</v>
      </c>
      <c r="G49" s="103"/>
      <c r="H49" s="628">
        <f>'C.2.2-F 09'!P98</f>
        <v>115937.25847628263</v>
      </c>
      <c r="I49" s="336">
        <f t="shared" ref="I49:I72" si="1">I19</f>
        <v>1</v>
      </c>
      <c r="J49" s="628">
        <f>H49</f>
        <v>115937.25847628263</v>
      </c>
    </row>
    <row r="50" spans="1:10">
      <c r="A50" s="584">
        <v>36</v>
      </c>
      <c r="B50" s="121">
        <v>913</v>
      </c>
      <c r="C50" s="1103" t="s">
        <v>954</v>
      </c>
      <c r="D50" s="628">
        <f>'C.2.2 B 09'!P99</f>
        <v>43529.689894270545</v>
      </c>
      <c r="E50" s="336">
        <f t="shared" si="0"/>
        <v>1</v>
      </c>
      <c r="F50" s="628">
        <f>D50*E50</f>
        <v>43529.689894270545</v>
      </c>
      <c r="G50" s="103"/>
      <c r="H50" s="628">
        <f>'C.2.2-F 09'!P99</f>
        <v>35170.346903187507</v>
      </c>
      <c r="I50" s="336">
        <f t="shared" si="1"/>
        <v>1</v>
      </c>
      <c r="J50" s="628">
        <f>H50</f>
        <v>35170.346903187507</v>
      </c>
    </row>
    <row r="51" spans="1:10">
      <c r="A51" s="584">
        <v>37</v>
      </c>
      <c r="B51" s="1105">
        <v>916</v>
      </c>
      <c r="C51" s="1103" t="s">
        <v>955</v>
      </c>
      <c r="D51" s="629">
        <v>0</v>
      </c>
      <c r="E51" s="336">
        <f t="shared" si="0"/>
        <v>1</v>
      </c>
      <c r="F51" s="629">
        <f>D51*E51</f>
        <v>0</v>
      </c>
      <c r="G51" s="103"/>
      <c r="H51" s="629">
        <v>0</v>
      </c>
      <c r="I51" s="336">
        <f t="shared" si="1"/>
        <v>1</v>
      </c>
      <c r="J51" s="629">
        <f>H51</f>
        <v>0</v>
      </c>
    </row>
    <row r="52" spans="1:10">
      <c r="A52" s="584">
        <v>38</v>
      </c>
      <c r="B52" s="956"/>
      <c r="C52" s="1108" t="s">
        <v>96</v>
      </c>
      <c r="D52" s="360">
        <f>SUM(D48:D51)</f>
        <v>440891.9991608829</v>
      </c>
      <c r="E52" s="336"/>
      <c r="F52" s="360">
        <f>SUM(F48:F51)</f>
        <v>440891.9991608829</v>
      </c>
      <c r="G52" s="103"/>
      <c r="H52" s="360">
        <f>SUM(H48:H51)</f>
        <v>404575.12947414629</v>
      </c>
      <c r="I52" s="336"/>
      <c r="J52" s="360">
        <f>SUM(J48:J51)</f>
        <v>404575.12947414629</v>
      </c>
    </row>
    <row r="53" spans="1:10">
      <c r="A53" s="584">
        <v>39</v>
      </c>
      <c r="B53" s="956"/>
      <c r="C53" s="103"/>
      <c r="D53" s="103"/>
      <c r="E53" s="336"/>
      <c r="F53" s="103"/>
      <c r="G53" s="103"/>
      <c r="H53" s="103"/>
      <c r="I53" s="336"/>
      <c r="J53" s="103"/>
    </row>
    <row r="54" spans="1:10" ht="15.75">
      <c r="A54" s="584">
        <v>40</v>
      </c>
      <c r="B54" s="956"/>
      <c r="C54" s="931" t="s">
        <v>78</v>
      </c>
      <c r="D54" s="103"/>
      <c r="E54" s="336"/>
      <c r="F54" s="103"/>
      <c r="G54" s="103"/>
      <c r="H54" s="103"/>
      <c r="I54" s="336"/>
      <c r="J54" s="103"/>
    </row>
    <row r="55" spans="1:10">
      <c r="A55" s="584">
        <v>41</v>
      </c>
      <c r="B55" s="121">
        <v>911</v>
      </c>
      <c r="C55" s="1103" t="s">
        <v>478</v>
      </c>
      <c r="D55" s="360">
        <f>'C.2.2 B 91'!P39</f>
        <v>194693.62077373595</v>
      </c>
      <c r="E55" s="324">
        <f t="shared" si="0"/>
        <v>0.49780000000000002</v>
      </c>
      <c r="F55" s="360">
        <f>D55*E55</f>
        <v>96918.484421165762</v>
      </c>
      <c r="G55" s="103"/>
      <c r="H55" s="360">
        <f>'C.2.2-F 91'!P37</f>
        <v>210010.51048266279</v>
      </c>
      <c r="I55" s="324">
        <f t="shared" si="1"/>
        <v>0.49780000000000002</v>
      </c>
      <c r="J55" s="360">
        <f>H55*I55</f>
        <v>104543.23211826955</v>
      </c>
    </row>
    <row r="56" spans="1:10">
      <c r="A56" s="584">
        <v>42</v>
      </c>
      <c r="B56" s="121">
        <v>912</v>
      </c>
      <c r="C56" s="1103" t="s">
        <v>980</v>
      </c>
      <c r="D56" s="103">
        <f>'C.2.2 B 91'!P40</f>
        <v>0</v>
      </c>
      <c r="E56" s="324">
        <f t="shared" si="0"/>
        <v>0.49780000000000002</v>
      </c>
      <c r="F56" s="103">
        <f>D56*E56</f>
        <v>0</v>
      </c>
      <c r="G56" s="103"/>
      <c r="H56" s="103">
        <f>'C.2.2-F 91'!P38</f>
        <v>0</v>
      </c>
      <c r="I56" s="324">
        <f t="shared" si="1"/>
        <v>0.49780000000000002</v>
      </c>
      <c r="J56" s="103">
        <f>H56*I56</f>
        <v>0</v>
      </c>
    </row>
    <row r="57" spans="1:10">
      <c r="A57" s="584">
        <v>43</v>
      </c>
      <c r="B57" s="121">
        <v>913</v>
      </c>
      <c r="C57" s="1103" t="s">
        <v>954</v>
      </c>
      <c r="D57" s="103">
        <f>'C.2.2 B 91'!P41</f>
        <v>1229.8325670277413</v>
      </c>
      <c r="E57" s="324">
        <f t="shared" si="0"/>
        <v>0.49780000000000002</v>
      </c>
      <c r="F57" s="103">
        <f>D57*E57</f>
        <v>612.21065186640965</v>
      </c>
      <c r="G57" s="103"/>
      <c r="H57" s="103">
        <f>'C.2.2-F 91'!P39</f>
        <v>1457.8606591001817</v>
      </c>
      <c r="I57" s="324">
        <f t="shared" si="1"/>
        <v>0.49780000000000002</v>
      </c>
      <c r="J57" s="103">
        <f>H57*I57</f>
        <v>725.72303610007043</v>
      </c>
    </row>
    <row r="58" spans="1:10">
      <c r="A58" s="584">
        <v>44</v>
      </c>
      <c r="B58" s="1105">
        <v>916</v>
      </c>
      <c r="C58" s="1103" t="s">
        <v>955</v>
      </c>
      <c r="D58" s="958">
        <v>0</v>
      </c>
      <c r="E58" s="324">
        <f t="shared" si="0"/>
        <v>0.49780000000000002</v>
      </c>
      <c r="F58" s="958">
        <f>D58*E58</f>
        <v>0</v>
      </c>
      <c r="G58" s="103"/>
      <c r="H58" s="958">
        <v>0</v>
      </c>
      <c r="I58" s="324">
        <f t="shared" si="1"/>
        <v>0.49780000000000002</v>
      </c>
      <c r="J58" s="958">
        <f>H58*I58</f>
        <v>0</v>
      </c>
    </row>
    <row r="59" spans="1:10">
      <c r="A59" s="584">
        <v>45</v>
      </c>
      <c r="B59" s="956"/>
      <c r="C59" s="1108" t="s">
        <v>96</v>
      </c>
      <c r="D59" s="360">
        <f>SUM(D55:D58)</f>
        <v>195923.45334076369</v>
      </c>
      <c r="E59" s="336"/>
      <c r="F59" s="360">
        <f>SUM(F55:F58)</f>
        <v>97530.69507303217</v>
      </c>
      <c r="G59" s="103"/>
      <c r="H59" s="360">
        <f>SUM(H55:H58)</f>
        <v>211468.37114176297</v>
      </c>
      <c r="I59" s="324"/>
      <c r="J59" s="360">
        <f>SUM(J55:J58)</f>
        <v>105268.95515436961</v>
      </c>
    </row>
    <row r="60" spans="1:10">
      <c r="A60" s="584">
        <v>46</v>
      </c>
      <c r="B60" s="1109"/>
      <c r="C60" s="103"/>
      <c r="D60" s="103"/>
      <c r="E60" s="324"/>
      <c r="F60" s="103"/>
      <c r="G60" s="103"/>
      <c r="H60" s="103"/>
      <c r="I60" s="324"/>
      <c r="J60" s="103"/>
    </row>
    <row r="61" spans="1:10" ht="15.75">
      <c r="A61" s="584">
        <v>47</v>
      </c>
      <c r="B61" s="956"/>
      <c r="C61" s="931" t="s">
        <v>76</v>
      </c>
      <c r="D61" s="103"/>
      <c r="E61" s="324"/>
      <c r="F61" s="103"/>
      <c r="G61" s="103"/>
      <c r="H61" s="103"/>
      <c r="I61" s="324"/>
      <c r="J61" s="103"/>
    </row>
    <row r="62" spans="1:10">
      <c r="A62" s="584">
        <v>48</v>
      </c>
      <c r="B62" s="121">
        <v>911</v>
      </c>
      <c r="C62" s="1103" t="s">
        <v>478</v>
      </c>
      <c r="D62" s="360">
        <v>0</v>
      </c>
      <c r="E62" s="324">
        <f t="shared" si="0"/>
        <v>5.1771199999999996E-2</v>
      </c>
      <c r="F62" s="360">
        <f>D62*E62</f>
        <v>0</v>
      </c>
      <c r="G62" s="103"/>
      <c r="H62" s="360">
        <v>0</v>
      </c>
      <c r="I62" s="324">
        <f t="shared" si="1"/>
        <v>5.1771199999999996E-2</v>
      </c>
      <c r="J62" s="360">
        <f>H62*I62</f>
        <v>0</v>
      </c>
    </row>
    <row r="63" spans="1:10">
      <c r="A63" s="584">
        <v>49</v>
      </c>
      <c r="B63" s="121">
        <v>912</v>
      </c>
      <c r="C63" s="1103" t="s">
        <v>980</v>
      </c>
      <c r="D63" s="617">
        <f>'C.2.2 B 02'!P27</f>
        <v>20338.51571180559</v>
      </c>
      <c r="E63" s="324">
        <f t="shared" si="0"/>
        <v>5.1771199999999996E-2</v>
      </c>
      <c r="F63" s="617">
        <f>D63*E63</f>
        <v>1052.9493646190294</v>
      </c>
      <c r="G63" s="103"/>
      <c r="H63" s="617">
        <f>'C.2.2-F 02'!P25</f>
        <v>22686.298950468012</v>
      </c>
      <c r="I63" s="324">
        <f t="shared" si="1"/>
        <v>5.1771199999999996E-2</v>
      </c>
      <c r="J63" s="617">
        <f>H63*I63</f>
        <v>1174.4969202244695</v>
      </c>
    </row>
    <row r="64" spans="1:10">
      <c r="A64" s="584">
        <v>50</v>
      </c>
      <c r="B64" s="121">
        <v>913</v>
      </c>
      <c r="C64" s="1103" t="s">
        <v>954</v>
      </c>
      <c r="D64" s="617">
        <v>0</v>
      </c>
      <c r="E64" s="324">
        <f t="shared" si="0"/>
        <v>5.1771199999999996E-2</v>
      </c>
      <c r="F64" s="617">
        <f>D64*E64</f>
        <v>0</v>
      </c>
      <c r="G64" s="103"/>
      <c r="H64" s="617">
        <v>0</v>
      </c>
      <c r="I64" s="324">
        <f t="shared" si="1"/>
        <v>5.1771199999999996E-2</v>
      </c>
      <c r="J64" s="617">
        <f>H64*I64</f>
        <v>0</v>
      </c>
    </row>
    <row r="65" spans="1:10">
      <c r="A65" s="584">
        <v>51</v>
      </c>
      <c r="B65" s="1105">
        <v>916</v>
      </c>
      <c r="C65" s="1103" t="s">
        <v>955</v>
      </c>
      <c r="D65" s="1046">
        <v>0</v>
      </c>
      <c r="E65" s="324">
        <f t="shared" si="0"/>
        <v>5.1771199999999996E-2</v>
      </c>
      <c r="F65" s="1046">
        <f>D65*E65</f>
        <v>0</v>
      </c>
      <c r="G65" s="103"/>
      <c r="H65" s="1046">
        <v>0</v>
      </c>
      <c r="I65" s="324">
        <f t="shared" si="1"/>
        <v>5.1771199999999996E-2</v>
      </c>
      <c r="J65" s="1046">
        <f>H65*I65</f>
        <v>0</v>
      </c>
    </row>
    <row r="66" spans="1:10">
      <c r="A66" s="584">
        <v>52</v>
      </c>
      <c r="B66" s="956"/>
      <c r="C66" s="1108" t="s">
        <v>96</v>
      </c>
      <c r="D66" s="360">
        <f>SUM(D62:D65)</f>
        <v>20338.51571180559</v>
      </c>
      <c r="E66" s="336"/>
      <c r="F66" s="360">
        <f>SUM(F62:F65)</f>
        <v>1052.9493646190294</v>
      </c>
      <c r="G66" s="103"/>
      <c r="H66" s="360">
        <f>SUM(H62:H65)</f>
        <v>22686.298950468012</v>
      </c>
      <c r="I66" s="324"/>
      <c r="J66" s="360">
        <f>SUM(J62:J65)</f>
        <v>1174.4969202244695</v>
      </c>
    </row>
    <row r="67" spans="1:10">
      <c r="A67" s="584">
        <v>53</v>
      </c>
      <c r="B67" s="1109"/>
      <c r="C67" s="103"/>
      <c r="D67" s="103"/>
      <c r="E67" s="324"/>
      <c r="F67" s="103"/>
      <c r="G67" s="103"/>
      <c r="H67" s="103"/>
      <c r="I67" s="324"/>
      <c r="J67" s="103"/>
    </row>
    <row r="68" spans="1:10" ht="15.75">
      <c r="A68" s="584">
        <v>54</v>
      </c>
      <c r="B68" s="956"/>
      <c r="C68" s="931" t="s">
        <v>77</v>
      </c>
      <c r="D68" s="103"/>
      <c r="E68" s="324"/>
      <c r="F68" s="103"/>
      <c r="G68" s="103"/>
      <c r="H68" s="103"/>
      <c r="I68" s="324"/>
      <c r="J68" s="103"/>
    </row>
    <row r="69" spans="1:10">
      <c r="A69" s="584">
        <v>55</v>
      </c>
      <c r="B69" s="121">
        <v>911</v>
      </c>
      <c r="C69" s="1103" t="s">
        <v>478</v>
      </c>
      <c r="D69" s="360">
        <v>0</v>
      </c>
      <c r="E69" s="324">
        <f t="shared" si="0"/>
        <v>5.6412179785543033E-2</v>
      </c>
      <c r="F69" s="360">
        <f>D69*E69</f>
        <v>0</v>
      </c>
      <c r="G69" s="103"/>
      <c r="H69" s="360">
        <v>0</v>
      </c>
      <c r="I69" s="324">
        <f t="shared" si="1"/>
        <v>5.6412179785543033E-2</v>
      </c>
      <c r="J69" s="360">
        <f>H69*I69</f>
        <v>0</v>
      </c>
    </row>
    <row r="70" spans="1:10">
      <c r="A70" s="584">
        <v>56</v>
      </c>
      <c r="B70" s="121">
        <v>912</v>
      </c>
      <c r="C70" s="1103" t="s">
        <v>980</v>
      </c>
      <c r="D70" s="617">
        <v>0</v>
      </c>
      <c r="E70" s="324">
        <f t="shared" si="0"/>
        <v>5.6412179785543033E-2</v>
      </c>
      <c r="F70" s="617">
        <f>D70*E70</f>
        <v>0</v>
      </c>
      <c r="G70" s="103"/>
      <c r="H70" s="617">
        <v>0</v>
      </c>
      <c r="I70" s="324">
        <f t="shared" si="1"/>
        <v>5.6412179785543033E-2</v>
      </c>
      <c r="J70" s="617">
        <f>H70*I70</f>
        <v>0</v>
      </c>
    </row>
    <row r="71" spans="1:10">
      <c r="A71" s="584">
        <v>57</v>
      </c>
      <c r="B71" s="121">
        <v>913</v>
      </c>
      <c r="C71" s="1103" t="s">
        <v>954</v>
      </c>
      <c r="D71" s="617">
        <v>0</v>
      </c>
      <c r="E71" s="324">
        <f t="shared" si="0"/>
        <v>5.6412179785543033E-2</v>
      </c>
      <c r="F71" s="617">
        <f>D71*E71</f>
        <v>0</v>
      </c>
      <c r="G71" s="103"/>
      <c r="H71" s="617">
        <v>0</v>
      </c>
      <c r="I71" s="324">
        <f t="shared" si="1"/>
        <v>5.6412179785543033E-2</v>
      </c>
      <c r="J71" s="617">
        <f>H71*I71</f>
        <v>0</v>
      </c>
    </row>
    <row r="72" spans="1:10">
      <c r="A72" s="584">
        <v>58</v>
      </c>
      <c r="B72" s="1105">
        <v>916</v>
      </c>
      <c r="C72" s="1103" t="s">
        <v>955</v>
      </c>
      <c r="D72" s="1046">
        <v>0</v>
      </c>
      <c r="E72" s="324">
        <f t="shared" si="0"/>
        <v>5.6412179785543033E-2</v>
      </c>
      <c r="F72" s="1046">
        <f>D72*E72</f>
        <v>0</v>
      </c>
      <c r="G72" s="103"/>
      <c r="H72" s="1046">
        <v>0</v>
      </c>
      <c r="I72" s="324">
        <f t="shared" si="1"/>
        <v>5.6412179785543033E-2</v>
      </c>
      <c r="J72" s="1046">
        <f>H72*I72</f>
        <v>0</v>
      </c>
    </row>
    <row r="73" spans="1:10">
      <c r="A73" s="584">
        <v>59</v>
      </c>
      <c r="B73" s="103"/>
      <c r="C73" s="1108" t="s">
        <v>96</v>
      </c>
      <c r="D73" s="360">
        <f>SUM(D69:D72)</f>
        <v>0</v>
      </c>
      <c r="E73" s="336"/>
      <c r="F73" s="360">
        <f>SUM(F69:F72)</f>
        <v>0</v>
      </c>
      <c r="G73" s="103"/>
      <c r="H73" s="360">
        <f>SUM(H69:H72)</f>
        <v>0</v>
      </c>
      <c r="I73" s="336"/>
      <c r="J73" s="360">
        <f>SUM(J69:J72)</f>
        <v>0</v>
      </c>
    </row>
    <row r="76" spans="1:10">
      <c r="B76" s="632" t="s">
        <v>1085</v>
      </c>
    </row>
    <row r="77" spans="1:10">
      <c r="B77" s="632" t="s">
        <v>1227</v>
      </c>
    </row>
    <row r="79" spans="1:10">
      <c r="C79" s="671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L41"/>
  <sheetViews>
    <sheetView view="pageBreakPreview" zoomScale="90" zoomScaleNormal="90" zoomScaleSheetLayoutView="90" workbookViewId="0">
      <selection activeCell="F36" sqref="F36"/>
    </sheetView>
  </sheetViews>
  <sheetFormatPr defaultRowHeight="15"/>
  <cols>
    <col min="1" max="1" width="4.109375" style="80" customWidth="1"/>
    <col min="2" max="2" width="38.33203125" style="80" customWidth="1"/>
    <col min="3" max="6" width="11.6640625" style="80" customWidth="1"/>
    <col min="7" max="7" width="10.109375" style="80" customWidth="1"/>
    <col min="8" max="8" width="4.109375" style="80" customWidth="1"/>
    <col min="9" max="9" width="11.33203125" style="80" customWidth="1"/>
    <col min="10" max="10" width="10.77734375" style="80" customWidth="1"/>
    <col min="11" max="11" width="12.44140625" style="80" bestFit="1" customWidth="1"/>
    <col min="12" max="16384" width="8.88671875" style="80"/>
  </cols>
  <sheetData>
    <row r="1" spans="1:12" ht="15.75">
      <c r="A1" s="1218" t="str">
        <f>'Table of Contents'!A1:C1</f>
        <v>Atmos Energy Corporation, Kentucky/Mid-States Division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03"/>
    </row>
    <row r="2" spans="1:12" ht="15.75">
      <c r="A2" s="1218" t="str">
        <f>'Table of Contents'!A2:C2</f>
        <v>Kentucky Jurisdiction Case No. 2018-00281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03"/>
    </row>
    <row r="3" spans="1:12" ht="15.75">
      <c r="A3" s="1218" t="s">
        <v>1228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671"/>
    </row>
    <row r="4" spans="1:12" ht="15.75">
      <c r="A4" s="1218" t="str">
        <f>'Table of Contents'!A4:C4</f>
        <v>Forecasted Test Period: Twelve Months Ended March 31, 2020</v>
      </c>
      <c r="B4" s="1218"/>
      <c r="C4" s="1218"/>
      <c r="D4" s="1218"/>
      <c r="E4" s="1218"/>
      <c r="F4" s="1218"/>
      <c r="G4" s="1218"/>
      <c r="H4" s="1218"/>
      <c r="I4" s="1218"/>
      <c r="J4" s="1218"/>
      <c r="K4" s="1218"/>
      <c r="L4" s="671"/>
    </row>
    <row r="5" spans="1:12" ht="15.75">
      <c r="A5" s="1218"/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03"/>
    </row>
    <row r="6" spans="1:12" ht="15.75">
      <c r="A6" s="921"/>
      <c r="B6" s="921"/>
      <c r="C6" s="103"/>
      <c r="D6" s="103"/>
      <c r="E6" s="902"/>
      <c r="F6" s="103"/>
      <c r="G6" s="103"/>
      <c r="H6" s="103"/>
      <c r="I6" s="103"/>
      <c r="J6" s="103"/>
      <c r="K6" s="103"/>
      <c r="L6" s="103"/>
    </row>
    <row r="7" spans="1:12" ht="15.75">
      <c r="A7" s="921"/>
      <c r="B7" s="921"/>
      <c r="C7" s="103"/>
      <c r="D7" s="103"/>
      <c r="E7" s="103"/>
      <c r="F7" s="103"/>
      <c r="G7" s="103"/>
      <c r="H7" s="103"/>
      <c r="I7" s="103"/>
      <c r="K7" s="103"/>
      <c r="L7" s="103"/>
    </row>
    <row r="8" spans="1:12">
      <c r="A8" s="695" t="s">
        <v>136</v>
      </c>
      <c r="B8" s="103"/>
      <c r="C8" s="103"/>
      <c r="D8" s="103"/>
      <c r="E8" s="103"/>
      <c r="F8" s="103"/>
      <c r="G8" s="103"/>
      <c r="H8" s="103"/>
      <c r="I8" s="103"/>
      <c r="K8" s="170" t="s">
        <v>1410</v>
      </c>
      <c r="L8" s="103"/>
    </row>
    <row r="9" spans="1:12">
      <c r="A9" s="695" t="s">
        <v>1122</v>
      </c>
      <c r="B9" s="103"/>
      <c r="C9" s="103"/>
      <c r="D9" s="103"/>
      <c r="E9" s="103"/>
      <c r="F9" s="103"/>
      <c r="G9" s="103"/>
      <c r="H9" s="103"/>
      <c r="I9" s="103"/>
      <c r="K9" s="922" t="s">
        <v>1298</v>
      </c>
      <c r="L9" s="103"/>
    </row>
    <row r="10" spans="1:12">
      <c r="A10" s="695" t="s">
        <v>426</v>
      </c>
      <c r="B10" s="103"/>
      <c r="C10" s="103"/>
      <c r="D10" s="103"/>
      <c r="E10" s="103"/>
      <c r="F10" s="103"/>
      <c r="G10" s="103"/>
      <c r="H10" s="103"/>
      <c r="I10" s="103"/>
      <c r="J10" s="807"/>
      <c r="K10" s="924" t="str">
        <f>F.1!$F$9</f>
        <v>Witness: Waller</v>
      </c>
      <c r="L10" s="103"/>
    </row>
    <row r="11" spans="1:12" ht="15.75">
      <c r="A11" s="925"/>
      <c r="B11" s="925"/>
      <c r="C11" s="1219" t="s">
        <v>324</v>
      </c>
      <c r="D11" s="1220"/>
      <c r="E11" s="1220"/>
      <c r="F11" s="1220"/>
      <c r="G11" s="1221"/>
      <c r="H11" s="925"/>
      <c r="I11" s="926"/>
      <c r="J11" s="927" t="s">
        <v>325</v>
      </c>
      <c r="K11" s="928"/>
      <c r="L11" s="103"/>
    </row>
    <row r="12" spans="1:12" ht="15.75">
      <c r="A12" s="802"/>
      <c r="B12" s="802"/>
      <c r="C12" s="429" t="s">
        <v>21</v>
      </c>
      <c r="D12" s="429" t="s">
        <v>1175</v>
      </c>
      <c r="E12" s="802"/>
      <c r="F12" s="1110"/>
      <c r="G12" s="802"/>
      <c r="H12" s="802"/>
      <c r="I12" s="429" t="s">
        <v>21</v>
      </c>
      <c r="J12" s="1110"/>
      <c r="K12" s="802"/>
      <c r="L12" s="103"/>
    </row>
    <row r="13" spans="1:12">
      <c r="A13" s="121" t="s">
        <v>93</v>
      </c>
      <c r="B13" s="121" t="s">
        <v>571</v>
      </c>
      <c r="C13" s="121" t="s">
        <v>607</v>
      </c>
      <c r="D13" s="121" t="s">
        <v>1176</v>
      </c>
      <c r="E13" s="121" t="s">
        <v>96</v>
      </c>
      <c r="F13" s="854" t="s">
        <v>11</v>
      </c>
      <c r="G13" s="956" t="s">
        <v>12</v>
      </c>
      <c r="H13" s="956"/>
      <c r="I13" s="121" t="s">
        <v>607</v>
      </c>
      <c r="J13" s="956" t="str">
        <f>F13</f>
        <v xml:space="preserve">Kentucky </v>
      </c>
      <c r="K13" s="956" t="s">
        <v>981</v>
      </c>
      <c r="L13" s="103"/>
    </row>
    <row r="14" spans="1:12">
      <c r="A14" s="649" t="s">
        <v>99</v>
      </c>
      <c r="B14" s="649" t="s">
        <v>1081</v>
      </c>
      <c r="C14" s="434" t="s">
        <v>954</v>
      </c>
      <c r="D14" s="434" t="s">
        <v>954</v>
      </c>
      <c r="E14" s="649" t="s">
        <v>593</v>
      </c>
      <c r="F14" s="929" t="s">
        <v>97</v>
      </c>
      <c r="G14" s="649" t="s">
        <v>104</v>
      </c>
      <c r="H14" s="649"/>
      <c r="I14" s="434" t="s">
        <v>954</v>
      </c>
      <c r="J14" s="649" t="str">
        <f>F14</f>
        <v>Jurisdictional</v>
      </c>
      <c r="K14" s="649" t="s">
        <v>104</v>
      </c>
      <c r="L14" s="103"/>
    </row>
    <row r="15" spans="1: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808"/>
    </row>
    <row r="17" spans="1:12" ht="15.75">
      <c r="A17" s="584">
        <v>1</v>
      </c>
      <c r="B17" s="1111" t="s">
        <v>193</v>
      </c>
      <c r="C17" s="377"/>
      <c r="D17" s="377"/>
      <c r="E17" s="377"/>
      <c r="F17" s="74"/>
      <c r="G17" s="381"/>
      <c r="H17" s="74"/>
      <c r="I17" s="377"/>
      <c r="J17" s="74"/>
      <c r="K17" s="381"/>
      <c r="L17" s="1068"/>
    </row>
    <row r="18" spans="1:12">
      <c r="A18" s="584">
        <v>2</v>
      </c>
      <c r="B18" s="418" t="s">
        <v>801</v>
      </c>
      <c r="C18" s="328">
        <f>'[20]advert summary'!$P$38</f>
        <v>184692.89006689138</v>
      </c>
      <c r="D18" s="328">
        <f>'[20]advert summary'!$P$16</f>
        <v>4894.4919417088386</v>
      </c>
      <c r="E18" s="328">
        <f>SUM(C18:D18)</f>
        <v>189587.38200860022</v>
      </c>
      <c r="F18" s="422">
        <v>1</v>
      </c>
      <c r="G18" s="328">
        <f>E18*F18</f>
        <v>189587.38200860022</v>
      </c>
      <c r="H18" s="74"/>
      <c r="I18" s="328">
        <f>C18</f>
        <v>184692.89006689138</v>
      </c>
      <c r="J18" s="422">
        <f>F18</f>
        <v>1</v>
      </c>
      <c r="K18" s="328">
        <f>I18*J18</f>
        <v>184692.89006689138</v>
      </c>
      <c r="L18" s="1068"/>
    </row>
    <row r="19" spans="1:12">
      <c r="A19" s="584">
        <v>3</v>
      </c>
      <c r="C19" s="377"/>
      <c r="D19" s="377"/>
      <c r="E19" s="377"/>
      <c r="F19" s="74"/>
      <c r="G19" s="381"/>
      <c r="H19" s="74"/>
      <c r="I19" s="377"/>
      <c r="J19" s="74"/>
      <c r="K19" s="381"/>
      <c r="L19" s="808"/>
    </row>
    <row r="20" spans="1:12" ht="15.75">
      <c r="A20" s="584">
        <v>4</v>
      </c>
      <c r="B20" s="1111" t="s">
        <v>78</v>
      </c>
      <c r="C20" s="381"/>
      <c r="D20" s="381"/>
      <c r="E20" s="381"/>
      <c r="F20" s="74"/>
      <c r="G20" s="381"/>
      <c r="H20" s="74"/>
      <c r="I20" s="381"/>
      <c r="J20" s="74"/>
      <c r="K20" s="381"/>
      <c r="L20" s="1068"/>
    </row>
    <row r="21" spans="1:12">
      <c r="A21" s="584">
        <v>5</v>
      </c>
      <c r="B21" s="418" t="s">
        <v>801</v>
      </c>
      <c r="C21" s="381">
        <f>'[20]advert summary'!$P$56</f>
        <v>1363.2409973177885</v>
      </c>
      <c r="D21" s="381">
        <f>'[20]advert summary'!$P$44</f>
        <v>318911.49409362144</v>
      </c>
      <c r="E21" s="381">
        <f>SUM(C21:D21)</f>
        <v>320274.73509093921</v>
      </c>
      <c r="F21" s="467">
        <f>Allocation!$I$17</f>
        <v>0.49780000000000002</v>
      </c>
      <c r="G21" s="381">
        <f>E21*F21</f>
        <v>159432.76312826955</v>
      </c>
      <c r="H21" s="74"/>
      <c r="I21" s="381">
        <f>C21</f>
        <v>1363.2409973177885</v>
      </c>
      <c r="J21" s="467">
        <f>Allocation!$E$17</f>
        <v>0.49780000000000002</v>
      </c>
      <c r="K21" s="381">
        <f>I21*J21</f>
        <v>678.62136846479518</v>
      </c>
      <c r="L21" s="1068"/>
    </row>
    <row r="22" spans="1:12">
      <c r="A22" s="584">
        <v>6</v>
      </c>
      <c r="B22" s="1068"/>
      <c r="C22" s="617"/>
      <c r="D22" s="617"/>
      <c r="E22" s="617"/>
      <c r="F22" s="103"/>
      <c r="G22" s="617"/>
      <c r="H22" s="103"/>
      <c r="I22" s="617"/>
      <c r="J22" s="103"/>
      <c r="K22" s="103"/>
      <c r="L22" s="1068"/>
    </row>
    <row r="23" spans="1:12" ht="15.75">
      <c r="A23" s="584">
        <v>7</v>
      </c>
      <c r="B23" s="1111" t="s">
        <v>76</v>
      </c>
      <c r="C23" s="617"/>
      <c r="D23" s="617"/>
      <c r="E23" s="617"/>
      <c r="F23" s="103"/>
      <c r="G23" s="617"/>
      <c r="H23" s="103"/>
      <c r="I23" s="617"/>
      <c r="J23" s="103"/>
      <c r="K23" s="103"/>
      <c r="L23" s="1112"/>
    </row>
    <row r="24" spans="1:12">
      <c r="A24" s="584">
        <v>8</v>
      </c>
      <c r="B24" s="418" t="s">
        <v>801</v>
      </c>
      <c r="C24" s="381">
        <f>'[20]advert summary'!$P$68</f>
        <v>209133.11833171119</v>
      </c>
      <c r="D24" s="381">
        <v>0</v>
      </c>
      <c r="E24" s="381">
        <f>SUM(C24:D24)</f>
        <v>209133.11833171119</v>
      </c>
      <c r="F24" s="467">
        <f>Allocation!$I$14</f>
        <v>5.1771199999999996E-2</v>
      </c>
      <c r="G24" s="381">
        <f>E24*F24</f>
        <v>10827.072495774686</v>
      </c>
      <c r="H24" s="103"/>
      <c r="I24" s="381">
        <f>C24</f>
        <v>209133.11833171119</v>
      </c>
      <c r="J24" s="467">
        <f>Allocation!$E$14</f>
        <v>5.1771199999999996E-2</v>
      </c>
      <c r="K24" s="381">
        <f>I24*J24</f>
        <v>10827.072495774686</v>
      </c>
      <c r="L24" s="1113"/>
    </row>
    <row r="25" spans="1:12">
      <c r="A25" s="584">
        <v>9</v>
      </c>
      <c r="B25" s="1112"/>
      <c r="C25" s="617"/>
      <c r="D25" s="617"/>
      <c r="E25" s="617"/>
      <c r="F25" s="103"/>
      <c r="G25" s="617"/>
      <c r="H25" s="103"/>
      <c r="I25" s="617"/>
      <c r="J25" s="103"/>
      <c r="K25" s="103"/>
      <c r="L25" s="103"/>
    </row>
    <row r="26" spans="1:12" ht="15.75">
      <c r="A26" s="584">
        <v>10</v>
      </c>
      <c r="B26" s="1111" t="s">
        <v>77</v>
      </c>
      <c r="C26" s="617"/>
      <c r="D26" s="617"/>
      <c r="E26" s="617"/>
      <c r="F26" s="103"/>
      <c r="G26" s="617"/>
      <c r="H26" s="103"/>
      <c r="I26" s="617"/>
      <c r="J26" s="103"/>
      <c r="K26" s="103"/>
      <c r="L26" s="103"/>
    </row>
    <row r="27" spans="1:12">
      <c r="A27" s="584">
        <v>11</v>
      </c>
      <c r="B27" s="418" t="s">
        <v>801</v>
      </c>
      <c r="C27" s="381">
        <f>'[20]advert summary'!$P$74</f>
        <v>1752.1399999999999</v>
      </c>
      <c r="D27" s="381">
        <v>0</v>
      </c>
      <c r="E27" s="381">
        <f>SUM(C27:D27)</f>
        <v>1752.1399999999999</v>
      </c>
      <c r="F27" s="467">
        <f>Allocation!$I$15</f>
        <v>5.6412179785543033E-2</v>
      </c>
      <c r="G27" s="381">
        <f>E27*F27</f>
        <v>98.842036689441358</v>
      </c>
      <c r="H27" s="103"/>
      <c r="I27" s="381">
        <f>C27</f>
        <v>1752.1399999999999</v>
      </c>
      <c r="J27" s="467">
        <f>Allocation!$E$15</f>
        <v>5.6412179785543033E-2</v>
      </c>
      <c r="K27" s="381">
        <f>I27*J27</f>
        <v>98.842036689441358</v>
      </c>
      <c r="L27" s="103"/>
    </row>
    <row r="28" spans="1:12">
      <c r="A28" s="584">
        <v>12</v>
      </c>
      <c r="G28" s="617"/>
    </row>
    <row r="29" spans="1:12" ht="16.5" thickBot="1">
      <c r="A29" s="584">
        <v>13</v>
      </c>
      <c r="B29" s="421" t="s">
        <v>934</v>
      </c>
      <c r="C29" s="329">
        <f>SUM(C18:C27)</f>
        <v>396941.38939592039</v>
      </c>
      <c r="D29" s="329">
        <f>SUM(D18:D27)</f>
        <v>323805.98603533028</v>
      </c>
      <c r="E29" s="329">
        <f>SUM(E18:E27)</f>
        <v>720747.37543125066</v>
      </c>
      <c r="G29" s="329">
        <f>SUM(G18:G27)</f>
        <v>359946.05966933392</v>
      </c>
      <c r="I29" s="329">
        <f>SUM(I18:I27)</f>
        <v>396941.38939592039</v>
      </c>
      <c r="K29" s="329">
        <f>SUM(K18:K27)</f>
        <v>196297.42596782028</v>
      </c>
    </row>
    <row r="30" spans="1:12" ht="15.75" thickTop="1"/>
    <row r="32" spans="1:12">
      <c r="B32" s="1114"/>
    </row>
    <row r="33" spans="2:2">
      <c r="B33" s="1114"/>
    </row>
    <row r="34" spans="2:2">
      <c r="B34" s="80" t="s">
        <v>518</v>
      </c>
    </row>
    <row r="35" spans="2:2">
      <c r="B35" s="80" t="s">
        <v>1678</v>
      </c>
    </row>
    <row r="36" spans="2:2">
      <c r="B36" s="80" t="s">
        <v>1624</v>
      </c>
    </row>
    <row r="39" spans="2:2">
      <c r="B39" s="671"/>
    </row>
    <row r="40" spans="2:2">
      <c r="B40" s="671"/>
    </row>
    <row r="41" spans="2:2">
      <c r="B41" s="671"/>
    </row>
  </sheetData>
  <mergeCells count="6">
    <mergeCell ref="C11:G11"/>
    <mergeCell ref="A5:K5"/>
    <mergeCell ref="A1:K1"/>
    <mergeCell ref="A2:K2"/>
    <mergeCell ref="A3:K3"/>
    <mergeCell ref="A4:K4"/>
  </mergeCells>
  <phoneticPr fontId="22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zoomScale="70" zoomScaleNormal="90" zoomScaleSheetLayoutView="70" workbookViewId="0">
      <selection activeCell="D44" sqref="D44"/>
    </sheetView>
  </sheetViews>
  <sheetFormatPr defaultRowHeight="15"/>
  <cols>
    <col min="1" max="1" width="5.88671875" style="80" customWidth="1"/>
    <col min="2" max="2" width="34.6640625" style="80" customWidth="1"/>
    <col min="3" max="3" width="13.5546875" style="80" bestFit="1" customWidth="1"/>
    <col min="4" max="4" width="11.109375" style="80" customWidth="1"/>
    <col min="5" max="5" width="10.88671875" style="80" customWidth="1"/>
    <col min="6" max="6" width="4.21875" style="80" customWidth="1"/>
    <col min="7" max="7" width="12" style="80" bestFit="1" customWidth="1"/>
    <col min="8" max="8" width="12" style="80" customWidth="1"/>
    <col min="9" max="9" width="9.88671875" style="80" customWidth="1"/>
    <col min="10" max="16384" width="8.88671875" style="80"/>
  </cols>
  <sheetData>
    <row r="1" spans="1:12" ht="15.75">
      <c r="A1" s="1198" t="str">
        <f>'Table of Contents'!A1:C1</f>
        <v>Atmos Energy Corporation, Kentucky/Mid-States Division</v>
      </c>
      <c r="B1" s="1198"/>
      <c r="C1" s="1198"/>
      <c r="D1" s="1198"/>
      <c r="E1" s="1198"/>
      <c r="F1" s="1198"/>
      <c r="G1" s="1198"/>
      <c r="H1" s="1198"/>
      <c r="I1" s="1198"/>
    </row>
    <row r="2" spans="1:12" ht="15.75">
      <c r="A2" s="1198" t="str">
        <f>'Table of Contents'!A2:C2</f>
        <v>Kentucky Jurisdiction Case No. 2018-00281</v>
      </c>
      <c r="B2" s="1198" t="s">
        <v>323</v>
      </c>
      <c r="C2" s="1198"/>
      <c r="D2" s="1198"/>
      <c r="E2" s="1198"/>
      <c r="F2" s="1198"/>
      <c r="G2" s="1198"/>
      <c r="H2" s="1198"/>
      <c r="I2" s="1198"/>
      <c r="J2" s="103"/>
    </row>
    <row r="3" spans="1:12" ht="15.75">
      <c r="A3" s="1198" t="s">
        <v>420</v>
      </c>
      <c r="B3" s="1198"/>
      <c r="C3" s="1198"/>
      <c r="D3" s="1198"/>
      <c r="E3" s="1198"/>
      <c r="F3" s="1198"/>
      <c r="G3" s="1198"/>
      <c r="H3" s="1198"/>
      <c r="I3" s="1198"/>
      <c r="J3" s="103"/>
    </row>
    <row r="4" spans="1:12" ht="15.75">
      <c r="A4" s="1198" t="str">
        <f>'Table of Contents'!A3:C3</f>
        <v>Base Period: Twelve Months Ended December 31, 2018</v>
      </c>
      <c r="B4" s="1198"/>
      <c r="C4" s="1198"/>
      <c r="D4" s="1198"/>
      <c r="E4" s="1198"/>
      <c r="F4" s="1198"/>
      <c r="G4" s="1198"/>
      <c r="H4" s="1198"/>
      <c r="I4" s="1198"/>
      <c r="J4" s="103"/>
    </row>
    <row r="5" spans="1:12" ht="15.75">
      <c r="A5" s="1198" t="str">
        <f>'Table of Contents'!A4:C4</f>
        <v>Forecasted Test Period: Twelve Months Ended March 31, 2020</v>
      </c>
      <c r="B5" s="1198"/>
      <c r="C5" s="1198"/>
      <c r="D5" s="1198"/>
      <c r="E5" s="1198"/>
      <c r="F5" s="1198"/>
      <c r="G5" s="1198"/>
      <c r="H5" s="1198"/>
      <c r="I5" s="1198"/>
      <c r="J5" s="103"/>
    </row>
    <row r="6" spans="1:12" ht="15.75">
      <c r="A6" s="103"/>
      <c r="B6" s="921"/>
      <c r="C6" s="921"/>
      <c r="D6" s="103"/>
      <c r="E6" s="103"/>
      <c r="F6" s="103"/>
      <c r="G6" s="103"/>
      <c r="H6" s="103"/>
      <c r="I6" s="103"/>
      <c r="J6" s="103"/>
    </row>
    <row r="7" spans="1:12" ht="15.75">
      <c r="A7" s="695" t="s">
        <v>136</v>
      </c>
      <c r="B7" s="103"/>
      <c r="C7" s="921"/>
      <c r="D7" s="103"/>
      <c r="E7" s="103"/>
      <c r="F7" s="103"/>
      <c r="G7" s="103"/>
      <c r="I7" s="170" t="s">
        <v>1410</v>
      </c>
      <c r="J7" s="103"/>
    </row>
    <row r="8" spans="1:12" ht="15.75">
      <c r="A8" s="695" t="s">
        <v>1123</v>
      </c>
      <c r="B8" s="103"/>
      <c r="C8" s="921"/>
      <c r="D8" s="103"/>
      <c r="E8" s="103"/>
      <c r="F8" s="103"/>
      <c r="G8" s="103"/>
      <c r="I8" s="922" t="s">
        <v>572</v>
      </c>
      <c r="J8" s="103"/>
    </row>
    <row r="9" spans="1:12" ht="15.75">
      <c r="A9" s="695" t="s">
        <v>365</v>
      </c>
      <c r="B9" s="103"/>
      <c r="C9" s="921"/>
      <c r="D9" s="103"/>
      <c r="E9" s="103"/>
      <c r="F9" s="103"/>
      <c r="G9" s="103"/>
      <c r="I9" s="924" t="str">
        <f>F.1!$F$9</f>
        <v>Witness: Waller</v>
      </c>
      <c r="J9" s="103"/>
    </row>
    <row r="10" spans="1:12" ht="15.75">
      <c r="A10" s="925"/>
      <c r="B10" s="925"/>
      <c r="C10" s="926"/>
      <c r="D10" s="927" t="s">
        <v>324</v>
      </c>
      <c r="E10" s="928"/>
      <c r="F10" s="925"/>
      <c r="G10" s="926"/>
      <c r="H10" s="927" t="s">
        <v>325</v>
      </c>
      <c r="I10" s="928"/>
      <c r="J10" s="103"/>
    </row>
    <row r="11" spans="1:12">
      <c r="A11" s="121" t="s">
        <v>93</v>
      </c>
      <c r="B11" s="103"/>
      <c r="C11" s="121" t="s">
        <v>96</v>
      </c>
      <c r="D11" s="854" t="s">
        <v>11</v>
      </c>
      <c r="E11" s="956" t="s">
        <v>12</v>
      </c>
      <c r="F11" s="103"/>
      <c r="G11" s="121" t="s">
        <v>96</v>
      </c>
      <c r="H11" s="956" t="str">
        <f>D11</f>
        <v xml:space="preserve">Kentucky </v>
      </c>
      <c r="I11" s="956" t="s">
        <v>981</v>
      </c>
      <c r="J11" s="103"/>
    </row>
    <row r="12" spans="1:12">
      <c r="A12" s="649" t="s">
        <v>99</v>
      </c>
      <c r="B12" s="649" t="s">
        <v>985</v>
      </c>
      <c r="C12" s="649" t="s">
        <v>593</v>
      </c>
      <c r="D12" s="929" t="s">
        <v>97</v>
      </c>
      <c r="E12" s="649" t="s">
        <v>104</v>
      </c>
      <c r="F12" s="930"/>
      <c r="G12" s="649" t="s">
        <v>593</v>
      </c>
      <c r="H12" s="649" t="str">
        <f>D12</f>
        <v>Jurisdictional</v>
      </c>
      <c r="I12" s="649" t="s">
        <v>104</v>
      </c>
      <c r="J12" s="103"/>
    </row>
    <row r="13" spans="1:12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2" ht="15.75">
      <c r="A14" s="956"/>
      <c r="B14" s="970" t="s">
        <v>1235</v>
      </c>
      <c r="C14" s="902"/>
      <c r="D14" s="103"/>
      <c r="E14" s="103"/>
      <c r="F14" s="103"/>
      <c r="G14" s="103"/>
      <c r="H14" s="103"/>
      <c r="I14" s="103"/>
      <c r="J14" s="103"/>
    </row>
    <row r="15" spans="1:12" ht="15.75">
      <c r="A15" s="121">
        <v>1</v>
      </c>
      <c r="B15" s="584"/>
      <c r="C15" s="1115"/>
      <c r="D15" s="584"/>
      <c r="E15" s="584"/>
      <c r="F15" s="584"/>
      <c r="G15" s="103"/>
      <c r="H15" s="954"/>
      <c r="I15" s="584"/>
      <c r="J15" s="103"/>
    </row>
    <row r="16" spans="1:12">
      <c r="A16" s="956">
        <f>A15+1</f>
        <v>2</v>
      </c>
      <c r="B16" s="808" t="s">
        <v>193</v>
      </c>
      <c r="D16" s="936"/>
      <c r="F16" s="401"/>
      <c r="G16" s="429"/>
      <c r="H16" s="401"/>
      <c r="I16" s="401"/>
      <c r="L16" s="671"/>
    </row>
    <row r="17" spans="1:10">
      <c r="A17" s="956">
        <f t="shared" ref="A17:A34" si="0">A16+1</f>
        <v>3</v>
      </c>
      <c r="B17" s="1068" t="s">
        <v>982</v>
      </c>
      <c r="C17" s="1116">
        <f>SUM('[13]Div 9 forecast'!$F$543:$Q$543)</f>
        <v>-22453.366821888267</v>
      </c>
      <c r="D17" s="936">
        <v>1</v>
      </c>
      <c r="E17" s="1116">
        <f>C17*D17</f>
        <v>-22453.366821888267</v>
      </c>
      <c r="F17" s="401"/>
      <c r="G17" s="1116">
        <f>SUM('[13]Div 9 forecast'!$U$543:$AF$543)</f>
        <v>-21192.266564911708</v>
      </c>
      <c r="H17" s="936">
        <f>D17</f>
        <v>1</v>
      </c>
      <c r="I17" s="1116">
        <f>G17*H17</f>
        <v>-21192.266564911708</v>
      </c>
    </row>
    <row r="18" spans="1:10">
      <c r="A18" s="956">
        <f t="shared" si="0"/>
        <v>4</v>
      </c>
      <c r="B18" s="1068" t="s">
        <v>983</v>
      </c>
      <c r="C18" s="1116">
        <f>SUM('[13]Div 9 forecast'!$F$548:$Q$548)</f>
        <v>382364.74075587903</v>
      </c>
      <c r="D18" s="936">
        <f>D17</f>
        <v>1</v>
      </c>
      <c r="E18" s="1117">
        <f>C18*D18</f>
        <v>382364.74075587903</v>
      </c>
      <c r="F18" s="401"/>
      <c r="G18" s="1116">
        <f>SUM('[13]Div 9 forecast'!$U$548:$AF$548)</f>
        <v>360889.10742876708</v>
      </c>
      <c r="H18" s="936">
        <f>D18</f>
        <v>1</v>
      </c>
      <c r="I18" s="1117">
        <f>G18*H18</f>
        <v>360889.10742876708</v>
      </c>
    </row>
    <row r="19" spans="1:10">
      <c r="A19" s="956">
        <f t="shared" si="0"/>
        <v>5</v>
      </c>
      <c r="B19" s="1112" t="s">
        <v>488</v>
      </c>
      <c r="C19" s="1118">
        <f>SUM(C16:C18)</f>
        <v>359911.37393399078</v>
      </c>
      <c r="D19" s="936"/>
      <c r="E19" s="1116">
        <f>SUM(E16:E18)</f>
        <v>359911.37393399078</v>
      </c>
      <c r="F19" s="401"/>
      <c r="G19" s="1118">
        <f>SUM(G16:G18)</f>
        <v>339696.84086385538</v>
      </c>
      <c r="H19" s="401"/>
      <c r="I19" s="1116">
        <f>SUM(I16:I18)</f>
        <v>339696.84086385538</v>
      </c>
    </row>
    <row r="20" spans="1:10">
      <c r="A20" s="956">
        <f t="shared" si="0"/>
        <v>6</v>
      </c>
      <c r="B20" s="1113"/>
      <c r="C20" s="1119"/>
      <c r="D20" s="616"/>
      <c r="E20" s="1119"/>
      <c r="F20" s="802"/>
      <c r="G20" s="1119"/>
      <c r="H20" s="802"/>
      <c r="I20" s="1119"/>
      <c r="J20" s="103"/>
    </row>
    <row r="21" spans="1:10">
      <c r="A21" s="956">
        <f t="shared" si="0"/>
        <v>7</v>
      </c>
      <c r="B21" s="808" t="s">
        <v>78</v>
      </c>
      <c r="C21" s="382"/>
      <c r="D21" s="1120"/>
      <c r="E21" s="382"/>
      <c r="F21" s="939"/>
      <c r="G21" s="382"/>
      <c r="H21" s="939"/>
      <c r="I21" s="382"/>
      <c r="J21" s="103"/>
    </row>
    <row r="22" spans="1:10">
      <c r="A22" s="956">
        <f t="shared" si="0"/>
        <v>8</v>
      </c>
      <c r="B22" s="1068" t="s">
        <v>982</v>
      </c>
      <c r="C22" s="1116">
        <f>SUM('[13]Div 91 forecast'!$F$273:$Q$273)</f>
        <v>35195.617097840644</v>
      </c>
      <c r="D22" s="1120">
        <f>Allocation!$I$17</f>
        <v>0.49780000000000002</v>
      </c>
      <c r="E22" s="1121">
        <f>C22*D22</f>
        <v>17520.378191305073</v>
      </c>
      <c r="F22" s="939"/>
      <c r="G22" s="1116">
        <f>SUM('[13]Div 91 forecast'!$U$273:$AF$273)</f>
        <v>56217.927930362355</v>
      </c>
      <c r="H22" s="1120">
        <f>Allocation!$E$17</f>
        <v>0.49780000000000002</v>
      </c>
      <c r="I22" s="1121">
        <f>G22*H22</f>
        <v>27985.284523734383</v>
      </c>
      <c r="J22" s="103"/>
    </row>
    <row r="23" spans="1:10">
      <c r="A23" s="956">
        <f t="shared" si="0"/>
        <v>9</v>
      </c>
      <c r="B23" s="1068" t="s">
        <v>983</v>
      </c>
      <c r="C23" s="1116">
        <f>SUM('[13]Div 91 forecast'!$F$281:$Q$281)</f>
        <v>168250.04494326841</v>
      </c>
      <c r="D23" s="1120">
        <f>D22</f>
        <v>0.49780000000000002</v>
      </c>
      <c r="E23" s="1122">
        <f>C23*D23</f>
        <v>83754.872372759011</v>
      </c>
      <c r="F23" s="939"/>
      <c r="G23" s="1116">
        <f>SUM('[13]Div 91 forecast'!$U$281:$AF$281)</f>
        <v>268745.64735167573</v>
      </c>
      <c r="H23" s="1123">
        <f>H22</f>
        <v>0.49780000000000002</v>
      </c>
      <c r="I23" s="1122">
        <f>G23*H23</f>
        <v>133781.58325166418</v>
      </c>
      <c r="J23" s="103"/>
    </row>
    <row r="24" spans="1:10">
      <c r="A24" s="956">
        <f t="shared" si="0"/>
        <v>10</v>
      </c>
      <c r="B24" s="1112" t="s">
        <v>488</v>
      </c>
      <c r="C24" s="1118">
        <f>SUM(C22:C23)</f>
        <v>203445.66204110906</v>
      </c>
      <c r="D24" s="1120"/>
      <c r="E24" s="1116">
        <f>SUM(E22:E23)</f>
        <v>101275.25056406409</v>
      </c>
      <c r="F24" s="939"/>
      <c r="G24" s="1118">
        <f>SUM(G22:G23)</f>
        <v>324963.57528203807</v>
      </c>
      <c r="H24" s="1124"/>
      <c r="I24" s="1116">
        <f>SUM(I22:I23)</f>
        <v>161766.86777539857</v>
      </c>
      <c r="J24" s="103"/>
    </row>
    <row r="25" spans="1:10">
      <c r="A25" s="956">
        <f t="shared" si="0"/>
        <v>11</v>
      </c>
      <c r="B25" s="1113"/>
      <c r="C25" s="1119"/>
      <c r="D25" s="941"/>
      <c r="E25" s="1119"/>
      <c r="F25" s="802"/>
      <c r="G25" s="1119"/>
      <c r="H25" s="1125"/>
      <c r="I25" s="1119"/>
      <c r="J25" s="103"/>
    </row>
    <row r="26" spans="1:10">
      <c r="A26" s="956">
        <f t="shared" si="0"/>
        <v>12</v>
      </c>
      <c r="B26" s="1113" t="s">
        <v>76</v>
      </c>
      <c r="C26" s="1119"/>
      <c r="D26" s="324"/>
      <c r="E26" s="1119"/>
      <c r="F26" s="103"/>
      <c r="G26" s="1119"/>
      <c r="H26" s="1003"/>
      <c r="I26" s="1119"/>
      <c r="J26" s="103"/>
    </row>
    <row r="27" spans="1:10">
      <c r="A27" s="956">
        <f t="shared" si="0"/>
        <v>13</v>
      </c>
      <c r="B27" s="1068" t="s">
        <v>982</v>
      </c>
      <c r="C27" s="1116">
        <f>SUM('[13]Div 2 forecast'!$F$288:$Q$288)</f>
        <v>10575222.052585822</v>
      </c>
      <c r="D27" s="324">
        <f>Allocation!$I$14</f>
        <v>5.1771199999999996E-2</v>
      </c>
      <c r="E27" s="1121">
        <f>C27*D27</f>
        <v>547491.93592883099</v>
      </c>
      <c r="F27" s="103"/>
      <c r="G27" s="1116">
        <f>SUM('[13]Div 2 forecast'!$U$288:$AF$288)</f>
        <v>10595303.058656182</v>
      </c>
      <c r="H27" s="324">
        <f>Allocation!$E$14</f>
        <v>5.1771199999999996E-2</v>
      </c>
      <c r="I27" s="1121">
        <f>G27*H27</f>
        <v>548531.55371030094</v>
      </c>
      <c r="J27" s="103"/>
    </row>
    <row r="28" spans="1:10">
      <c r="A28" s="956">
        <f t="shared" si="0"/>
        <v>14</v>
      </c>
      <c r="B28" s="1068" t="s">
        <v>983</v>
      </c>
      <c r="C28" s="1116">
        <f>SUM('[13]Div 2 forecast'!$F$295:$Q$295)</f>
        <v>454127.89954484638</v>
      </c>
      <c r="D28" s="941">
        <f>D27</f>
        <v>5.1771199999999996E-2</v>
      </c>
      <c r="E28" s="1126">
        <f>C28*D28</f>
        <v>23510.746312916148</v>
      </c>
      <c r="F28" s="103"/>
      <c r="G28" s="1116">
        <f>SUM('[13]Div 2 forecast'!$U$295:$AF$295)</f>
        <v>454990.23085686349</v>
      </c>
      <c r="H28" s="1123">
        <f>H27</f>
        <v>5.1771199999999996E-2</v>
      </c>
      <c r="I28" s="1126">
        <f>G28*H28</f>
        <v>23555.390239736851</v>
      </c>
      <c r="J28" s="103"/>
    </row>
    <row r="29" spans="1:10">
      <c r="A29" s="956">
        <f t="shared" si="0"/>
        <v>15</v>
      </c>
      <c r="B29" s="1112" t="s">
        <v>488</v>
      </c>
      <c r="C29" s="1118">
        <f>SUM(C27:C28)</f>
        <v>11029349.952130668</v>
      </c>
      <c r="D29" s="324"/>
      <c r="E29" s="1116">
        <f>SUM(E27:E28)</f>
        <v>571002.68224174716</v>
      </c>
      <c r="F29" s="103"/>
      <c r="G29" s="1118">
        <f>SUM(G27:G28)</f>
        <v>11050293.289513046</v>
      </c>
      <c r="H29" s="1003"/>
      <c r="I29" s="1116">
        <f>SUM(I27:I28)</f>
        <v>572086.94395003782</v>
      </c>
      <c r="J29" s="103"/>
    </row>
    <row r="30" spans="1:10">
      <c r="A30" s="956">
        <f t="shared" si="0"/>
        <v>16</v>
      </c>
      <c r="B30" s="1113"/>
      <c r="C30" s="1119"/>
      <c r="D30" s="324"/>
      <c r="E30" s="1119"/>
      <c r="F30" s="103"/>
      <c r="G30" s="1119"/>
      <c r="H30" s="1003"/>
      <c r="I30" s="1119"/>
      <c r="J30" s="103"/>
    </row>
    <row r="31" spans="1:10">
      <c r="A31" s="956">
        <f t="shared" si="0"/>
        <v>17</v>
      </c>
      <c r="B31" s="1113" t="s">
        <v>77</v>
      </c>
      <c r="C31" s="1119"/>
      <c r="D31" s="324"/>
      <c r="E31" s="1119"/>
      <c r="G31" s="1119"/>
      <c r="H31" s="1127"/>
      <c r="I31" s="1119"/>
    </row>
    <row r="32" spans="1:10">
      <c r="A32" s="956">
        <f t="shared" si="0"/>
        <v>18</v>
      </c>
      <c r="B32" s="1068" t="s">
        <v>982</v>
      </c>
      <c r="C32" s="360">
        <f>SUM('[13]Div 12 forecast'!$F$158:$Q$158)</f>
        <v>614019.72880858649</v>
      </c>
      <c r="D32" s="324">
        <f>Allocation!$I$15</f>
        <v>5.6412179785543033E-2</v>
      </c>
      <c r="E32" s="360">
        <f>C32*D32</f>
        <v>34638.191333420356</v>
      </c>
      <c r="G32" s="360">
        <f>SUM('[13]Div 12 forecast'!$U$158:$AF$158)</f>
        <v>448998.44983708468</v>
      </c>
      <c r="H32" s="324">
        <f>Allocation!$E$15</f>
        <v>5.6412179785543033E-2</v>
      </c>
      <c r="I32" s="360">
        <f>G32*H32</f>
        <v>25328.981275639748</v>
      </c>
    </row>
    <row r="33" spans="1:11">
      <c r="A33" s="956">
        <f t="shared" si="0"/>
        <v>19</v>
      </c>
      <c r="B33" s="1068" t="s">
        <v>983</v>
      </c>
      <c r="C33" s="360">
        <f>SUM('[13]Div 12 forecast'!$F$160:$Q$160)</f>
        <v>48341.709952519603</v>
      </c>
      <c r="D33" s="324">
        <f>D32</f>
        <v>5.6412179785543033E-2</v>
      </c>
      <c r="E33" s="1128">
        <f>C33*D33</f>
        <v>2727.0612329821106</v>
      </c>
      <c r="G33" s="360">
        <f>SUM('[13]Div 12 forecast'!$U$160:$AF$160)</f>
        <v>35349.601670407654</v>
      </c>
      <c r="H33" s="1123">
        <f>H32</f>
        <v>5.6412179785543033E-2</v>
      </c>
      <c r="I33" s="1128">
        <f>G33*H33</f>
        <v>1994.1480847783689</v>
      </c>
      <c r="K33" s="691"/>
    </row>
    <row r="34" spans="1:11">
      <c r="A34" s="956">
        <f t="shared" si="0"/>
        <v>20</v>
      </c>
      <c r="B34" s="1112" t="s">
        <v>488</v>
      </c>
      <c r="C34" s="724">
        <f>SUM(C32:C33)</f>
        <v>662361.43876110611</v>
      </c>
      <c r="E34" s="360">
        <f>SUM(E32:E33)</f>
        <v>37365.252566402465</v>
      </c>
      <c r="G34" s="724">
        <f>SUM(G32:G33)</f>
        <v>484348.05150749232</v>
      </c>
      <c r="H34" s="1127"/>
      <c r="I34" s="360">
        <f>SUM(I32:I33)</f>
        <v>27323.129360418116</v>
      </c>
    </row>
    <row r="37" spans="1:11">
      <c r="A37" s="96" t="s">
        <v>405</v>
      </c>
    </row>
    <row r="40" spans="1:11" ht="15.75">
      <c r="C40" s="902"/>
    </row>
    <row r="42" spans="1:11">
      <c r="B42" s="80" t="s">
        <v>518</v>
      </c>
      <c r="D42" s="80" t="s">
        <v>323</v>
      </c>
    </row>
    <row r="43" spans="1:11">
      <c r="B43" s="80" t="s">
        <v>1624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90" zoomScaleNormal="100" zoomScaleSheetLayoutView="90" workbookViewId="0">
      <selection activeCell="D24" sqref="D24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22.77734375" style="1" customWidth="1"/>
    <col min="5" max="5" width="3.88671875" style="1" customWidth="1"/>
    <col min="6" max="6" width="26.664062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5">
      <c r="A2" s="167" t="str">
        <f>'Table of Contents'!A2:C2</f>
        <v>Kentucky Jurisdiction Case No. 2018-00281</v>
      </c>
      <c r="B2" s="30"/>
      <c r="C2" s="30"/>
      <c r="D2" s="30"/>
      <c r="E2" s="30"/>
      <c r="F2" s="30"/>
    </row>
    <row r="3" spans="1:15">
      <c r="A3" s="31" t="s">
        <v>1110</v>
      </c>
      <c r="B3" s="30"/>
      <c r="C3" s="30"/>
      <c r="D3" s="30"/>
      <c r="E3" s="30"/>
      <c r="F3" s="30"/>
    </row>
    <row r="4" spans="1:15">
      <c r="A4" s="31" t="s">
        <v>1618</v>
      </c>
      <c r="B4" s="30"/>
      <c r="C4" s="30"/>
      <c r="D4" s="30"/>
      <c r="E4" s="30"/>
      <c r="F4" s="30"/>
    </row>
    <row r="6" spans="1:15">
      <c r="A6" s="4" t="s">
        <v>379</v>
      </c>
      <c r="F6" s="1" t="s">
        <v>1417</v>
      </c>
    </row>
    <row r="7" spans="1:15">
      <c r="A7" s="4" t="str">
        <f>A.1!A8</f>
        <v>Type of Filing:___X____Original________Updated ________Revised</v>
      </c>
      <c r="F7" s="4" t="s">
        <v>746</v>
      </c>
    </row>
    <row r="8" spans="1:15">
      <c r="A8" s="5" t="s">
        <v>426</v>
      </c>
      <c r="B8" s="6"/>
      <c r="C8" s="6"/>
      <c r="D8" s="6"/>
      <c r="E8" s="33"/>
      <c r="F8" s="433" t="s">
        <v>1707</v>
      </c>
    </row>
    <row r="9" spans="1:15">
      <c r="F9" s="2"/>
    </row>
    <row r="10" spans="1:15">
      <c r="C10" s="2" t="s">
        <v>1185</v>
      </c>
      <c r="D10" s="2" t="s">
        <v>44</v>
      </c>
      <c r="F10" s="2" t="s">
        <v>44</v>
      </c>
      <c r="I10" s="727"/>
      <c r="J10" s="666"/>
      <c r="K10" s="666"/>
      <c r="L10" s="666"/>
      <c r="M10" s="735"/>
      <c r="N10" s="666"/>
      <c r="O10" s="666"/>
    </row>
    <row r="11" spans="1:15">
      <c r="A11" s="2" t="s">
        <v>93</v>
      </c>
      <c r="C11" s="2" t="s">
        <v>58</v>
      </c>
      <c r="D11" s="34" t="s">
        <v>538</v>
      </c>
      <c r="F11" s="2" t="s">
        <v>538</v>
      </c>
      <c r="I11" s="666"/>
      <c r="J11" s="666"/>
      <c r="K11" s="666"/>
      <c r="L11" s="666"/>
      <c r="M11" s="666"/>
      <c r="N11" s="666"/>
      <c r="O11" s="666"/>
    </row>
    <row r="12" spans="1:15">
      <c r="A12" s="9" t="s">
        <v>99</v>
      </c>
      <c r="B12" s="5" t="s">
        <v>1188</v>
      </c>
      <c r="C12" s="9" t="s">
        <v>101</v>
      </c>
      <c r="D12" s="9" t="s">
        <v>317</v>
      </c>
      <c r="E12" s="6"/>
      <c r="F12" s="9" t="s">
        <v>512</v>
      </c>
      <c r="I12" s="727"/>
      <c r="J12" s="666"/>
      <c r="K12" s="666"/>
      <c r="L12" s="666"/>
      <c r="M12" s="666"/>
      <c r="N12" s="666"/>
      <c r="O12" s="666"/>
    </row>
    <row r="13" spans="1:15">
      <c r="D13" s="2"/>
      <c r="F13" s="2"/>
      <c r="I13" s="727"/>
      <c r="J13" s="666"/>
      <c r="K13" s="666"/>
      <c r="L13" s="666"/>
      <c r="M13" s="666"/>
      <c r="N13" s="666"/>
      <c r="O13" s="666"/>
    </row>
    <row r="14" spans="1:15">
      <c r="I14" s="727"/>
      <c r="J14" s="666"/>
      <c r="K14" s="666"/>
      <c r="L14" s="666"/>
      <c r="M14" s="666"/>
      <c r="N14" s="666"/>
      <c r="O14" s="666"/>
    </row>
    <row r="15" spans="1:15">
      <c r="A15" s="2">
        <v>1</v>
      </c>
      <c r="B15" s="4" t="s">
        <v>167</v>
      </c>
      <c r="C15" s="2" t="s">
        <v>686</v>
      </c>
      <c r="D15" s="306">
        <f>'B.2 B'!I266</f>
        <v>671307963.42642283</v>
      </c>
      <c r="E15" s="73"/>
      <c r="F15" s="306">
        <f>'B.2 B'!N266</f>
        <v>632311605.20581806</v>
      </c>
      <c r="G15" s="81"/>
      <c r="H15" s="81"/>
      <c r="I15" s="727"/>
      <c r="J15" s="666"/>
      <c r="K15" s="666"/>
      <c r="L15" s="666"/>
      <c r="M15" s="666"/>
      <c r="N15" s="666"/>
      <c r="O15" s="666"/>
    </row>
    <row r="16" spans="1:15">
      <c r="A16" s="2">
        <f>A15+1</f>
        <v>2</v>
      </c>
      <c r="B16" s="4" t="s">
        <v>491</v>
      </c>
      <c r="C16" s="2" t="s">
        <v>686</v>
      </c>
      <c r="D16" s="356">
        <f>'B.2 B'!I268</f>
        <v>39130198.175474182</v>
      </c>
      <c r="E16" s="73"/>
      <c r="F16" s="73">
        <f>'B.2 B'!N268</f>
        <v>36163305.101540752</v>
      </c>
      <c r="G16" s="81"/>
      <c r="H16" s="81"/>
      <c r="I16" s="727"/>
      <c r="J16" s="666"/>
      <c r="K16" s="666"/>
      <c r="L16" s="666"/>
      <c r="M16" s="666"/>
      <c r="N16" s="666"/>
      <c r="O16" s="666"/>
    </row>
    <row r="17" spans="1:15">
      <c r="A17" s="2">
        <f>A16+1</f>
        <v>3</v>
      </c>
      <c r="B17" s="4" t="s">
        <v>529</v>
      </c>
      <c r="C17" s="2" t="s">
        <v>687</v>
      </c>
      <c r="D17" s="85">
        <f>-'B.3 B'!I264</f>
        <v>-197392161.06254607</v>
      </c>
      <c r="E17" s="73"/>
      <c r="F17" s="85">
        <f>-'B.3 B'!N264</f>
        <v>-193590170.14794922</v>
      </c>
      <c r="G17" s="81"/>
      <c r="H17" s="81"/>
      <c r="I17" s="727"/>
      <c r="J17" s="666"/>
      <c r="K17" s="666"/>
      <c r="L17" s="666"/>
      <c r="M17" s="666"/>
      <c r="N17" s="666"/>
      <c r="O17" s="666"/>
    </row>
    <row r="18" spans="1:15">
      <c r="A18" s="722"/>
      <c r="B18" s="4"/>
      <c r="C18" s="722"/>
      <c r="D18" s="77"/>
      <c r="E18" s="73"/>
      <c r="F18" s="77"/>
      <c r="G18" s="81"/>
      <c r="H18" s="81"/>
      <c r="I18" s="727"/>
      <c r="J18" s="666"/>
      <c r="K18" s="666"/>
      <c r="L18" s="666"/>
      <c r="M18" s="666"/>
      <c r="N18" s="666"/>
      <c r="O18" s="666"/>
    </row>
    <row r="19" spans="1:15">
      <c r="A19" s="2">
        <f>+A17+1</f>
        <v>4</v>
      </c>
      <c r="B19" s="4" t="s">
        <v>156</v>
      </c>
      <c r="D19" s="306">
        <f>SUM(D15:D17)</f>
        <v>513046000.53935093</v>
      </c>
      <c r="E19" s="73"/>
      <c r="F19" s="306">
        <f>SUM(F15:F17)</f>
        <v>474884740.15940964</v>
      </c>
      <c r="G19" s="81"/>
      <c r="H19" s="81"/>
      <c r="I19" s="727"/>
      <c r="J19" s="666"/>
      <c r="K19" s="666"/>
      <c r="L19" s="666"/>
      <c r="M19" s="666"/>
      <c r="N19" s="666"/>
      <c r="O19" s="666"/>
    </row>
    <row r="20" spans="1:15">
      <c r="A20" s="2"/>
      <c r="B20" s="4"/>
      <c r="D20" s="73"/>
      <c r="E20" s="73"/>
      <c r="F20" s="73"/>
      <c r="G20" s="81"/>
      <c r="H20" s="81"/>
      <c r="I20" s="727"/>
      <c r="J20" s="666"/>
      <c r="K20" s="666"/>
      <c r="L20" s="666"/>
      <c r="M20" s="666"/>
      <c r="N20" s="666"/>
      <c r="O20" s="666"/>
    </row>
    <row r="21" spans="1:15">
      <c r="A21" s="2">
        <f>A19+1</f>
        <v>5</v>
      </c>
      <c r="B21" s="4" t="s">
        <v>786</v>
      </c>
      <c r="C21" s="2" t="s">
        <v>688</v>
      </c>
      <c r="D21" s="306">
        <f>+'B.4 B'!E14</f>
        <v>2678216.8007644988</v>
      </c>
      <c r="E21" s="73"/>
      <c r="F21" s="306">
        <f>+D21</f>
        <v>2678216.8007644988</v>
      </c>
      <c r="G21" s="671"/>
      <c r="H21" s="671"/>
      <c r="I21" s="727"/>
      <c r="J21" s="666"/>
      <c r="K21" s="666"/>
      <c r="L21" s="666"/>
      <c r="M21" s="666"/>
      <c r="N21" s="666"/>
      <c r="O21" s="666"/>
    </row>
    <row r="22" spans="1:15">
      <c r="A22" s="2">
        <f>+A21+1</f>
        <v>6</v>
      </c>
      <c r="B22" s="4" t="s">
        <v>1058</v>
      </c>
      <c r="C22" s="2" t="s">
        <v>689</v>
      </c>
      <c r="D22" s="356">
        <f>+'B.4.1 B'!F37</f>
        <v>13916618.497880757</v>
      </c>
      <c r="E22" s="73"/>
      <c r="F22" s="356">
        <f>+'B.4.1 B'!K37</f>
        <v>13331155.825428512</v>
      </c>
      <c r="G22" s="81"/>
      <c r="H22" s="81"/>
      <c r="I22" s="727"/>
      <c r="J22" s="666"/>
      <c r="K22" s="666"/>
      <c r="L22" s="666"/>
      <c r="M22" s="666"/>
      <c r="N22" s="666"/>
      <c r="O22" s="666"/>
    </row>
    <row r="23" spans="1:15">
      <c r="A23" s="2">
        <f>+A22+1</f>
        <v>7</v>
      </c>
      <c r="B23" s="4" t="s">
        <v>633</v>
      </c>
      <c r="C23" s="2" t="s">
        <v>690</v>
      </c>
      <c r="D23" s="73">
        <f>'B.6 B'!G24</f>
        <v>-747234.09333333327</v>
      </c>
      <c r="E23" s="81"/>
      <c r="F23" s="73">
        <f>'B.6 B'!L24</f>
        <v>-750998.98615384637</v>
      </c>
      <c r="G23" s="81"/>
      <c r="H23" s="81"/>
      <c r="I23" s="727"/>
      <c r="J23" s="666"/>
      <c r="K23" s="666"/>
      <c r="L23" s="666"/>
      <c r="M23" s="666"/>
      <c r="N23" s="666"/>
      <c r="O23" s="666"/>
    </row>
    <row r="24" spans="1:15">
      <c r="A24" s="803">
        <f t="shared" ref="A24:A25" si="0">+A23+1</f>
        <v>8</v>
      </c>
      <c r="B24" s="4" t="s">
        <v>1615</v>
      </c>
      <c r="C24" s="803" t="s">
        <v>1614</v>
      </c>
      <c r="D24" s="356">
        <f>'[3]KY ADIT-Feb 2019 ALG'!$O$218+F.6!I23</f>
        <v>-34046195.741111107</v>
      </c>
      <c r="E24" s="623"/>
      <c r="F24" s="356">
        <f>(SUM('[3]KY ADIT-August 2018'!$C$218:$O$218)/13)+(SUM(F.6!I16:I23)/13)</f>
        <v>-34757594.167873926</v>
      </c>
      <c r="G24" s="81"/>
      <c r="H24" s="81"/>
      <c r="I24" s="727"/>
      <c r="J24" s="666"/>
      <c r="K24" s="666"/>
      <c r="L24" s="666"/>
      <c r="M24" s="666"/>
      <c r="N24" s="666"/>
      <c r="O24" s="666"/>
    </row>
    <row r="25" spans="1:15">
      <c r="A25" s="803">
        <f t="shared" si="0"/>
        <v>9</v>
      </c>
      <c r="B25" s="88" t="s">
        <v>1132</v>
      </c>
      <c r="C25" s="117" t="s">
        <v>691</v>
      </c>
      <c r="D25" s="83">
        <f>'B.5 B'!G49</f>
        <v>-49906660.750738584</v>
      </c>
      <c r="E25" s="81"/>
      <c r="F25" s="83">
        <f>'B.5 B'!L49</f>
        <v>-41324611.817852393</v>
      </c>
      <c r="G25" s="81"/>
      <c r="H25" s="81"/>
      <c r="I25" s="727"/>
      <c r="J25" s="666"/>
      <c r="K25" s="666"/>
      <c r="L25" s="666"/>
      <c r="M25" s="666"/>
      <c r="N25" s="666"/>
      <c r="O25" s="666"/>
    </row>
    <row r="26" spans="1:15">
      <c r="A26" s="803"/>
      <c r="E26" s="81"/>
      <c r="G26" s="81"/>
      <c r="H26" s="81"/>
      <c r="I26" s="727"/>
      <c r="J26" s="666"/>
      <c r="K26" s="666"/>
      <c r="L26" s="666"/>
      <c r="M26" s="666"/>
      <c r="N26" s="666"/>
      <c r="O26" s="666"/>
    </row>
    <row r="27" spans="1:15" ht="15.75" thickBot="1">
      <c r="A27" s="803">
        <f>+A25+1</f>
        <v>10</v>
      </c>
      <c r="B27" s="4" t="s">
        <v>157</v>
      </c>
      <c r="D27" s="308">
        <f>SUM(D19:D25)</f>
        <v>444940745.25281322</v>
      </c>
      <c r="E27" s="10"/>
      <c r="F27" s="308">
        <f>SUM(F19:F25)</f>
        <v>414060907.81372249</v>
      </c>
      <c r="G27" s="81"/>
      <c r="H27" s="81"/>
      <c r="I27" s="727"/>
      <c r="J27" s="666"/>
      <c r="K27" s="666"/>
      <c r="L27" s="666"/>
      <c r="M27" s="666"/>
      <c r="N27" s="666"/>
      <c r="O27" s="666"/>
    </row>
    <row r="28" spans="1:15" ht="15.75" thickTop="1">
      <c r="A28" s="2"/>
      <c r="D28" s="10"/>
      <c r="E28" s="10"/>
      <c r="F28" s="10"/>
      <c r="G28" s="81"/>
      <c r="H28" s="81"/>
    </row>
    <row r="29" spans="1:15">
      <c r="B29" s="90"/>
      <c r="D29" s="1193"/>
      <c r="E29" s="81"/>
      <c r="F29" s="81"/>
      <c r="G29" s="81"/>
      <c r="H29" s="81"/>
    </row>
    <row r="30" spans="1:15">
      <c r="D30" s="73"/>
      <c r="E30" s="81"/>
      <c r="F30" s="73"/>
      <c r="G30" s="81"/>
      <c r="H30" s="81"/>
    </row>
    <row r="31" spans="1:15">
      <c r="D31" s="73"/>
      <c r="E31" s="73"/>
      <c r="F31" s="73"/>
      <c r="G31" s="81"/>
      <c r="H31" s="81"/>
    </row>
  </sheetData>
  <phoneticPr fontId="22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R64"/>
  <sheetViews>
    <sheetView view="pageBreakPreview" zoomScale="70" zoomScaleNormal="90" zoomScaleSheetLayoutView="70" workbookViewId="0">
      <selection activeCell="E27" sqref="E27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  <col min="15" max="15" width="8.21875" customWidth="1"/>
    <col min="16" max="16" width="8.21875" style="793" customWidth="1"/>
    <col min="17" max="17" width="11.5546875" bestFit="1" customWidth="1"/>
    <col min="18" max="18" width="15" bestFit="1" customWidth="1"/>
  </cols>
  <sheetData>
    <row r="1" spans="1:18" ht="15.75">
      <c r="A1" s="1218" t="str">
        <f>'Table of Contents'!A1:C1</f>
        <v>Atmos Energy Corporation, Kentucky/Mid-States Division</v>
      </c>
      <c r="B1" s="1218"/>
      <c r="C1" s="1218"/>
      <c r="D1" s="1218"/>
      <c r="E1" s="1218"/>
      <c r="F1" s="699"/>
      <c r="G1" s="1"/>
      <c r="H1" s="1"/>
      <c r="I1" s="1"/>
      <c r="J1" s="1"/>
    </row>
    <row r="2" spans="1:18" ht="15.75">
      <c r="A2" s="1218" t="str">
        <f>'Table of Contents'!A2:C2</f>
        <v>Kentucky Jurisdiction Case No. 2018-00281</v>
      </c>
      <c r="B2" s="1218"/>
      <c r="C2" s="1218"/>
      <c r="D2" s="1218"/>
      <c r="E2" s="1218"/>
      <c r="F2" s="756"/>
      <c r="G2" s="81"/>
      <c r="H2" s="81"/>
      <c r="I2" s="81"/>
      <c r="J2" s="1"/>
    </row>
    <row r="3" spans="1:18" ht="15.75">
      <c r="A3" s="1218" t="s">
        <v>220</v>
      </c>
      <c r="B3" s="1218"/>
      <c r="C3" s="1218"/>
      <c r="D3" s="1218"/>
      <c r="E3" s="1218"/>
      <c r="F3" s="699"/>
      <c r="G3" s="758"/>
      <c r="H3" s="81"/>
      <c r="I3" s="81"/>
      <c r="J3" s="1"/>
    </row>
    <row r="4" spans="1:18" ht="15.75">
      <c r="A4" s="12"/>
      <c r="B4" s="1"/>
      <c r="C4" s="1"/>
      <c r="D4" s="1"/>
      <c r="E4" s="1"/>
      <c r="F4" s="81"/>
      <c r="G4" s="671"/>
      <c r="H4" s="671"/>
      <c r="I4" s="671"/>
      <c r="J4" s="1"/>
    </row>
    <row r="5" spans="1:18" ht="15.75">
      <c r="A5" s="12"/>
      <c r="B5" s="1"/>
      <c r="C5" s="1"/>
      <c r="D5" s="1"/>
      <c r="E5" s="1"/>
      <c r="F5" s="81"/>
      <c r="G5" s="671"/>
      <c r="H5" s="671"/>
      <c r="I5" s="671"/>
    </row>
    <row r="6" spans="1:18" ht="15.75">
      <c r="A6" s="12"/>
      <c r="B6" s="1"/>
      <c r="C6" s="1"/>
      <c r="D6" s="1"/>
      <c r="F6" s="81"/>
      <c r="G6" s="671"/>
      <c r="H6" s="671"/>
      <c r="I6" s="671"/>
    </row>
    <row r="7" spans="1:18">
      <c r="A7" s="66" t="s">
        <v>565</v>
      </c>
      <c r="C7" s="1"/>
      <c r="D7" s="1"/>
      <c r="E7" s="568" t="s">
        <v>1410</v>
      </c>
      <c r="F7" s="1"/>
      <c r="G7" s="592"/>
      <c r="H7" s="592"/>
      <c r="I7" s="592"/>
    </row>
    <row r="8" spans="1:18">
      <c r="A8" s="66" t="s">
        <v>615</v>
      </c>
      <c r="C8" s="1"/>
      <c r="D8" s="1"/>
      <c r="E8" s="489" t="s">
        <v>72</v>
      </c>
      <c r="F8" s="1"/>
      <c r="G8" s="757"/>
      <c r="H8" s="592"/>
      <c r="I8" s="592"/>
    </row>
    <row r="9" spans="1:18">
      <c r="A9" s="569" t="s">
        <v>426</v>
      </c>
      <c r="B9" s="52"/>
      <c r="C9" s="33"/>
      <c r="D9" s="33"/>
      <c r="E9" s="606" t="str">
        <f>F.1!$F$9</f>
        <v>Witness: Waller</v>
      </c>
      <c r="F9" s="1"/>
      <c r="G9" s="592"/>
      <c r="H9" s="592"/>
      <c r="I9" s="592"/>
      <c r="J9" s="1"/>
    </row>
    <row r="10" spans="1:18" ht="15.75">
      <c r="B10" s="27"/>
      <c r="C10" s="1"/>
      <c r="D10" s="1"/>
      <c r="E10" s="126"/>
      <c r="F10" s="1"/>
      <c r="H10" s="102" t="s">
        <v>1685</v>
      </c>
      <c r="I10" s="1"/>
      <c r="J10" s="1"/>
    </row>
    <row r="11" spans="1:18">
      <c r="A11" s="100" t="s">
        <v>93</v>
      </c>
      <c r="B11" s="92"/>
      <c r="C11" s="1"/>
      <c r="D11" s="1"/>
      <c r="E11" s="126"/>
      <c r="F11" s="1"/>
      <c r="G11" s="592"/>
      <c r="J11" s="1"/>
    </row>
    <row r="12" spans="1:18" ht="15.75">
      <c r="A12" s="101" t="s">
        <v>99</v>
      </c>
      <c r="B12" s="101" t="s">
        <v>985</v>
      </c>
      <c r="C12" s="33"/>
      <c r="D12" s="33"/>
      <c r="E12" s="404" t="s">
        <v>104</v>
      </c>
      <c r="F12" s="1"/>
      <c r="I12" s="102" t="s">
        <v>1683</v>
      </c>
      <c r="J12" s="1"/>
      <c r="M12" s="102" t="s">
        <v>1684</v>
      </c>
    </row>
    <row r="13" spans="1:18">
      <c r="A13" s="400"/>
      <c r="B13" s="400"/>
      <c r="C13" s="1"/>
      <c r="D13" s="1"/>
      <c r="E13" s="1"/>
      <c r="F13" s="1"/>
      <c r="H13" s="793"/>
      <c r="I13" s="804" t="s">
        <v>1443</v>
      </c>
      <c r="J13" s="805" t="s">
        <v>1444</v>
      </c>
      <c r="L13" s="793"/>
      <c r="M13" s="804" t="s">
        <v>1443</v>
      </c>
      <c r="N13" s="805" t="s">
        <v>1444</v>
      </c>
      <c r="Q13" s="804" t="s">
        <v>1686</v>
      </c>
      <c r="R13" s="805" t="s">
        <v>1687</v>
      </c>
    </row>
    <row r="14" spans="1:18" ht="15.75">
      <c r="A14" s="53">
        <v>1</v>
      </c>
      <c r="B14" s="147" t="s">
        <v>221</v>
      </c>
      <c r="H14" s="847">
        <v>43190</v>
      </c>
      <c r="I14" s="793">
        <f>0</f>
        <v>0</v>
      </c>
      <c r="J14" s="1">
        <f>0</f>
        <v>0</v>
      </c>
      <c r="L14" s="847">
        <v>43555</v>
      </c>
      <c r="M14" s="793">
        <f>0</f>
        <v>0</v>
      </c>
      <c r="N14" s="1">
        <f>0</f>
        <v>0</v>
      </c>
      <c r="P14" s="847">
        <v>43190</v>
      </c>
      <c r="Q14">
        <f>I14+J14</f>
        <v>0</v>
      </c>
      <c r="R14" s="793">
        <f>J14+K14</f>
        <v>0</v>
      </c>
    </row>
    <row r="15" spans="1:18">
      <c r="A15" s="53">
        <f t="shared" ref="A15:A31" si="0">A14+1</f>
        <v>2</v>
      </c>
      <c r="B15" s="316" t="s">
        <v>935</v>
      </c>
      <c r="D15" s="144">
        <f>[21]F.6!$D$15</f>
        <v>13650</v>
      </c>
      <c r="E15" s="141"/>
      <c r="F15" s="137"/>
      <c r="H15" s="847">
        <v>43220</v>
      </c>
      <c r="I15" s="793">
        <v>0</v>
      </c>
      <c r="J15" s="1">
        <v>0</v>
      </c>
      <c r="L15" s="847">
        <v>43585</v>
      </c>
      <c r="M15" s="793">
        <f>E29-N15</f>
        <v>327934.12361111108</v>
      </c>
      <c r="N15" s="1">
        <f>E29/36</f>
        <v>9369.546388888888</v>
      </c>
      <c r="P15" s="847">
        <v>43220</v>
      </c>
      <c r="Q15" s="793">
        <f t="shared" ref="Q15" si="1">I15+J15</f>
        <v>0</v>
      </c>
      <c r="R15" s="793">
        <f t="shared" ref="R15:R25" si="2">J15+K15</f>
        <v>0</v>
      </c>
    </row>
    <row r="16" spans="1:18">
      <c r="A16" s="657">
        <f t="shared" si="0"/>
        <v>3</v>
      </c>
      <c r="B16" s="759" t="s">
        <v>936</v>
      </c>
      <c r="D16" s="142">
        <f>[21]F.6!$D$17</f>
        <v>16200</v>
      </c>
      <c r="E16" s="141"/>
      <c r="F16" s="137"/>
      <c r="G16" s="92"/>
      <c r="H16" s="847">
        <v>43221</v>
      </c>
      <c r="I16" s="793">
        <f>173120.12-J16</f>
        <v>164401.12</v>
      </c>
      <c r="J16" s="1">
        <f t="shared" ref="J16:J26" si="3">313884/36</f>
        <v>8719</v>
      </c>
      <c r="L16" s="847">
        <v>43616</v>
      </c>
      <c r="M16" s="793">
        <f t="shared" ref="M16:M26" si="4">M15-N16</f>
        <v>318564.57722222217</v>
      </c>
      <c r="N16" s="1">
        <f>$N$15</f>
        <v>9369.546388888888</v>
      </c>
      <c r="P16" s="847">
        <v>43221</v>
      </c>
      <c r="Q16" s="793">
        <f>I16</f>
        <v>164401.12</v>
      </c>
      <c r="R16" s="793">
        <f t="shared" si="2"/>
        <v>8719</v>
      </c>
    </row>
    <row r="17" spans="1:18">
      <c r="A17" s="657">
        <f t="shared" si="0"/>
        <v>4</v>
      </c>
      <c r="B17" s="316" t="s">
        <v>1257</v>
      </c>
      <c r="D17" s="145">
        <f>[21]F.6!$D$16</f>
        <v>23063.65</v>
      </c>
      <c r="E17" s="141"/>
      <c r="F17" s="136"/>
      <c r="H17" s="847">
        <v>43252</v>
      </c>
      <c r="I17" s="793">
        <f t="shared" ref="I17:I26" si="5">I16-J17</f>
        <v>155682.12</v>
      </c>
      <c r="J17" s="1">
        <f t="shared" si="3"/>
        <v>8719</v>
      </c>
      <c r="L17" s="847">
        <v>43646</v>
      </c>
      <c r="M17" s="793">
        <f t="shared" si="4"/>
        <v>309195.03083333327</v>
      </c>
      <c r="N17" s="1">
        <f t="shared" ref="N17:N26" si="6">$N$15</f>
        <v>9369.546388888888</v>
      </c>
      <c r="P17" s="847">
        <v>43252</v>
      </c>
      <c r="Q17" s="793">
        <f t="shared" ref="Q17:Q25" si="7">I17</f>
        <v>155682.12</v>
      </c>
      <c r="R17" s="793">
        <f t="shared" si="2"/>
        <v>8719</v>
      </c>
    </row>
    <row r="18" spans="1:18">
      <c r="A18" s="657">
        <f t="shared" si="0"/>
        <v>5</v>
      </c>
      <c r="B18" s="148" t="s">
        <v>401</v>
      </c>
      <c r="D18" s="141"/>
      <c r="E18" s="144">
        <f>SUM(D15:D17)</f>
        <v>52913.65</v>
      </c>
      <c r="G18" s="137"/>
      <c r="H18" s="847">
        <v>43282</v>
      </c>
      <c r="I18" s="793">
        <f t="shared" si="5"/>
        <v>146963.12</v>
      </c>
      <c r="J18" s="1">
        <f t="shared" si="3"/>
        <v>8719</v>
      </c>
      <c r="L18" s="847">
        <v>43677</v>
      </c>
      <c r="M18" s="793">
        <f t="shared" si="4"/>
        <v>299825.48444444436</v>
      </c>
      <c r="N18" s="1">
        <f t="shared" si="6"/>
        <v>9369.546388888888</v>
      </c>
      <c r="P18" s="847">
        <v>43282</v>
      </c>
      <c r="Q18" s="793">
        <f t="shared" si="7"/>
        <v>146963.12</v>
      </c>
      <c r="R18" s="793">
        <f t="shared" si="2"/>
        <v>8719</v>
      </c>
    </row>
    <row r="19" spans="1:18">
      <c r="A19" s="657">
        <f t="shared" si="0"/>
        <v>6</v>
      </c>
      <c r="B19" s="148"/>
      <c r="D19" s="141"/>
      <c r="E19" s="141"/>
      <c r="H19" s="847">
        <v>43313</v>
      </c>
      <c r="I19" s="793">
        <f t="shared" si="5"/>
        <v>138244.12</v>
      </c>
      <c r="J19" s="1">
        <f t="shared" si="3"/>
        <v>8719</v>
      </c>
      <c r="L19" s="847">
        <v>43708</v>
      </c>
      <c r="M19" s="793">
        <f t="shared" si="4"/>
        <v>290455.93805555545</v>
      </c>
      <c r="N19" s="1">
        <f t="shared" si="6"/>
        <v>9369.546388888888</v>
      </c>
      <c r="P19" s="847">
        <v>43313</v>
      </c>
      <c r="Q19" s="793">
        <f t="shared" si="7"/>
        <v>138244.12</v>
      </c>
      <c r="R19" s="793">
        <f t="shared" si="2"/>
        <v>8719</v>
      </c>
    </row>
    <row r="20" spans="1:18" ht="15.75">
      <c r="A20" s="657">
        <f t="shared" si="0"/>
        <v>7</v>
      </c>
      <c r="B20" s="147" t="s">
        <v>402</v>
      </c>
      <c r="D20" s="141"/>
      <c r="G20" s="136"/>
      <c r="H20" s="847">
        <v>43344</v>
      </c>
      <c r="I20" s="793">
        <f t="shared" si="5"/>
        <v>129525.12</v>
      </c>
      <c r="J20" s="1">
        <f t="shared" si="3"/>
        <v>8719</v>
      </c>
      <c r="L20" s="847">
        <v>43738</v>
      </c>
      <c r="M20" s="793">
        <f t="shared" si="4"/>
        <v>281086.39166666655</v>
      </c>
      <c r="N20" s="1">
        <f t="shared" si="6"/>
        <v>9369.546388888888</v>
      </c>
      <c r="P20" s="847">
        <v>43344</v>
      </c>
      <c r="Q20" s="793">
        <f t="shared" si="7"/>
        <v>129525.12</v>
      </c>
      <c r="R20" s="793">
        <f t="shared" si="2"/>
        <v>8719</v>
      </c>
    </row>
    <row r="21" spans="1:18">
      <c r="A21" s="657">
        <f t="shared" si="0"/>
        <v>8</v>
      </c>
      <c r="B21" s="148" t="s">
        <v>403</v>
      </c>
      <c r="D21" s="141"/>
      <c r="E21" s="141">
        <f>[21]F.6!$E$21</f>
        <v>164183.54999999999</v>
      </c>
      <c r="G21" s="136"/>
      <c r="H21" s="847">
        <v>43374</v>
      </c>
      <c r="I21" s="793">
        <f t="shared" si="5"/>
        <v>120806.12</v>
      </c>
      <c r="J21" s="1">
        <f t="shared" si="3"/>
        <v>8719</v>
      </c>
      <c r="L21" s="847">
        <v>43769</v>
      </c>
      <c r="M21" s="793">
        <f t="shared" si="4"/>
        <v>271716.84527777764</v>
      </c>
      <c r="N21" s="1">
        <f t="shared" si="6"/>
        <v>9369.546388888888</v>
      </c>
      <c r="P21" s="847">
        <v>43374</v>
      </c>
      <c r="Q21" s="793">
        <f t="shared" si="7"/>
        <v>120806.12</v>
      </c>
      <c r="R21" s="793">
        <f t="shared" si="2"/>
        <v>8719</v>
      </c>
    </row>
    <row r="22" spans="1:18">
      <c r="A22" s="657">
        <f t="shared" si="0"/>
        <v>9</v>
      </c>
      <c r="B22" s="148" t="s">
        <v>323</v>
      </c>
      <c r="D22" s="141"/>
      <c r="E22" s="141"/>
      <c r="G22" s="136"/>
      <c r="H22" s="847">
        <v>43405</v>
      </c>
      <c r="I22" s="793">
        <f t="shared" si="5"/>
        <v>112087.12</v>
      </c>
      <c r="J22" s="1">
        <f t="shared" si="3"/>
        <v>8719</v>
      </c>
      <c r="L22" s="847">
        <v>43799</v>
      </c>
      <c r="M22" s="793">
        <f t="shared" si="4"/>
        <v>262347.29888888873</v>
      </c>
      <c r="N22" s="1">
        <f t="shared" si="6"/>
        <v>9369.546388888888</v>
      </c>
      <c r="P22" s="847">
        <v>43405</v>
      </c>
      <c r="Q22" s="793">
        <f t="shared" si="7"/>
        <v>112087.12</v>
      </c>
      <c r="R22" s="793">
        <f t="shared" si="2"/>
        <v>8719</v>
      </c>
    </row>
    <row r="23" spans="1:18" ht="15.75">
      <c r="A23" s="657">
        <f t="shared" si="0"/>
        <v>10</v>
      </c>
      <c r="B23" s="147" t="s">
        <v>404</v>
      </c>
      <c r="D23" s="141"/>
      <c r="E23" s="141"/>
      <c r="G23" s="136"/>
      <c r="H23" s="847">
        <v>43435</v>
      </c>
      <c r="I23" s="793">
        <f t="shared" si="5"/>
        <v>103368.12</v>
      </c>
      <c r="J23" s="1">
        <f t="shared" si="3"/>
        <v>8719</v>
      </c>
      <c r="L23" s="847">
        <v>43830</v>
      </c>
      <c r="M23" s="793">
        <f t="shared" si="4"/>
        <v>252977.75249999986</v>
      </c>
      <c r="N23" s="1">
        <f t="shared" si="6"/>
        <v>9369.546388888888</v>
      </c>
      <c r="P23" s="847">
        <v>43435</v>
      </c>
      <c r="Q23" s="793">
        <f t="shared" si="7"/>
        <v>103368.12</v>
      </c>
      <c r="R23" s="793">
        <f t="shared" si="2"/>
        <v>8719</v>
      </c>
    </row>
    <row r="24" spans="1:18">
      <c r="A24" s="657">
        <f t="shared" si="0"/>
        <v>11</v>
      </c>
      <c r="B24" s="148" t="s">
        <v>406</v>
      </c>
      <c r="D24" s="141"/>
      <c r="E24" s="142">
        <f>[21]F.6!$E$24</f>
        <v>23813.300000000003</v>
      </c>
      <c r="G24" s="139"/>
      <c r="H24" s="847">
        <v>43466</v>
      </c>
      <c r="I24" s="793">
        <f t="shared" si="5"/>
        <v>94649.12</v>
      </c>
      <c r="J24" s="1">
        <f t="shared" si="3"/>
        <v>8719</v>
      </c>
      <c r="L24" s="847">
        <v>43861</v>
      </c>
      <c r="M24" s="793">
        <f t="shared" si="4"/>
        <v>243608.20611111098</v>
      </c>
      <c r="N24" s="1">
        <f t="shared" si="6"/>
        <v>9369.546388888888</v>
      </c>
      <c r="P24" s="847">
        <v>43466</v>
      </c>
      <c r="Q24" s="793">
        <f t="shared" si="7"/>
        <v>94649.12</v>
      </c>
      <c r="R24" s="793">
        <f t="shared" si="2"/>
        <v>8719</v>
      </c>
    </row>
    <row r="25" spans="1:18">
      <c r="A25" s="657">
        <f t="shared" si="0"/>
        <v>12</v>
      </c>
      <c r="B25" s="148"/>
      <c r="D25" s="141"/>
      <c r="E25" s="141"/>
      <c r="H25" s="847">
        <v>43497</v>
      </c>
      <c r="I25" s="793">
        <f t="shared" si="5"/>
        <v>85930.12</v>
      </c>
      <c r="J25" s="1">
        <f t="shared" si="3"/>
        <v>8719</v>
      </c>
      <c r="L25" s="847">
        <v>43890</v>
      </c>
      <c r="M25" s="793">
        <f t="shared" si="4"/>
        <v>234238.6597222221</v>
      </c>
      <c r="N25" s="1">
        <f t="shared" si="6"/>
        <v>9369.546388888888</v>
      </c>
      <c r="P25" s="847">
        <v>43497</v>
      </c>
      <c r="Q25" s="793">
        <f t="shared" si="7"/>
        <v>85930.12</v>
      </c>
      <c r="R25" s="793">
        <f t="shared" si="2"/>
        <v>8719</v>
      </c>
    </row>
    <row r="26" spans="1:18" ht="15.75">
      <c r="A26" s="657">
        <f t="shared" si="0"/>
        <v>13</v>
      </c>
      <c r="B26" s="147" t="s">
        <v>407</v>
      </c>
      <c r="D26" s="141"/>
      <c r="E26" s="141"/>
      <c r="H26" s="847">
        <v>43525</v>
      </c>
      <c r="I26" s="804">
        <f t="shared" si="5"/>
        <v>77211.12</v>
      </c>
      <c r="J26" s="804">
        <f t="shared" si="3"/>
        <v>8719</v>
      </c>
      <c r="L26" s="847">
        <v>43921</v>
      </c>
      <c r="M26" s="804">
        <f t="shared" si="4"/>
        <v>224869.11333333323</v>
      </c>
      <c r="N26" s="804">
        <f t="shared" si="6"/>
        <v>9369.546388888888</v>
      </c>
      <c r="P26" s="847">
        <v>43525</v>
      </c>
      <c r="Q26" s="793">
        <f>I26+M14</f>
        <v>77211.12</v>
      </c>
      <c r="R26" s="793">
        <f>J26+N14</f>
        <v>8719</v>
      </c>
    </row>
    <row r="27" spans="1:18">
      <c r="A27" s="657">
        <f t="shared" si="0"/>
        <v>14</v>
      </c>
      <c r="B27" s="148" t="s">
        <v>408</v>
      </c>
      <c r="D27" s="141"/>
      <c r="E27" s="145">
        <f>[21]F.6!$E$27</f>
        <v>96393.17</v>
      </c>
      <c r="G27" s="138"/>
      <c r="H27" s="847"/>
      <c r="I27" s="807">
        <f>AVERAGE(I14:I26)</f>
        <v>102220.56307692311</v>
      </c>
      <c r="J27" s="807">
        <f>SUM(J14:J26)</f>
        <v>95909</v>
      </c>
      <c r="M27" s="807">
        <f>AVERAGE(M14:M26)</f>
        <v>255139.95551282039</v>
      </c>
      <c r="N27" s="802">
        <f>SUM(N14:N26)</f>
        <v>112434.55666666669</v>
      </c>
      <c r="P27" s="847">
        <v>43585</v>
      </c>
      <c r="Q27" s="807">
        <f>I31+M15</f>
        <v>396426.24361111107</v>
      </c>
      <c r="R27" s="807">
        <f>J31+N15</f>
        <v>18088.546388888888</v>
      </c>
    </row>
    <row r="28" spans="1:18">
      <c r="A28" s="657">
        <f t="shared" si="0"/>
        <v>15</v>
      </c>
      <c r="B28" s="148"/>
      <c r="D28" s="141"/>
      <c r="E28" s="141"/>
      <c r="I28" t="s">
        <v>1445</v>
      </c>
      <c r="P28" s="847">
        <v>43616</v>
      </c>
      <c r="Q28" s="807">
        <f t="shared" ref="Q28:R28" si="8">I32+M16</f>
        <v>378337.69722222217</v>
      </c>
      <c r="R28" s="807">
        <f t="shared" si="8"/>
        <v>18088.546388888888</v>
      </c>
    </row>
    <row r="29" spans="1:18" ht="16.5" thickBot="1">
      <c r="A29" s="657">
        <f t="shared" si="0"/>
        <v>16</v>
      </c>
      <c r="B29" s="147" t="s">
        <v>957</v>
      </c>
      <c r="D29" s="141"/>
      <c r="E29" s="146">
        <f>SUM(E14:E27)</f>
        <v>337303.67</v>
      </c>
      <c r="G29" s="140"/>
      <c r="J29" s="1"/>
      <c r="P29" s="847">
        <v>43646</v>
      </c>
      <c r="Q29" s="807">
        <f t="shared" ref="Q29:R29" si="9">I33+M17</f>
        <v>360249.15083333326</v>
      </c>
      <c r="R29" s="807">
        <f t="shared" si="9"/>
        <v>18088.546388888888</v>
      </c>
    </row>
    <row r="30" spans="1:18" ht="15.75" thickTop="1">
      <c r="A30" s="657">
        <f t="shared" si="0"/>
        <v>17</v>
      </c>
      <c r="D30" s="141"/>
      <c r="E30" s="141"/>
      <c r="J30" s="1"/>
      <c r="P30" s="847">
        <v>43677</v>
      </c>
      <c r="Q30" s="807">
        <f t="shared" ref="Q30:R30" si="10">I34+M18</f>
        <v>342160.60444444435</v>
      </c>
      <c r="R30" s="807">
        <f t="shared" si="10"/>
        <v>18088.546388888888</v>
      </c>
    </row>
    <row r="31" spans="1:18" ht="16.5" thickBot="1">
      <c r="A31" s="657">
        <f t="shared" si="0"/>
        <v>18</v>
      </c>
      <c r="B31" s="147" t="s">
        <v>1696</v>
      </c>
      <c r="D31" s="118"/>
      <c r="E31" s="1171">
        <f>E29/3</f>
        <v>112434.55666666666</v>
      </c>
      <c r="H31" s="847">
        <v>43556</v>
      </c>
      <c r="I31" s="793">
        <f>I26-J31</f>
        <v>68492.12</v>
      </c>
      <c r="J31" s="1">
        <f t="shared" ref="J31:J37" si="11">313884/36</f>
        <v>8719</v>
      </c>
      <c r="L31" s="847">
        <v>43922</v>
      </c>
      <c r="M31" s="793">
        <f>M26-N31</f>
        <v>215499.56694444435</v>
      </c>
      <c r="N31" s="57">
        <f>$N$15</f>
        <v>9369.546388888888</v>
      </c>
      <c r="P31" s="847">
        <v>43708</v>
      </c>
      <c r="Q31" s="807">
        <f t="shared" ref="Q31:R31" si="12">I35+M19</f>
        <v>324072.05805555545</v>
      </c>
      <c r="R31" s="807">
        <f t="shared" si="12"/>
        <v>18088.546388888888</v>
      </c>
    </row>
    <row r="32" spans="1:18" ht="15.75" thickTop="1">
      <c r="A32" s="143"/>
      <c r="D32" s="118"/>
      <c r="H32" s="847">
        <v>43586</v>
      </c>
      <c r="I32" s="793">
        <f t="shared" ref="I32:I54" si="13">I31-J31</f>
        <v>59773.119999999995</v>
      </c>
      <c r="J32" s="1">
        <f t="shared" si="11"/>
        <v>8719</v>
      </c>
      <c r="L32" s="847">
        <v>43952</v>
      </c>
      <c r="M32" s="793">
        <f t="shared" ref="M32:M42" si="14">M31-N31</f>
        <v>206130.02055555547</v>
      </c>
      <c r="N32" s="57">
        <f t="shared" ref="N32:N54" si="15">$N$15</f>
        <v>9369.546388888888</v>
      </c>
      <c r="P32" s="847">
        <v>43738</v>
      </c>
      <c r="Q32" s="807">
        <f t="shared" ref="Q32:R32" si="16">I36+M20</f>
        <v>305983.51166666654</v>
      </c>
      <c r="R32" s="807">
        <f t="shared" si="16"/>
        <v>18088.546388888888</v>
      </c>
    </row>
    <row r="33" spans="1:18">
      <c r="A33" s="149"/>
      <c r="H33" s="847">
        <v>43617</v>
      </c>
      <c r="I33" s="793">
        <f t="shared" si="13"/>
        <v>51054.119999999995</v>
      </c>
      <c r="J33" s="1">
        <f t="shared" si="11"/>
        <v>8719</v>
      </c>
      <c r="L33" s="847">
        <v>43983</v>
      </c>
      <c r="M33" s="793">
        <f t="shared" si="14"/>
        <v>196760.47416666659</v>
      </c>
      <c r="N33" s="57">
        <f t="shared" si="15"/>
        <v>9369.546388888888</v>
      </c>
      <c r="P33" s="847">
        <v>43769</v>
      </c>
      <c r="Q33" s="807">
        <f t="shared" ref="Q33:R33" si="17">I37+M21</f>
        <v>287894.96527777764</v>
      </c>
      <c r="R33" s="807">
        <f t="shared" si="17"/>
        <v>18088.546388888888</v>
      </c>
    </row>
    <row r="34" spans="1:18">
      <c r="A34" s="148"/>
      <c r="H34" s="847">
        <v>43647</v>
      </c>
      <c r="I34" s="793">
        <f t="shared" si="13"/>
        <v>42335.119999999995</v>
      </c>
      <c r="J34" s="1">
        <f t="shared" si="11"/>
        <v>8719</v>
      </c>
      <c r="L34" s="847">
        <v>44013</v>
      </c>
      <c r="M34" s="793">
        <f t="shared" si="14"/>
        <v>187390.92777777772</v>
      </c>
      <c r="N34" s="57">
        <f t="shared" si="15"/>
        <v>9369.546388888888</v>
      </c>
      <c r="P34" s="847">
        <v>43799</v>
      </c>
      <c r="Q34" s="807">
        <f t="shared" ref="Q34:R34" si="18">I38+M22</f>
        <v>269806.41888888873</v>
      </c>
      <c r="R34" s="807">
        <f t="shared" si="18"/>
        <v>16828.546388888888</v>
      </c>
    </row>
    <row r="35" spans="1:18">
      <c r="B35" t="s">
        <v>518</v>
      </c>
      <c r="H35" s="847">
        <v>43678</v>
      </c>
      <c r="I35" s="793">
        <f t="shared" si="13"/>
        <v>33616.119999999995</v>
      </c>
      <c r="J35" s="1">
        <f t="shared" si="11"/>
        <v>8719</v>
      </c>
      <c r="L35" s="847">
        <v>44044</v>
      </c>
      <c r="M35" s="793">
        <f t="shared" si="14"/>
        <v>178021.38138888884</v>
      </c>
      <c r="N35" s="57">
        <f t="shared" si="15"/>
        <v>9369.546388888888</v>
      </c>
      <c r="P35" s="847">
        <v>43830</v>
      </c>
      <c r="Q35" s="807">
        <f t="shared" ref="Q35:R35" si="19">I39+M23</f>
        <v>252977.87249999985</v>
      </c>
      <c r="R35" s="807">
        <f t="shared" si="19"/>
        <v>9369.546388888888</v>
      </c>
    </row>
    <row r="36" spans="1:18">
      <c r="B36" t="s">
        <v>1594</v>
      </c>
      <c r="H36" s="847">
        <v>43709</v>
      </c>
      <c r="I36" s="793">
        <f t="shared" si="13"/>
        <v>24897.119999999995</v>
      </c>
      <c r="J36" s="1">
        <f t="shared" si="11"/>
        <v>8719</v>
      </c>
      <c r="L36" s="847">
        <v>44075</v>
      </c>
      <c r="M36" s="793">
        <f t="shared" si="14"/>
        <v>168651.83499999996</v>
      </c>
      <c r="N36" s="57">
        <f t="shared" si="15"/>
        <v>9369.546388888888</v>
      </c>
      <c r="P36" s="847">
        <v>43861</v>
      </c>
      <c r="Q36" s="807">
        <f t="shared" ref="Q36:R36" si="20">I40+M24</f>
        <v>243608.32611111098</v>
      </c>
      <c r="R36" s="807">
        <f t="shared" si="20"/>
        <v>9369.546388888888</v>
      </c>
    </row>
    <row r="37" spans="1:18">
      <c r="H37" s="847">
        <v>43739</v>
      </c>
      <c r="I37" s="793">
        <f t="shared" ref="I37" si="21">I36-J36</f>
        <v>16178.119999999995</v>
      </c>
      <c r="J37" s="1">
        <f t="shared" si="11"/>
        <v>8719</v>
      </c>
      <c r="L37" s="847">
        <v>44105</v>
      </c>
      <c r="M37" s="793">
        <f t="shared" si="14"/>
        <v>159282.28861111109</v>
      </c>
      <c r="N37" s="57">
        <f t="shared" si="15"/>
        <v>9369.546388888888</v>
      </c>
      <c r="P37" s="847">
        <v>43890</v>
      </c>
      <c r="Q37" s="807">
        <f t="shared" ref="Q37:R37" si="22">I41+M25</f>
        <v>234238.7797222221</v>
      </c>
      <c r="R37" s="807">
        <f t="shared" si="22"/>
        <v>9369.546388888888</v>
      </c>
    </row>
    <row r="38" spans="1:18">
      <c r="H38" s="847">
        <v>43770</v>
      </c>
      <c r="I38" s="793">
        <f t="shared" si="13"/>
        <v>7459.1199999999953</v>
      </c>
      <c r="J38" s="1">
        <f>7459</f>
        <v>7459</v>
      </c>
      <c r="L38" s="847">
        <v>44136</v>
      </c>
      <c r="M38" s="793">
        <f t="shared" si="14"/>
        <v>149912.74222222221</v>
      </c>
      <c r="N38" s="57">
        <f t="shared" si="15"/>
        <v>9369.546388888888</v>
      </c>
      <c r="P38" s="847">
        <v>43921</v>
      </c>
      <c r="Q38" s="1162">
        <f t="shared" ref="Q38:R38" si="23">I42+M26</f>
        <v>224869.23333333322</v>
      </c>
      <c r="R38" s="1162">
        <f t="shared" si="23"/>
        <v>9369.546388888888</v>
      </c>
    </row>
    <row r="39" spans="1:18">
      <c r="H39" s="847">
        <v>43800</v>
      </c>
      <c r="I39" s="793">
        <f t="shared" si="13"/>
        <v>0.11999999999534339</v>
      </c>
      <c r="J39" s="1">
        <f>0</f>
        <v>0</v>
      </c>
      <c r="L39" s="847">
        <v>44166</v>
      </c>
      <c r="M39" s="793">
        <f t="shared" si="14"/>
        <v>140543.19583333333</v>
      </c>
      <c r="N39" s="57">
        <f t="shared" si="15"/>
        <v>9369.546388888888</v>
      </c>
      <c r="Q39" s="807">
        <f>AVERAGE(Q26:Q38)</f>
        <v>284448.92166666657</v>
      </c>
      <c r="R39" s="802">
        <f>SUM(R27:R38)</f>
        <v>180926.55666666661</v>
      </c>
    </row>
    <row r="40" spans="1:18">
      <c r="B40" s="592"/>
      <c r="H40" s="847">
        <v>43831</v>
      </c>
      <c r="I40" s="793">
        <f t="shared" si="13"/>
        <v>0.11999999999534339</v>
      </c>
      <c r="J40" s="1">
        <f>0</f>
        <v>0</v>
      </c>
      <c r="L40" s="847">
        <v>44197</v>
      </c>
      <c r="M40" s="793">
        <f t="shared" si="14"/>
        <v>131173.64944444445</v>
      </c>
      <c r="N40" s="57">
        <f t="shared" si="15"/>
        <v>9369.546388888888</v>
      </c>
      <c r="Q40" s="793" t="s">
        <v>1445</v>
      </c>
    </row>
    <row r="41" spans="1:18">
      <c r="H41" s="847">
        <v>43862</v>
      </c>
      <c r="I41" s="793">
        <f t="shared" si="13"/>
        <v>0.11999999999534339</v>
      </c>
      <c r="J41" s="1">
        <f>0</f>
        <v>0</v>
      </c>
      <c r="L41" s="847">
        <v>44228</v>
      </c>
      <c r="M41" s="793">
        <f t="shared" si="14"/>
        <v>121804.10305555556</v>
      </c>
      <c r="N41" s="57">
        <f t="shared" si="15"/>
        <v>9369.546388888888</v>
      </c>
      <c r="P41" s="847">
        <v>43922</v>
      </c>
      <c r="Q41" s="793">
        <f t="shared" ref="Q41:Q64" si="24">I43+M31</f>
        <v>215499.68694444434</v>
      </c>
      <c r="R41" s="793">
        <f t="shared" ref="R41:R64" si="25">J43+N31</f>
        <v>9369.546388888888</v>
      </c>
    </row>
    <row r="42" spans="1:18">
      <c r="H42" s="847">
        <v>43891</v>
      </c>
      <c r="I42" s="793">
        <f t="shared" si="13"/>
        <v>0.11999999999534339</v>
      </c>
      <c r="J42" s="1">
        <f>0</f>
        <v>0</v>
      </c>
      <c r="L42" s="847">
        <v>44256</v>
      </c>
      <c r="M42" s="793">
        <f t="shared" si="14"/>
        <v>112434.55666666667</v>
      </c>
      <c r="N42" s="57">
        <f t="shared" si="15"/>
        <v>9369.546388888888</v>
      </c>
      <c r="P42" s="847">
        <v>43952</v>
      </c>
      <c r="Q42" s="793">
        <f t="shared" si="24"/>
        <v>206130.14055555547</v>
      </c>
      <c r="R42" s="793">
        <f t="shared" si="25"/>
        <v>9369.546388888888</v>
      </c>
    </row>
    <row r="43" spans="1:18">
      <c r="A43" s="400"/>
      <c r="B43" s="836"/>
      <c r="C43" s="81"/>
      <c r="D43" s="81"/>
      <c r="E43" s="81"/>
      <c r="F43" s="1"/>
      <c r="H43" s="847">
        <v>43922</v>
      </c>
      <c r="I43" s="793">
        <f t="shared" si="13"/>
        <v>0.11999999999534339</v>
      </c>
      <c r="J43" s="1">
        <f>0</f>
        <v>0</v>
      </c>
      <c r="L43" s="847">
        <v>44287</v>
      </c>
      <c r="M43" s="793">
        <f t="shared" ref="M43:M54" si="26">M42-N42</f>
        <v>103065.01027777778</v>
      </c>
      <c r="N43" s="57">
        <f t="shared" si="15"/>
        <v>9369.546388888888</v>
      </c>
      <c r="P43" s="847">
        <v>43983</v>
      </c>
      <c r="Q43" s="793">
        <f t="shared" si="24"/>
        <v>196760.59416666659</v>
      </c>
      <c r="R43" s="793">
        <f t="shared" si="25"/>
        <v>9369.546388888888</v>
      </c>
    </row>
    <row r="44" spans="1:18">
      <c r="A44" s="400"/>
      <c r="B44" s="837"/>
      <c r="C44" s="81"/>
      <c r="D44" s="81"/>
      <c r="E44" s="81"/>
      <c r="F44" s="1"/>
      <c r="H44" s="847">
        <v>43952</v>
      </c>
      <c r="I44" s="793">
        <f t="shared" si="13"/>
        <v>0.11999999999534339</v>
      </c>
      <c r="J44" s="1">
        <f>0</f>
        <v>0</v>
      </c>
      <c r="L44" s="847">
        <v>44317</v>
      </c>
      <c r="M44" s="793">
        <f t="shared" si="26"/>
        <v>93695.463888888888</v>
      </c>
      <c r="N44" s="57">
        <f t="shared" si="15"/>
        <v>9369.546388888888</v>
      </c>
      <c r="P44" s="847">
        <v>44013</v>
      </c>
      <c r="Q44" s="793">
        <f t="shared" si="24"/>
        <v>187391.04777777771</v>
      </c>
      <c r="R44" s="793">
        <f t="shared" si="25"/>
        <v>9369.546388888888</v>
      </c>
    </row>
    <row r="45" spans="1:18">
      <c r="A45" s="400"/>
      <c r="B45" s="838"/>
      <c r="C45" s="81"/>
      <c r="D45" s="81"/>
      <c r="E45" s="80"/>
      <c r="F45" s="1"/>
      <c r="H45" s="847">
        <v>43983</v>
      </c>
      <c r="I45" s="793">
        <f t="shared" si="13"/>
        <v>0.11999999999534339</v>
      </c>
      <c r="J45" s="1">
        <f>0</f>
        <v>0</v>
      </c>
      <c r="L45" s="847">
        <v>44348</v>
      </c>
      <c r="M45" s="793">
        <f t="shared" si="26"/>
        <v>84325.917499999996</v>
      </c>
      <c r="N45" s="57">
        <f t="shared" si="15"/>
        <v>9369.546388888888</v>
      </c>
      <c r="P45" s="847">
        <v>44044</v>
      </c>
      <c r="Q45" s="793">
        <f t="shared" si="24"/>
        <v>178021.50138888884</v>
      </c>
      <c r="R45" s="793">
        <f t="shared" si="25"/>
        <v>9369.546388888888</v>
      </c>
    </row>
    <row r="46" spans="1:18">
      <c r="A46" s="400"/>
      <c r="B46" s="838"/>
      <c r="C46" s="81"/>
      <c r="D46" s="81"/>
      <c r="E46" s="80"/>
      <c r="F46" s="1"/>
      <c r="H46" s="847">
        <v>44013</v>
      </c>
      <c r="I46" s="793">
        <f t="shared" si="13"/>
        <v>0.11999999999534339</v>
      </c>
      <c r="J46" s="1">
        <f>0</f>
        <v>0</v>
      </c>
      <c r="L46" s="847">
        <v>44378</v>
      </c>
      <c r="M46" s="793">
        <f t="shared" si="26"/>
        <v>74956.371111111104</v>
      </c>
      <c r="N46" s="57">
        <f t="shared" si="15"/>
        <v>9369.546388888888</v>
      </c>
      <c r="P46" s="847">
        <v>44075</v>
      </c>
      <c r="Q46" s="793">
        <f t="shared" si="24"/>
        <v>168651.95499999996</v>
      </c>
      <c r="R46" s="793">
        <f t="shared" si="25"/>
        <v>9369.546388888888</v>
      </c>
    </row>
    <row r="47" spans="1:18">
      <c r="A47" s="400"/>
      <c r="B47" s="838"/>
      <c r="C47" s="81"/>
      <c r="D47" s="81"/>
      <c r="E47" s="80"/>
      <c r="F47" s="1"/>
      <c r="H47" s="847">
        <v>44044</v>
      </c>
      <c r="I47" s="793">
        <f t="shared" si="13"/>
        <v>0.11999999999534339</v>
      </c>
      <c r="J47" s="1">
        <f>0</f>
        <v>0</v>
      </c>
      <c r="L47" s="847">
        <v>44409</v>
      </c>
      <c r="M47" s="793">
        <f t="shared" si="26"/>
        <v>65586.824722222213</v>
      </c>
      <c r="N47" s="57">
        <f t="shared" si="15"/>
        <v>9369.546388888888</v>
      </c>
      <c r="P47" s="847">
        <v>44105</v>
      </c>
      <c r="Q47" s="793">
        <f t="shared" si="24"/>
        <v>159282.40861111108</v>
      </c>
      <c r="R47" s="793">
        <f t="shared" si="25"/>
        <v>9369.546388888888</v>
      </c>
    </row>
    <row r="48" spans="1:18">
      <c r="A48" s="400"/>
      <c r="B48" s="838"/>
      <c r="C48" s="81"/>
      <c r="D48" s="81"/>
      <c r="E48" s="74"/>
      <c r="F48" s="1"/>
      <c r="H48" s="847">
        <v>44075</v>
      </c>
      <c r="I48" s="793">
        <f t="shared" si="13"/>
        <v>0.11999999999534339</v>
      </c>
      <c r="J48" s="1">
        <f>0</f>
        <v>0</v>
      </c>
      <c r="L48" s="847">
        <v>44440</v>
      </c>
      <c r="M48" s="793">
        <f t="shared" si="26"/>
        <v>56217.278333333321</v>
      </c>
      <c r="N48" s="57">
        <f t="shared" si="15"/>
        <v>9369.546388888888</v>
      </c>
      <c r="P48" s="847">
        <v>44136</v>
      </c>
      <c r="Q48" s="793">
        <f t="shared" si="24"/>
        <v>149912.8622222222</v>
      </c>
      <c r="R48" s="793">
        <f t="shared" si="25"/>
        <v>9369.546388888888</v>
      </c>
    </row>
    <row r="49" spans="1:18">
      <c r="A49" s="400"/>
      <c r="B49" s="838"/>
      <c r="C49" s="81"/>
      <c r="D49" s="80"/>
      <c r="E49" s="74"/>
      <c r="F49" s="1"/>
      <c r="G49" s="592"/>
      <c r="H49" s="847">
        <v>44105</v>
      </c>
      <c r="I49" s="793">
        <f t="shared" si="13"/>
        <v>0.11999999999534339</v>
      </c>
      <c r="J49" s="1">
        <f>0</f>
        <v>0</v>
      </c>
      <c r="L49" s="847">
        <v>44470</v>
      </c>
      <c r="M49" s="793">
        <f t="shared" si="26"/>
        <v>46847.731944444429</v>
      </c>
      <c r="N49" s="57">
        <f t="shared" si="15"/>
        <v>9369.546388888888</v>
      </c>
      <c r="P49" s="847">
        <v>44166</v>
      </c>
      <c r="Q49" s="793">
        <f t="shared" si="24"/>
        <v>140543.31583333333</v>
      </c>
      <c r="R49" s="793">
        <f t="shared" si="25"/>
        <v>9369.546388888888</v>
      </c>
    </row>
    <row r="50" spans="1:18">
      <c r="A50" s="400"/>
      <c r="B50" s="400"/>
      <c r="C50" s="1"/>
      <c r="D50" s="1"/>
      <c r="E50" s="1"/>
      <c r="F50" s="1"/>
      <c r="H50" s="847">
        <v>44136</v>
      </c>
      <c r="I50" s="793">
        <f t="shared" si="13"/>
        <v>0.11999999999534339</v>
      </c>
      <c r="J50" s="1">
        <f>0</f>
        <v>0</v>
      </c>
      <c r="L50" s="847">
        <v>44501</v>
      </c>
      <c r="M50" s="793">
        <f t="shared" si="26"/>
        <v>37478.185555555538</v>
      </c>
      <c r="N50" s="57">
        <f t="shared" si="15"/>
        <v>9369.546388888888</v>
      </c>
      <c r="P50" s="847">
        <v>44197</v>
      </c>
      <c r="Q50" s="793">
        <f t="shared" si="24"/>
        <v>131173.76944444445</v>
      </c>
      <c r="R50" s="793">
        <f t="shared" si="25"/>
        <v>9369.546388888888</v>
      </c>
    </row>
    <row r="51" spans="1:18">
      <c r="H51" s="847">
        <v>44166</v>
      </c>
      <c r="I51" s="793">
        <f t="shared" si="13"/>
        <v>0.11999999999534339</v>
      </c>
      <c r="J51" s="1">
        <f>0</f>
        <v>0</v>
      </c>
      <c r="L51" s="847">
        <v>44531</v>
      </c>
      <c r="M51" s="793">
        <f t="shared" si="26"/>
        <v>28108.63916666665</v>
      </c>
      <c r="N51" s="57">
        <f t="shared" si="15"/>
        <v>9369.546388888888</v>
      </c>
      <c r="P51" s="847">
        <v>44228</v>
      </c>
      <c r="Q51" s="793">
        <f t="shared" si="24"/>
        <v>121804.22305555556</v>
      </c>
      <c r="R51" s="793">
        <f t="shared" si="25"/>
        <v>9369.546388888888</v>
      </c>
    </row>
    <row r="52" spans="1:18">
      <c r="H52" s="847">
        <v>44197</v>
      </c>
      <c r="I52" s="793">
        <f t="shared" si="13"/>
        <v>0.11999999999534339</v>
      </c>
      <c r="J52" s="1">
        <f>0</f>
        <v>0</v>
      </c>
      <c r="L52" s="847">
        <v>44562</v>
      </c>
      <c r="M52" s="793">
        <f t="shared" si="26"/>
        <v>18739.092777777762</v>
      </c>
      <c r="N52" s="57">
        <f t="shared" si="15"/>
        <v>9369.546388888888</v>
      </c>
      <c r="P52" s="847">
        <v>44256</v>
      </c>
      <c r="Q52" s="793">
        <f t="shared" si="24"/>
        <v>112434.67666666667</v>
      </c>
      <c r="R52" s="793">
        <f t="shared" si="25"/>
        <v>9369.546388888888</v>
      </c>
    </row>
    <row r="53" spans="1:18">
      <c r="H53" s="847">
        <v>44228</v>
      </c>
      <c r="I53" s="793">
        <f t="shared" si="13"/>
        <v>0.11999999999534339</v>
      </c>
      <c r="J53" s="1">
        <f>0</f>
        <v>0</v>
      </c>
      <c r="L53" s="847">
        <v>44593</v>
      </c>
      <c r="M53" s="793">
        <f t="shared" si="26"/>
        <v>9369.5463888888735</v>
      </c>
      <c r="N53" s="57">
        <f t="shared" si="15"/>
        <v>9369.546388888888</v>
      </c>
      <c r="P53" s="847">
        <v>44287</v>
      </c>
      <c r="Q53" s="793">
        <f t="shared" si="24"/>
        <v>103065.01027777778</v>
      </c>
      <c r="R53" s="793">
        <f t="shared" si="25"/>
        <v>9369.546388888888</v>
      </c>
    </row>
    <row r="54" spans="1:18">
      <c r="H54" s="847">
        <v>44256</v>
      </c>
      <c r="I54" s="793">
        <f t="shared" si="13"/>
        <v>0.11999999999534339</v>
      </c>
      <c r="J54" s="1">
        <f>0</f>
        <v>0</v>
      </c>
      <c r="L54" s="847">
        <v>44621</v>
      </c>
      <c r="M54" s="793">
        <f t="shared" si="26"/>
        <v>-1.4551915228366852E-11</v>
      </c>
      <c r="N54" s="57">
        <f t="shared" si="15"/>
        <v>9369.546388888888</v>
      </c>
      <c r="P54" s="847">
        <v>44317</v>
      </c>
      <c r="Q54" s="793">
        <f t="shared" si="24"/>
        <v>93695.463888888888</v>
      </c>
      <c r="R54" s="793">
        <f t="shared" si="25"/>
        <v>9369.546388888888</v>
      </c>
    </row>
    <row r="55" spans="1:18">
      <c r="I55" s="793"/>
      <c r="P55" s="847">
        <v>44348</v>
      </c>
      <c r="Q55" s="793">
        <f t="shared" si="24"/>
        <v>84325.917499999996</v>
      </c>
      <c r="R55" s="793">
        <f t="shared" si="25"/>
        <v>9369.546388888888</v>
      </c>
    </row>
    <row r="56" spans="1:18">
      <c r="P56" s="847">
        <v>44378</v>
      </c>
      <c r="Q56" s="793">
        <f t="shared" si="24"/>
        <v>74956.371111111104</v>
      </c>
      <c r="R56" s="793">
        <f t="shared" si="25"/>
        <v>9369.546388888888</v>
      </c>
    </row>
    <row r="57" spans="1:18">
      <c r="P57" s="847">
        <v>44409</v>
      </c>
      <c r="Q57" s="793">
        <f t="shared" si="24"/>
        <v>65586.824722222213</v>
      </c>
      <c r="R57" s="793">
        <f t="shared" si="25"/>
        <v>9369.546388888888</v>
      </c>
    </row>
    <row r="58" spans="1:18">
      <c r="P58" s="847">
        <v>44440</v>
      </c>
      <c r="Q58" s="793">
        <f t="shared" si="24"/>
        <v>56217.278333333321</v>
      </c>
      <c r="R58" s="793">
        <f t="shared" si="25"/>
        <v>9369.546388888888</v>
      </c>
    </row>
    <row r="59" spans="1:18">
      <c r="P59" s="847">
        <v>44470</v>
      </c>
      <c r="Q59" s="793">
        <f t="shared" si="24"/>
        <v>46847.731944444429</v>
      </c>
      <c r="R59" s="793">
        <f t="shared" si="25"/>
        <v>9369.546388888888</v>
      </c>
    </row>
    <row r="60" spans="1:18">
      <c r="P60" s="847">
        <v>44501</v>
      </c>
      <c r="Q60" s="793">
        <f t="shared" si="24"/>
        <v>37478.185555555538</v>
      </c>
      <c r="R60" s="793">
        <f t="shared" si="25"/>
        <v>9369.546388888888</v>
      </c>
    </row>
    <row r="61" spans="1:18">
      <c r="P61" s="847">
        <v>44531</v>
      </c>
      <c r="Q61" s="793">
        <f t="shared" si="24"/>
        <v>28108.63916666665</v>
      </c>
      <c r="R61" s="793">
        <f t="shared" si="25"/>
        <v>9369.546388888888</v>
      </c>
    </row>
    <row r="62" spans="1:18">
      <c r="P62" s="847">
        <v>44562</v>
      </c>
      <c r="Q62" s="793">
        <f t="shared" si="24"/>
        <v>18739.092777777762</v>
      </c>
      <c r="R62" s="793">
        <f t="shared" si="25"/>
        <v>9369.546388888888</v>
      </c>
    </row>
    <row r="63" spans="1:18">
      <c r="P63" s="847">
        <v>44593</v>
      </c>
      <c r="Q63" s="793">
        <f t="shared" si="24"/>
        <v>9369.5463888888735</v>
      </c>
      <c r="R63" s="793">
        <f t="shared" si="25"/>
        <v>9369.546388888888</v>
      </c>
    </row>
    <row r="64" spans="1:18">
      <c r="P64" s="847">
        <v>44621</v>
      </c>
      <c r="Q64" s="793">
        <f t="shared" si="24"/>
        <v>-1.4551915228366852E-11</v>
      </c>
      <c r="R64" s="793">
        <f t="shared" si="25"/>
        <v>9369.546388888888</v>
      </c>
    </row>
  </sheetData>
  <mergeCells count="3">
    <mergeCell ref="A1:E1"/>
    <mergeCell ref="A2:E2"/>
    <mergeCell ref="A3:E3"/>
  </mergeCells>
  <phoneticPr fontId="22" type="noConversion"/>
  <printOptions horizontalCentered="1"/>
  <pageMargins left="1" right="0.87" top="1" bottom="1" header="0.5" footer="0.5"/>
  <pageSetup scale="25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56"/>
  <sheetViews>
    <sheetView view="pageBreakPreview" zoomScale="80" zoomScaleNormal="90" zoomScaleSheetLayoutView="80" workbookViewId="0">
      <pane ySplit="13" topLeftCell="A14" activePane="bottomLeft" state="frozen"/>
      <selection activeCell="F45" sqref="F45"/>
      <selection pane="bottomLeft" activeCell="K39" sqref="K39"/>
    </sheetView>
  </sheetViews>
  <sheetFormatPr defaultRowHeight="15"/>
  <cols>
    <col min="1" max="1" width="5.21875" style="80" customWidth="1"/>
    <col min="2" max="2" width="24.6640625" style="80" customWidth="1"/>
    <col min="3" max="3" width="9.5546875" style="80" bestFit="1" customWidth="1"/>
    <col min="4" max="4" width="11.6640625" style="80" customWidth="1"/>
    <col min="5" max="5" width="9.44140625" style="80" customWidth="1"/>
    <col min="6" max="6" width="4.109375" style="80" customWidth="1"/>
    <col min="7" max="7" width="11" style="80" customWidth="1"/>
    <col min="8" max="8" width="10.77734375" style="80" customWidth="1"/>
    <col min="9" max="9" width="10.109375" style="80" customWidth="1"/>
    <col min="10" max="16384" width="8.88671875" style="80"/>
  </cols>
  <sheetData>
    <row r="1" spans="1:12" ht="15.75">
      <c r="A1" s="1218" t="str">
        <f>'Table of Contents'!A1:C1</f>
        <v>Atmos Energy Corporation, Kentucky/Mid-States Division</v>
      </c>
      <c r="B1" s="1218"/>
      <c r="C1" s="1218"/>
      <c r="D1" s="1218"/>
      <c r="E1" s="1218"/>
      <c r="F1" s="1218"/>
      <c r="G1" s="1218"/>
      <c r="H1" s="1218"/>
      <c r="I1" s="1218"/>
      <c r="J1" s="103"/>
    </row>
    <row r="2" spans="1:12" ht="15.75">
      <c r="A2" s="1218" t="str">
        <f>'Table of Contents'!A2:C2</f>
        <v>Kentucky Jurisdiction Case No. 2018-00281</v>
      </c>
      <c r="B2" s="1218"/>
      <c r="C2" s="1218"/>
      <c r="D2" s="1218"/>
      <c r="E2" s="1218"/>
      <c r="F2" s="1218"/>
      <c r="G2" s="1218"/>
      <c r="H2" s="1218"/>
      <c r="I2" s="1218"/>
      <c r="J2" s="103"/>
    </row>
    <row r="3" spans="1:12" ht="15.75">
      <c r="A3" s="1218" t="s">
        <v>40</v>
      </c>
      <c r="B3" s="1218"/>
      <c r="C3" s="1218"/>
      <c r="D3" s="1218"/>
      <c r="E3" s="1218"/>
      <c r="F3" s="1218"/>
      <c r="G3" s="1218"/>
      <c r="H3" s="1218"/>
      <c r="I3" s="1218"/>
      <c r="J3" s="103"/>
    </row>
    <row r="4" spans="1:12" ht="15.75">
      <c r="A4" s="1218" t="str">
        <f>'Table of Contents'!A3:C3</f>
        <v>Base Period: Twelve Months Ended December 31, 2018</v>
      </c>
      <c r="B4" s="1218"/>
      <c r="C4" s="1218"/>
      <c r="D4" s="1218"/>
      <c r="E4" s="1218"/>
      <c r="F4" s="1218"/>
      <c r="G4" s="1218"/>
      <c r="H4" s="1218"/>
      <c r="I4" s="1218"/>
      <c r="J4" s="103"/>
    </row>
    <row r="5" spans="1:12" ht="15.75">
      <c r="A5" s="1218" t="str">
        <f>'Table of Contents'!A4:C4</f>
        <v>Forecasted Test Period: Twelve Months Ended March 31, 2020</v>
      </c>
      <c r="B5" s="1218"/>
      <c r="C5" s="1218"/>
      <c r="D5" s="1218"/>
      <c r="E5" s="1218"/>
      <c r="F5" s="1218"/>
      <c r="G5" s="1218"/>
      <c r="H5" s="1218"/>
      <c r="I5" s="1218"/>
      <c r="J5" s="103"/>
    </row>
    <row r="6" spans="1:12" ht="15.75">
      <c r="A6" s="921"/>
      <c r="B6" s="921"/>
      <c r="C6" s="103"/>
      <c r="D6" s="103"/>
      <c r="E6" s="103"/>
      <c r="F6" s="103"/>
      <c r="G6" s="103"/>
      <c r="H6" s="103"/>
      <c r="I6" s="103"/>
      <c r="J6" s="103"/>
      <c r="L6" s="691"/>
    </row>
    <row r="7" spans="1:12" ht="15.75">
      <c r="A7" s="921"/>
      <c r="B7" s="921"/>
      <c r="C7" s="103"/>
      <c r="D7" s="902"/>
      <c r="F7" s="103"/>
      <c r="G7" s="103"/>
      <c r="I7" s="103"/>
      <c r="J7" s="103"/>
      <c r="L7" s="691"/>
    </row>
    <row r="8" spans="1:12">
      <c r="A8" s="695" t="s">
        <v>136</v>
      </c>
      <c r="B8" s="103"/>
      <c r="C8" s="103"/>
      <c r="D8" s="103"/>
      <c r="E8" s="103"/>
      <c r="F8" s="103"/>
      <c r="G8" s="103"/>
      <c r="I8" s="170" t="s">
        <v>1410</v>
      </c>
      <c r="J8" s="103"/>
    </row>
    <row r="9" spans="1:12">
      <c r="A9" s="695" t="s">
        <v>1122</v>
      </c>
      <c r="B9" s="103"/>
      <c r="C9" s="103"/>
      <c r="D9" s="103"/>
      <c r="E9" s="103"/>
      <c r="F9" s="103"/>
      <c r="G9" s="103"/>
      <c r="I9" s="922" t="s">
        <v>573</v>
      </c>
      <c r="J9" s="103"/>
    </row>
    <row r="10" spans="1:12">
      <c r="A10" s="695" t="s">
        <v>426</v>
      </c>
      <c r="B10" s="103"/>
      <c r="C10" s="103"/>
      <c r="D10" s="103"/>
      <c r="E10" s="103"/>
      <c r="F10" s="103"/>
      <c r="G10" s="103"/>
      <c r="H10" s="807"/>
      <c r="I10" s="924" t="str">
        <f>F.1!$F$9</f>
        <v>Witness: Waller</v>
      </c>
      <c r="J10" s="103"/>
    </row>
    <row r="11" spans="1:12" ht="15.75">
      <c r="A11" s="925"/>
      <c r="B11" s="925"/>
      <c r="C11" s="926"/>
      <c r="D11" s="927" t="s">
        <v>324</v>
      </c>
      <c r="E11" s="928"/>
      <c r="F11" s="925"/>
      <c r="G11" s="926"/>
      <c r="H11" s="927" t="s">
        <v>325</v>
      </c>
      <c r="I11" s="928"/>
      <c r="J11" s="103"/>
      <c r="L11" s="691"/>
    </row>
    <row r="12" spans="1:12">
      <c r="A12" s="121" t="s">
        <v>93</v>
      </c>
      <c r="B12" s="121" t="s">
        <v>571</v>
      </c>
      <c r="C12" s="121" t="s">
        <v>96</v>
      </c>
      <c r="D12" s="854" t="s">
        <v>11</v>
      </c>
      <c r="E12" s="956" t="s">
        <v>12</v>
      </c>
      <c r="F12" s="956"/>
      <c r="G12" s="121" t="s">
        <v>96</v>
      </c>
      <c r="H12" s="956" t="str">
        <f>D12</f>
        <v xml:space="preserve">Kentucky </v>
      </c>
      <c r="I12" s="956" t="s">
        <v>981</v>
      </c>
      <c r="J12" s="103"/>
    </row>
    <row r="13" spans="1:12">
      <c r="A13" s="649" t="s">
        <v>99</v>
      </c>
      <c r="B13" s="649" t="s">
        <v>1081</v>
      </c>
      <c r="C13" s="649" t="s">
        <v>593</v>
      </c>
      <c r="D13" s="929" t="s">
        <v>97</v>
      </c>
      <c r="E13" s="649" t="s">
        <v>104</v>
      </c>
      <c r="F13" s="649"/>
      <c r="G13" s="649" t="s">
        <v>593</v>
      </c>
      <c r="H13" s="649" t="str">
        <f>D13</f>
        <v>Jurisdictional</v>
      </c>
      <c r="I13" s="649" t="s">
        <v>104</v>
      </c>
      <c r="J13" s="103"/>
      <c r="L13" s="691"/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584">
        <v>1</v>
      </c>
      <c r="B15" s="1111" t="s">
        <v>193</v>
      </c>
      <c r="C15" s="377"/>
      <c r="D15" s="74"/>
      <c r="E15" s="381"/>
      <c r="F15" s="74"/>
      <c r="G15" s="377"/>
      <c r="H15" s="74"/>
      <c r="I15" s="381"/>
      <c r="J15" s="1068"/>
    </row>
    <row r="16" spans="1:12">
      <c r="A16" s="584">
        <v>2</v>
      </c>
      <c r="B16" s="418" t="s">
        <v>574</v>
      </c>
      <c r="C16" s="328">
        <v>0</v>
      </c>
      <c r="D16" s="422">
        <v>1</v>
      </c>
      <c r="E16" s="328">
        <f>C16*D16</f>
        <v>0</v>
      </c>
      <c r="F16" s="74"/>
      <c r="G16" s="328">
        <v>0</v>
      </c>
      <c r="H16" s="422">
        <f>D16</f>
        <v>1</v>
      </c>
      <c r="I16" s="328">
        <f>G16*H16</f>
        <v>0</v>
      </c>
      <c r="J16" s="1068"/>
    </row>
    <row r="17" spans="1:10">
      <c r="A17" s="584">
        <v>3</v>
      </c>
      <c r="B17" s="418" t="s">
        <v>575</v>
      </c>
      <c r="C17" s="377">
        <v>0</v>
      </c>
      <c r="D17" s="422">
        <f>$D$16</f>
        <v>1</v>
      </c>
      <c r="E17" s="377">
        <f>C17*D17</f>
        <v>0</v>
      </c>
      <c r="F17" s="74"/>
      <c r="G17" s="377">
        <v>0</v>
      </c>
      <c r="H17" s="422">
        <f>D17</f>
        <v>1</v>
      </c>
      <c r="I17" s="377">
        <f>G17*H17</f>
        <v>0</v>
      </c>
      <c r="J17" s="1112"/>
    </row>
    <row r="18" spans="1:10">
      <c r="A18" s="584">
        <v>4</v>
      </c>
      <c r="B18" s="418" t="s">
        <v>663</v>
      </c>
      <c r="C18" s="381">
        <f>'[20]2018 Acct 4264'!$S$66</f>
        <v>55500</v>
      </c>
      <c r="D18" s="422">
        <f>$D$16</f>
        <v>1</v>
      </c>
      <c r="E18" s="381">
        <f>C18*D18</f>
        <v>55500</v>
      </c>
      <c r="F18" s="74"/>
      <c r="G18" s="381">
        <f>C18</f>
        <v>55500</v>
      </c>
      <c r="H18" s="422">
        <f>D18</f>
        <v>1</v>
      </c>
      <c r="I18" s="381">
        <f>G18*H18</f>
        <v>55500</v>
      </c>
      <c r="J18" s="1113"/>
    </row>
    <row r="19" spans="1:10">
      <c r="A19" s="584">
        <v>5</v>
      </c>
      <c r="B19" s="418" t="s">
        <v>584</v>
      </c>
      <c r="C19" s="420">
        <v>0</v>
      </c>
      <c r="D19" s="422">
        <f>$D$16</f>
        <v>1</v>
      </c>
      <c r="E19" s="420">
        <f>C19*D19</f>
        <v>0</v>
      </c>
      <c r="F19" s="74"/>
      <c r="G19" s="420">
        <v>0</v>
      </c>
      <c r="H19" s="422">
        <f>D19</f>
        <v>1</v>
      </c>
      <c r="I19" s="420">
        <f>G19*H19</f>
        <v>0</v>
      </c>
      <c r="J19" s="808"/>
    </row>
    <row r="20" spans="1:10">
      <c r="A20" s="584">
        <v>6</v>
      </c>
      <c r="B20" s="419" t="s">
        <v>96</v>
      </c>
      <c r="C20" s="501">
        <f>SUM(C16:C19)</f>
        <v>55500</v>
      </c>
      <c r="D20" s="74"/>
      <c r="E20" s="501">
        <f>SUM(E16:E19)</f>
        <v>55500</v>
      </c>
      <c r="F20" s="74"/>
      <c r="G20" s="501">
        <f>SUM(G16:G19)</f>
        <v>55500</v>
      </c>
      <c r="H20" s="74"/>
      <c r="I20" s="501">
        <f>SUM(I16:I19)</f>
        <v>55500</v>
      </c>
      <c r="J20" s="808"/>
    </row>
    <row r="21" spans="1:10">
      <c r="A21" s="584">
        <v>7</v>
      </c>
      <c r="C21" s="377"/>
      <c r="D21" s="74"/>
      <c r="E21" s="377"/>
      <c r="F21" s="74"/>
      <c r="G21" s="377"/>
      <c r="H21" s="74"/>
      <c r="I21" s="377"/>
      <c r="J21" s="808"/>
    </row>
    <row r="22" spans="1:10" ht="15.75">
      <c r="A22" s="584">
        <v>8</v>
      </c>
      <c r="B22" s="1111" t="s">
        <v>78</v>
      </c>
      <c r="C22" s="381"/>
      <c r="D22" s="74"/>
      <c r="E22" s="381"/>
      <c r="F22" s="74"/>
      <c r="G22" s="381"/>
      <c r="H22" s="74"/>
      <c r="I22" s="381"/>
      <c r="J22" s="1068"/>
    </row>
    <row r="23" spans="1:10">
      <c r="A23" s="584">
        <v>9</v>
      </c>
      <c r="B23" s="418" t="s">
        <v>574</v>
      </c>
      <c r="C23" s="328">
        <v>0</v>
      </c>
      <c r="D23" s="423">
        <f>Allocation!$I$17</f>
        <v>0.49780000000000002</v>
      </c>
      <c r="E23" s="328">
        <f>C23*D23</f>
        <v>0</v>
      </c>
      <c r="F23" s="74"/>
      <c r="G23" s="328">
        <v>0</v>
      </c>
      <c r="H23" s="423">
        <f>Allocation!$E$17</f>
        <v>0.49780000000000002</v>
      </c>
      <c r="I23" s="328">
        <f>G23*H23</f>
        <v>0</v>
      </c>
      <c r="J23" s="1068"/>
    </row>
    <row r="24" spans="1:10">
      <c r="A24" s="584">
        <v>10</v>
      </c>
      <c r="B24" s="418" t="s">
        <v>575</v>
      </c>
      <c r="C24" s="377">
        <v>0</v>
      </c>
      <c r="D24" s="423">
        <f>$D$23</f>
        <v>0.49780000000000002</v>
      </c>
      <c r="E24" s="377">
        <f>C24*D24</f>
        <v>0</v>
      </c>
      <c r="F24" s="74"/>
      <c r="G24" s="377">
        <v>0</v>
      </c>
      <c r="H24" s="423">
        <f>H23</f>
        <v>0.49780000000000002</v>
      </c>
      <c r="I24" s="377">
        <f>G24*H24</f>
        <v>0</v>
      </c>
      <c r="J24" s="1112"/>
    </row>
    <row r="25" spans="1:10">
      <c r="A25" s="584">
        <v>11</v>
      </c>
      <c r="B25" s="418" t="s">
        <v>663</v>
      </c>
      <c r="C25" s="381">
        <f>'[20]2018 Acct 4264'!$S$67</f>
        <v>2202</v>
      </c>
      <c r="D25" s="423">
        <f>$D$23</f>
        <v>0.49780000000000002</v>
      </c>
      <c r="E25" s="381">
        <f>C25*D25</f>
        <v>1096.1556</v>
      </c>
      <c r="F25" s="74"/>
      <c r="G25" s="381">
        <f>C25</f>
        <v>2202</v>
      </c>
      <c r="H25" s="423">
        <f>H23</f>
        <v>0.49780000000000002</v>
      </c>
      <c r="I25" s="381">
        <f>G25*H25</f>
        <v>1096.1556</v>
      </c>
      <c r="J25" s="1113"/>
    </row>
    <row r="26" spans="1:10">
      <c r="A26" s="584">
        <v>12</v>
      </c>
      <c r="B26" s="418" t="s">
        <v>584</v>
      </c>
      <c r="C26" s="420">
        <v>0</v>
      </c>
      <c r="D26" s="423">
        <f>$D$23</f>
        <v>0.49780000000000002</v>
      </c>
      <c r="E26" s="420">
        <f>C26*D26</f>
        <v>0</v>
      </c>
      <c r="F26" s="74"/>
      <c r="G26" s="420">
        <v>0</v>
      </c>
      <c r="H26" s="423">
        <f>H23</f>
        <v>0.49780000000000002</v>
      </c>
      <c r="I26" s="420">
        <f>G26*H26</f>
        <v>0</v>
      </c>
      <c r="J26" s="1113"/>
    </row>
    <row r="27" spans="1:10">
      <c r="A27" s="584">
        <v>13</v>
      </c>
      <c r="B27" s="419" t="s">
        <v>96</v>
      </c>
      <c r="C27" s="501">
        <f>SUM(C23:C26)</f>
        <v>2202</v>
      </c>
      <c r="D27" s="103"/>
      <c r="E27" s="501">
        <f>SUM(E23:E26)</f>
        <v>1096.1556</v>
      </c>
      <c r="F27" s="103"/>
      <c r="G27" s="501">
        <f>SUM(G23:G26)</f>
        <v>2202</v>
      </c>
      <c r="H27" s="103"/>
      <c r="I27" s="501">
        <f>SUM(I23:I26)</f>
        <v>1096.1556</v>
      </c>
      <c r="J27" s="1068"/>
    </row>
    <row r="28" spans="1:10">
      <c r="A28" s="584">
        <v>14</v>
      </c>
      <c r="B28" s="1068"/>
      <c r="C28" s="103"/>
      <c r="D28" s="103"/>
      <c r="E28" s="103"/>
      <c r="F28" s="103"/>
      <c r="G28" s="103"/>
      <c r="H28" s="103"/>
      <c r="I28" s="103"/>
      <c r="J28" s="1068"/>
    </row>
    <row r="29" spans="1:10" ht="15.75">
      <c r="A29" s="584">
        <v>15</v>
      </c>
      <c r="B29" s="1111" t="s">
        <v>76</v>
      </c>
      <c r="C29" s="103"/>
      <c r="D29" s="103"/>
      <c r="E29" s="103"/>
      <c r="F29" s="103"/>
      <c r="G29" s="103"/>
      <c r="H29" s="103"/>
      <c r="I29" s="103"/>
      <c r="J29" s="1112"/>
    </row>
    <row r="30" spans="1:10">
      <c r="A30" s="584">
        <v>16</v>
      </c>
      <c r="B30" s="418" t="s">
        <v>574</v>
      </c>
      <c r="C30" s="328">
        <v>0</v>
      </c>
      <c r="D30" s="324">
        <f>Allocation!$I$14</f>
        <v>5.1771199999999996E-2</v>
      </c>
      <c r="E30" s="328">
        <f>C30*D30</f>
        <v>0</v>
      </c>
      <c r="F30" s="103"/>
      <c r="G30" s="328">
        <v>0</v>
      </c>
      <c r="H30" s="324">
        <f>Allocation!$E$14</f>
        <v>5.1771199999999996E-2</v>
      </c>
      <c r="I30" s="328">
        <f>G30*H30</f>
        <v>0</v>
      </c>
      <c r="J30" s="1113"/>
    </row>
    <row r="31" spans="1:10">
      <c r="A31" s="584">
        <v>17</v>
      </c>
      <c r="B31" s="418" t="s">
        <v>575</v>
      </c>
      <c r="C31" s="377">
        <v>0</v>
      </c>
      <c r="D31" s="324">
        <f>$D$30</f>
        <v>5.1771199999999996E-2</v>
      </c>
      <c r="E31" s="377">
        <f>C31*D31</f>
        <v>0</v>
      </c>
      <c r="F31" s="103"/>
      <c r="G31" s="377">
        <v>0</v>
      </c>
      <c r="H31" s="423">
        <f>D31</f>
        <v>5.1771199999999996E-2</v>
      </c>
      <c r="I31" s="377">
        <f>G31*H31</f>
        <v>0</v>
      </c>
      <c r="J31" s="1113"/>
    </row>
    <row r="32" spans="1:10">
      <c r="A32" s="584">
        <v>18</v>
      </c>
      <c r="B32" s="418" t="s">
        <v>663</v>
      </c>
      <c r="C32" s="381">
        <f>'[20]2018 Acct 4264'!$S$68</f>
        <v>562153.58890000009</v>
      </c>
      <c r="D32" s="324">
        <f>$D$30</f>
        <v>5.1771199999999996E-2</v>
      </c>
      <c r="E32" s="381">
        <f>C32*D32</f>
        <v>29103.365881659684</v>
      </c>
      <c r="F32" s="103"/>
      <c r="G32" s="381">
        <f>C32</f>
        <v>562153.58890000009</v>
      </c>
      <c r="H32" s="423">
        <f>D32</f>
        <v>5.1771199999999996E-2</v>
      </c>
      <c r="I32" s="381">
        <f>G32*H32</f>
        <v>29103.365881659684</v>
      </c>
      <c r="J32" s="1068"/>
    </row>
    <row r="33" spans="1:10">
      <c r="A33" s="584">
        <v>19</v>
      </c>
      <c r="B33" s="418" t="s">
        <v>584</v>
      </c>
      <c r="C33" s="420">
        <v>0</v>
      </c>
      <c r="D33" s="324">
        <f>$D$30</f>
        <v>5.1771199999999996E-2</v>
      </c>
      <c r="E33" s="420">
        <f>C33*D33</f>
        <v>0</v>
      </c>
      <c r="F33" s="103"/>
      <c r="G33" s="420">
        <v>0</v>
      </c>
      <c r="H33" s="423">
        <f>D33</f>
        <v>5.1771199999999996E-2</v>
      </c>
      <c r="I33" s="420">
        <f>G33*H33</f>
        <v>0</v>
      </c>
      <c r="J33" s="1068"/>
    </row>
    <row r="34" spans="1:10">
      <c r="A34" s="584">
        <v>20</v>
      </c>
      <c r="B34" s="419" t="s">
        <v>96</v>
      </c>
      <c r="C34" s="501">
        <f>SUM(C30:C33)</f>
        <v>562153.58890000009</v>
      </c>
      <c r="D34" s="103"/>
      <c r="E34" s="501">
        <f>SUM(E30:E33)</f>
        <v>29103.365881659684</v>
      </c>
      <c r="F34" s="103"/>
      <c r="G34" s="501">
        <f>SUM(G30:G33)</f>
        <v>562153.58890000009</v>
      </c>
      <c r="H34" s="103"/>
      <c r="I34" s="501">
        <f>SUM(I30:I33)</f>
        <v>29103.365881659684</v>
      </c>
      <c r="J34" s="1112"/>
    </row>
    <row r="35" spans="1:10">
      <c r="A35" s="584">
        <v>21</v>
      </c>
      <c r="B35" s="1112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584">
        <v>22</v>
      </c>
      <c r="B36" s="1111" t="s">
        <v>77</v>
      </c>
      <c r="C36" s="103"/>
      <c r="D36" s="103"/>
      <c r="E36" s="103"/>
      <c r="F36" s="103"/>
      <c r="G36" s="103"/>
      <c r="H36" s="103"/>
      <c r="I36" s="103"/>
      <c r="J36" s="103"/>
    </row>
    <row r="37" spans="1:10">
      <c r="A37" s="584">
        <v>23</v>
      </c>
      <c r="B37" s="418" t="s">
        <v>574</v>
      </c>
      <c r="C37" s="328">
        <v>0</v>
      </c>
      <c r="D37" s="324">
        <f>Allocation!$I$15</f>
        <v>5.6412179785543033E-2</v>
      </c>
      <c r="E37" s="328">
        <f>C37*D37</f>
        <v>0</v>
      </c>
      <c r="F37" s="103"/>
      <c r="G37" s="328">
        <v>0</v>
      </c>
      <c r="H37" s="423">
        <f>D37</f>
        <v>5.6412179785543033E-2</v>
      </c>
      <c r="I37" s="328">
        <f>G37*H37</f>
        <v>0</v>
      </c>
      <c r="J37" s="103"/>
    </row>
    <row r="38" spans="1:10">
      <c r="A38" s="584">
        <v>24</v>
      </c>
      <c r="B38" s="418" t="s">
        <v>575</v>
      </c>
      <c r="C38" s="377">
        <v>0</v>
      </c>
      <c r="D38" s="324">
        <f>$D$37</f>
        <v>5.6412179785543033E-2</v>
      </c>
      <c r="E38" s="377">
        <f>C38*D38</f>
        <v>0</v>
      </c>
      <c r="G38" s="377">
        <v>0</v>
      </c>
      <c r="H38" s="423">
        <f>D38</f>
        <v>5.6412179785543033E-2</v>
      </c>
      <c r="I38" s="377">
        <f>G38*H38</f>
        <v>0</v>
      </c>
    </row>
    <row r="39" spans="1:10">
      <c r="A39" s="584">
        <v>25</v>
      </c>
      <c r="B39" s="418" t="s">
        <v>663</v>
      </c>
      <c r="C39" s="381">
        <v>0</v>
      </c>
      <c r="D39" s="324">
        <f>$D$37</f>
        <v>5.6412179785543033E-2</v>
      </c>
      <c r="E39" s="381">
        <f>C39*D39</f>
        <v>0</v>
      </c>
      <c r="G39" s="381">
        <f>C39</f>
        <v>0</v>
      </c>
      <c r="H39" s="423">
        <f>D39</f>
        <v>5.6412179785543033E-2</v>
      </c>
      <c r="I39" s="381">
        <f>G39*H39</f>
        <v>0</v>
      </c>
    </row>
    <row r="40" spans="1:10">
      <c r="A40" s="584">
        <v>26</v>
      </c>
      <c r="B40" s="418" t="s">
        <v>584</v>
      </c>
      <c r="C40" s="420">
        <v>0</v>
      </c>
      <c r="D40" s="324">
        <f>$D$37</f>
        <v>5.6412179785543033E-2</v>
      </c>
      <c r="E40" s="420">
        <f>C40*D40</f>
        <v>0</v>
      </c>
      <c r="G40" s="420">
        <v>0</v>
      </c>
      <c r="H40" s="423">
        <f>D40</f>
        <v>5.6412179785543033E-2</v>
      </c>
      <c r="I40" s="420">
        <f>G40*H40</f>
        <v>0</v>
      </c>
    </row>
    <row r="41" spans="1:10">
      <c r="A41" s="584">
        <v>27</v>
      </c>
      <c r="B41" s="419" t="s">
        <v>96</v>
      </c>
      <c r="C41" s="501">
        <f>SUM(C37:C40)</f>
        <v>0</v>
      </c>
      <c r="E41" s="501">
        <f>SUM(E37:E40)</f>
        <v>0</v>
      </c>
      <c r="G41" s="501">
        <f>SUM(G37:G40)</f>
        <v>0</v>
      </c>
      <c r="I41" s="501">
        <f>SUM(I37:I40)</f>
        <v>0</v>
      </c>
    </row>
    <row r="42" spans="1:10">
      <c r="A42" s="584">
        <v>28</v>
      </c>
    </row>
    <row r="43" spans="1:10" ht="16.5" thickBot="1">
      <c r="A43" s="584">
        <v>29</v>
      </c>
      <c r="B43" s="421" t="s">
        <v>934</v>
      </c>
      <c r="C43" s="512">
        <f>C41+C34+C27+C20</f>
        <v>619855.58890000009</v>
      </c>
      <c r="E43" s="512">
        <f>E41+E34+E27+E20</f>
        <v>85699.521481659685</v>
      </c>
      <c r="G43" s="512">
        <f>G41+G34+G27+G20</f>
        <v>619855.58890000009</v>
      </c>
      <c r="I43" s="512">
        <f>I41+I34+I27+I20</f>
        <v>85699.521481659685</v>
      </c>
    </row>
    <row r="44" spans="1:10" ht="15.75" thickTop="1"/>
    <row r="45" spans="1:10">
      <c r="B45" s="80" t="s">
        <v>802</v>
      </c>
    </row>
    <row r="46" spans="1:10">
      <c r="B46" s="88" t="s">
        <v>286</v>
      </c>
    </row>
    <row r="47" spans="1:10">
      <c r="B47" s="88" t="s">
        <v>389</v>
      </c>
    </row>
    <row r="48" spans="1:10">
      <c r="B48" s="81"/>
    </row>
    <row r="49" spans="2:2">
      <c r="B49" s="88" t="s">
        <v>425</v>
      </c>
    </row>
    <row r="51" spans="2:2">
      <c r="B51" s="88" t="s">
        <v>766</v>
      </c>
    </row>
    <row r="55" spans="2:2">
      <c r="B55" s="80" t="s">
        <v>518</v>
      </c>
    </row>
    <row r="56" spans="2:2">
      <c r="B56" s="80" t="s">
        <v>1678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80" zoomScaleNormal="90" zoomScaleSheetLayoutView="80" workbookViewId="0">
      <selection activeCell="B39" sqref="B39"/>
    </sheetView>
  </sheetViews>
  <sheetFormatPr defaultRowHeight="15"/>
  <cols>
    <col min="1" max="1" width="5.88671875" style="80" customWidth="1"/>
    <col min="2" max="2" width="32.44140625" style="80" customWidth="1"/>
    <col min="3" max="3" width="11.33203125" style="80" customWidth="1"/>
    <col min="4" max="4" width="11.109375" style="80" customWidth="1"/>
    <col min="5" max="5" width="9.6640625" style="80" customWidth="1"/>
    <col min="6" max="6" width="4.21875" style="80" customWidth="1"/>
    <col min="7" max="7" width="9.5546875" style="80" bestFit="1" customWidth="1"/>
    <col min="8" max="8" width="12" style="80" customWidth="1"/>
    <col min="9" max="9" width="10.77734375" style="80" customWidth="1"/>
    <col min="10" max="16384" width="8.88671875" style="80"/>
  </cols>
  <sheetData>
    <row r="1" spans="1:14" ht="15.75">
      <c r="A1" s="1198" t="str">
        <f>'Table of Contents'!A1:C1</f>
        <v>Atmos Energy Corporation, Kentucky/Mid-States Division</v>
      </c>
      <c r="B1" s="1198"/>
      <c r="C1" s="1198"/>
      <c r="D1" s="1198"/>
      <c r="E1" s="1198"/>
      <c r="F1" s="1198"/>
      <c r="G1" s="1198"/>
      <c r="H1" s="1198"/>
      <c r="I1" s="1198"/>
    </row>
    <row r="2" spans="1:14" ht="15.75">
      <c r="A2" s="1198" t="str">
        <f>'Table of Contents'!A2:C2</f>
        <v>Kentucky Jurisdiction Case No. 2018-00281</v>
      </c>
      <c r="B2" s="1198" t="s">
        <v>323</v>
      </c>
      <c r="C2" s="1198"/>
      <c r="D2" s="1198"/>
      <c r="E2" s="1198"/>
      <c r="F2" s="1198"/>
      <c r="G2" s="1198"/>
      <c r="H2" s="1198"/>
      <c r="I2" s="1198"/>
      <c r="J2" s="103"/>
    </row>
    <row r="3" spans="1:14" ht="15.75">
      <c r="A3" s="1198" t="s">
        <v>882</v>
      </c>
      <c r="B3" s="1198"/>
      <c r="C3" s="1198"/>
      <c r="D3" s="1198"/>
      <c r="E3" s="1198"/>
      <c r="F3" s="1198"/>
      <c r="G3" s="1198"/>
      <c r="H3" s="1198"/>
      <c r="I3" s="1198"/>
      <c r="J3" s="103"/>
    </row>
    <row r="4" spans="1:14" ht="15.75">
      <c r="A4" s="1198"/>
      <c r="B4" s="1198"/>
      <c r="C4" s="1198"/>
      <c r="D4" s="1198"/>
      <c r="E4" s="1198"/>
      <c r="F4" s="1198"/>
      <c r="G4" s="1198"/>
      <c r="H4" s="1198"/>
      <c r="I4" s="1198"/>
      <c r="J4" s="103"/>
    </row>
    <row r="5" spans="1:14" ht="15.75">
      <c r="A5" s="1198"/>
      <c r="B5" s="1198"/>
      <c r="C5" s="1198"/>
      <c r="D5" s="1198"/>
      <c r="E5" s="1198"/>
      <c r="F5" s="1198"/>
      <c r="G5" s="1198"/>
      <c r="H5" s="1198"/>
      <c r="I5" s="1198"/>
      <c r="J5" s="103"/>
    </row>
    <row r="6" spans="1:14" ht="15.75">
      <c r="A6" s="103"/>
      <c r="B6" s="921"/>
      <c r="C6" s="921"/>
      <c r="D6" s="103"/>
      <c r="E6" s="103"/>
      <c r="F6" s="103"/>
      <c r="G6" s="103"/>
      <c r="H6" s="103"/>
      <c r="I6" s="103"/>
      <c r="J6" s="103"/>
    </row>
    <row r="7" spans="1:14" ht="15.75">
      <c r="A7" s="695" t="s">
        <v>136</v>
      </c>
      <c r="B7" s="103"/>
      <c r="C7" s="921"/>
      <c r="D7" s="103"/>
      <c r="E7" s="103"/>
      <c r="F7" s="103"/>
      <c r="G7" s="103"/>
      <c r="I7" s="170" t="s">
        <v>1410</v>
      </c>
      <c r="J7" s="103"/>
    </row>
    <row r="8" spans="1:14" ht="15.75">
      <c r="A8" s="695" t="s">
        <v>1123</v>
      </c>
      <c r="B8" s="103"/>
      <c r="C8" s="921"/>
      <c r="D8" s="103"/>
      <c r="E8" s="103"/>
      <c r="F8" s="103"/>
      <c r="G8" s="103"/>
      <c r="I8" s="922" t="s">
        <v>715</v>
      </c>
      <c r="J8" s="103"/>
    </row>
    <row r="9" spans="1:14" ht="15.75">
      <c r="A9" s="695" t="s">
        <v>365</v>
      </c>
      <c r="B9" s="103"/>
      <c r="C9" s="921"/>
      <c r="D9" s="103"/>
      <c r="E9" s="103"/>
      <c r="F9" s="103"/>
      <c r="G9" s="103"/>
      <c r="H9" s="923"/>
      <c r="I9" s="924" t="str">
        <f>F.1!$F$9</f>
        <v>Witness: Waller</v>
      </c>
      <c r="J9" s="103"/>
    </row>
    <row r="10" spans="1:14" ht="15.75">
      <c r="A10" s="925"/>
      <c r="B10" s="925"/>
      <c r="C10" s="1129"/>
      <c r="D10" s="1130" t="s">
        <v>324</v>
      </c>
      <c r="E10" s="1129"/>
      <c r="F10" s="925"/>
      <c r="G10" s="1129"/>
      <c r="H10" s="1131" t="s">
        <v>325</v>
      </c>
      <c r="I10" s="1129"/>
      <c r="J10" s="103"/>
      <c r="K10" s="1132"/>
    </row>
    <row r="11" spans="1:14">
      <c r="A11" s="121" t="s">
        <v>93</v>
      </c>
      <c r="B11" s="103"/>
      <c r="C11" s="121"/>
      <c r="D11" s="854" t="s">
        <v>11</v>
      </c>
      <c r="E11" s="956" t="s">
        <v>12</v>
      </c>
      <c r="F11" s="103"/>
      <c r="G11" s="121"/>
      <c r="H11" s="956" t="str">
        <f>D11</f>
        <v xml:space="preserve">Kentucky </v>
      </c>
      <c r="I11" s="956" t="s">
        <v>981</v>
      </c>
      <c r="J11" s="103"/>
      <c r="K11" s="691"/>
    </row>
    <row r="12" spans="1:14">
      <c r="A12" s="649" t="s">
        <v>99</v>
      </c>
      <c r="B12" s="649" t="s">
        <v>985</v>
      </c>
      <c r="C12" s="649" t="s">
        <v>104</v>
      </c>
      <c r="D12" s="929" t="s">
        <v>97</v>
      </c>
      <c r="E12" s="649" t="s">
        <v>104</v>
      </c>
      <c r="F12" s="930"/>
      <c r="G12" s="649" t="s">
        <v>104</v>
      </c>
      <c r="H12" s="649" t="str">
        <f>D12</f>
        <v>Jurisdictional</v>
      </c>
      <c r="I12" s="649" t="s">
        <v>104</v>
      </c>
      <c r="J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L13" s="671"/>
      <c r="N13" s="671"/>
    </row>
    <row r="14" spans="1:14" ht="15.75">
      <c r="A14" s="956"/>
      <c r="B14" s="1133"/>
      <c r="C14" s="1134"/>
      <c r="D14" s="1134"/>
      <c r="E14" s="1134"/>
      <c r="F14" s="1134"/>
      <c r="G14" s="1134"/>
      <c r="H14" s="1134"/>
      <c r="I14" s="1134"/>
      <c r="J14" s="1134"/>
      <c r="L14" s="671"/>
      <c r="N14" s="671"/>
    </row>
    <row r="15" spans="1:14">
      <c r="A15" s="121"/>
      <c r="B15" s="584"/>
      <c r="C15" s="584" t="s">
        <v>323</v>
      </c>
      <c r="D15" s="584" t="s">
        <v>323</v>
      </c>
      <c r="E15" s="584" t="s">
        <v>323</v>
      </c>
      <c r="F15" s="584" t="s">
        <v>323</v>
      </c>
      <c r="G15" s="103"/>
      <c r="H15" s="954" t="str">
        <f>F15</f>
        <v xml:space="preserve"> </v>
      </c>
      <c r="I15" s="584" t="s">
        <v>323</v>
      </c>
      <c r="J15" s="103"/>
    </row>
    <row r="16" spans="1:14">
      <c r="A16" s="956">
        <v>1</v>
      </c>
      <c r="B16" s="808" t="s">
        <v>193</v>
      </c>
      <c r="C16" s="360">
        <f>'[22]Rate Division 009 Summary'!$D$19</f>
        <v>34635.56</v>
      </c>
      <c r="D16" s="1120">
        <v>1</v>
      </c>
      <c r="E16" s="360">
        <f>C16*D16</f>
        <v>34635.56</v>
      </c>
      <c r="F16" s="401"/>
      <c r="G16" s="360">
        <f>C16</f>
        <v>34635.56</v>
      </c>
      <c r="H16" s="936">
        <f>D16</f>
        <v>1</v>
      </c>
      <c r="I16" s="360">
        <f>G16*H16</f>
        <v>34635.56</v>
      </c>
      <c r="L16" s="671"/>
      <c r="N16" s="671"/>
    </row>
    <row r="17" spans="1:16">
      <c r="A17" s="121">
        <v>2</v>
      </c>
      <c r="B17" s="1113"/>
      <c r="C17" s="383"/>
      <c r="D17" s="422"/>
      <c r="E17" s="383"/>
      <c r="F17" s="802"/>
      <c r="G17" s="383"/>
      <c r="H17" s="802"/>
      <c r="I17" s="383"/>
      <c r="J17" s="103"/>
      <c r="L17" s="671"/>
      <c r="N17" s="671"/>
    </row>
    <row r="18" spans="1:16">
      <c r="A18" s="956">
        <v>3</v>
      </c>
      <c r="B18" s="808" t="s">
        <v>78</v>
      </c>
      <c r="C18" s="383">
        <f>'[23]Rate Division 091 Summary'!$D$19</f>
        <v>45057.120000000003</v>
      </c>
      <c r="D18" s="1123">
        <f>Allocation!$I$17</f>
        <v>0.49780000000000002</v>
      </c>
      <c r="E18" s="382">
        <f>C18*D18</f>
        <v>22429.434336000002</v>
      </c>
      <c r="F18" s="939"/>
      <c r="G18" s="382">
        <f>C18</f>
        <v>45057.120000000003</v>
      </c>
      <c r="H18" s="1123">
        <f>Allocation!$E$17</f>
        <v>0.49780000000000002</v>
      </c>
      <c r="I18" s="382">
        <f>G18*H18</f>
        <v>22429.434336000002</v>
      </c>
      <c r="J18" s="103"/>
      <c r="L18" s="671"/>
      <c r="N18" s="671"/>
    </row>
    <row r="19" spans="1:16">
      <c r="A19" s="121">
        <v>4</v>
      </c>
      <c r="B19" s="1113"/>
      <c r="C19" s="383"/>
      <c r="D19" s="423"/>
      <c r="E19" s="383"/>
      <c r="F19" s="802"/>
      <c r="G19" s="383"/>
      <c r="H19" s="1125"/>
      <c r="I19" s="383"/>
      <c r="J19" s="103"/>
      <c r="L19" s="671"/>
    </row>
    <row r="20" spans="1:16">
      <c r="A20" s="956">
        <v>5</v>
      </c>
      <c r="B20" s="1113" t="s">
        <v>76</v>
      </c>
      <c r="C20" s="383">
        <f>'[24]Jan''18-Jun''18 002 IEXP'!$BN$1454</f>
        <v>358331.55366850429</v>
      </c>
      <c r="D20" s="1123">
        <f>Allocation!$I$14</f>
        <v>5.1771199999999996E-2</v>
      </c>
      <c r="E20" s="383">
        <f>C20*D20</f>
        <v>18551.25453128287</v>
      </c>
      <c r="F20" s="103"/>
      <c r="G20" s="383">
        <f>C20</f>
        <v>358331.55366850429</v>
      </c>
      <c r="H20" s="1123">
        <f>Allocation!$E$14</f>
        <v>5.1771199999999996E-2</v>
      </c>
      <c r="I20" s="383">
        <f>G20*H20</f>
        <v>18551.25453128287</v>
      </c>
      <c r="L20" s="671"/>
      <c r="N20" s="671"/>
      <c r="P20" s="691"/>
    </row>
    <row r="21" spans="1:16">
      <c r="A21" s="121">
        <v>6</v>
      </c>
      <c r="B21" s="1113"/>
      <c r="C21" s="383"/>
      <c r="D21" s="467"/>
      <c r="E21" s="383"/>
      <c r="F21" s="103"/>
      <c r="G21" s="383"/>
      <c r="H21" s="1003"/>
      <c r="I21" s="383"/>
      <c r="J21" s="103"/>
      <c r="L21" s="671"/>
      <c r="P21" s="691"/>
    </row>
    <row r="22" spans="1:16">
      <c r="A22" s="956">
        <v>7</v>
      </c>
      <c r="B22" s="1113" t="s">
        <v>77</v>
      </c>
      <c r="C22" s="1135">
        <f>'[25]Jan-Jun''18 012 IEXP Review'!$BN$14*2</f>
        <v>150085.10799999998</v>
      </c>
      <c r="D22" s="1123">
        <f>Allocation!$I$15</f>
        <v>5.6412179785543033E-2</v>
      </c>
      <c r="E22" s="1135">
        <f>C22*D22</f>
        <v>8466.6280956286409</v>
      </c>
      <c r="G22" s="1135">
        <f>C22</f>
        <v>150085.10799999998</v>
      </c>
      <c r="H22" s="1123">
        <f>Allocation!$E$15</f>
        <v>5.6412179785543033E-2</v>
      </c>
      <c r="I22" s="1135">
        <f>G22*H22</f>
        <v>8466.6280956286409</v>
      </c>
      <c r="L22" s="671"/>
      <c r="N22" s="671"/>
    </row>
    <row r="23" spans="1:16">
      <c r="A23" s="956">
        <v>8</v>
      </c>
    </row>
    <row r="24" spans="1:16" ht="15.75" thickBot="1">
      <c r="A24" s="956">
        <v>9</v>
      </c>
      <c r="B24" s="80" t="s">
        <v>886</v>
      </c>
      <c r="C24" s="512">
        <f>SUM(C16:C22)</f>
        <v>588109.34166850429</v>
      </c>
      <c r="E24" s="512">
        <f>SUM(E16:E22)</f>
        <v>84082.876962911512</v>
      </c>
      <c r="G24" s="512">
        <f>SUM(G16:G22)</f>
        <v>588109.34166850429</v>
      </c>
      <c r="I24" s="512">
        <f>SUM(I16:I22)</f>
        <v>84082.876962911512</v>
      </c>
    </row>
    <row r="25" spans="1:16" ht="15.75" thickTop="1">
      <c r="C25" s="322"/>
      <c r="E25" s="322"/>
      <c r="G25" s="322"/>
      <c r="I25" s="322"/>
    </row>
    <row r="27" spans="1:16">
      <c r="A27" s="695" t="s">
        <v>1308</v>
      </c>
    </row>
    <row r="31" spans="1:16">
      <c r="B31" s="80" t="s">
        <v>883</v>
      </c>
    </row>
    <row r="32" spans="1:16">
      <c r="B32" s="80" t="s">
        <v>884</v>
      </c>
    </row>
    <row r="33" spans="2:2">
      <c r="B33" s="80" t="s">
        <v>885</v>
      </c>
    </row>
    <row r="34" spans="2:2">
      <c r="B34" s="80" t="s">
        <v>1229</v>
      </c>
    </row>
    <row r="39" spans="2:2">
      <c r="B39" s="671"/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" right="0.61" top="1.05" bottom="0.5" header="0.8" footer="0.5"/>
  <pageSetup scale="95" orientation="landscape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80" zoomScaleNormal="80" zoomScaleSheetLayoutView="80" workbookViewId="0">
      <selection activeCell="I22" sqref="I22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216" t="str">
        <f>'Table of Contents'!A1:C1</f>
        <v>Atmos Energy Corporation, Kentucky/Mid-States Division</v>
      </c>
      <c r="B1" s="1216"/>
      <c r="C1" s="1216"/>
      <c r="D1" s="1216"/>
      <c r="E1" s="1216"/>
      <c r="F1" s="1216"/>
      <c r="G1" s="1216"/>
    </row>
    <row r="2" spans="1:10" ht="15.75">
      <c r="A2" s="1216" t="str">
        <f>'Table of Contents'!A2:C2</f>
        <v>Kentucky Jurisdiction Case No. 2018-00281</v>
      </c>
      <c r="B2" s="1216" t="s">
        <v>323</v>
      </c>
      <c r="C2" s="1216"/>
      <c r="D2" s="1216"/>
      <c r="E2" s="1216"/>
      <c r="F2" s="1216"/>
      <c r="G2" s="1216"/>
      <c r="H2" s="92"/>
    </row>
    <row r="3" spans="1:10" ht="15.75">
      <c r="A3" s="1216" t="s">
        <v>1260</v>
      </c>
      <c r="B3" s="1216"/>
      <c r="C3" s="1216"/>
      <c r="D3" s="1216"/>
      <c r="E3" s="1216"/>
      <c r="F3" s="1216"/>
      <c r="G3" s="1216"/>
      <c r="H3" s="92"/>
    </row>
    <row r="4" spans="1:10" ht="15.75">
      <c r="A4" s="1216"/>
      <c r="B4" s="1216"/>
      <c r="C4" s="1216"/>
      <c r="D4" s="1216"/>
      <c r="E4" s="1216"/>
      <c r="F4" s="1216"/>
      <c r="G4" s="1216"/>
      <c r="H4" s="92"/>
    </row>
    <row r="5" spans="1:10" ht="15.75">
      <c r="A5" s="1216"/>
      <c r="B5" s="1216"/>
      <c r="C5" s="1216"/>
      <c r="D5" s="1216"/>
      <c r="E5" s="1216"/>
      <c r="F5" s="1216"/>
      <c r="G5" s="1216"/>
      <c r="H5" s="92"/>
    </row>
    <row r="6" spans="1:10" ht="15.75">
      <c r="A6" s="92"/>
      <c r="B6" s="12"/>
      <c r="C6" s="12"/>
      <c r="D6" s="12"/>
      <c r="E6" s="12"/>
      <c r="F6" s="92"/>
      <c r="G6" s="92"/>
      <c r="H6" s="92"/>
    </row>
    <row r="7" spans="1:10" ht="15.75">
      <c r="A7" s="66" t="s">
        <v>136</v>
      </c>
      <c r="B7" s="92"/>
      <c r="C7" s="92"/>
      <c r="D7" s="92"/>
      <c r="E7" s="12"/>
      <c r="F7" s="92"/>
      <c r="G7" s="376" t="s">
        <v>1410</v>
      </c>
      <c r="H7" s="92"/>
    </row>
    <row r="8" spans="1:10" ht="15.75">
      <c r="A8" s="66" t="s">
        <v>1123</v>
      </c>
      <c r="B8" s="92"/>
      <c r="C8" s="92"/>
      <c r="D8" s="92"/>
      <c r="E8" s="12"/>
      <c r="F8" s="92"/>
      <c r="G8" s="561" t="s">
        <v>1259</v>
      </c>
      <c r="H8" s="92"/>
    </row>
    <row r="9" spans="1:10" ht="15.75">
      <c r="A9" s="66" t="s">
        <v>365</v>
      </c>
      <c r="B9" s="92"/>
      <c r="C9" s="92"/>
      <c r="D9" s="92"/>
      <c r="E9" s="662"/>
      <c r="F9" s="95"/>
      <c r="G9" s="606" t="str">
        <f>F.1!$F$9</f>
        <v>Witness: Waller</v>
      </c>
      <c r="H9" s="92"/>
    </row>
    <row r="10" spans="1:10">
      <c r="A10" s="119"/>
      <c r="B10" s="119"/>
      <c r="C10" s="119"/>
      <c r="D10" s="119"/>
    </row>
    <row r="11" spans="1:10">
      <c r="A11" s="100" t="s">
        <v>93</v>
      </c>
      <c r="B11" s="92"/>
      <c r="C11" s="92"/>
      <c r="D11" s="92"/>
      <c r="F11" s="670" t="s">
        <v>1270</v>
      </c>
    </row>
    <row r="12" spans="1:10">
      <c r="A12" s="101" t="s">
        <v>99</v>
      </c>
      <c r="B12" s="101" t="s">
        <v>985</v>
      </c>
      <c r="C12" s="101" t="s">
        <v>1262</v>
      </c>
      <c r="D12" s="101" t="s">
        <v>1263</v>
      </c>
      <c r="E12" s="101" t="s">
        <v>1264</v>
      </c>
      <c r="F12" s="58" t="s">
        <v>1269</v>
      </c>
      <c r="G12" s="58" t="s">
        <v>1265</v>
      </c>
      <c r="H12" s="92"/>
      <c r="I12" s="633"/>
    </row>
    <row r="13" spans="1:10">
      <c r="A13" s="92"/>
      <c r="B13" s="92"/>
      <c r="C13" s="92"/>
      <c r="D13" s="92"/>
      <c r="E13" s="92"/>
      <c r="F13" s="92"/>
      <c r="G13" s="92"/>
      <c r="H13" s="92"/>
    </row>
    <row r="14" spans="1:10" ht="15.75">
      <c r="A14" s="320" t="s">
        <v>1261</v>
      </c>
      <c r="C14" s="320"/>
      <c r="D14" s="320"/>
      <c r="E14" s="416"/>
      <c r="F14" s="416"/>
      <c r="G14" s="416"/>
      <c r="H14" s="416"/>
      <c r="J14" s="592"/>
    </row>
    <row r="15" spans="1:10">
      <c r="A15" s="100"/>
      <c r="B15" s="90"/>
      <c r="C15" s="90"/>
      <c r="D15" s="90"/>
      <c r="E15" s="584" t="s">
        <v>323</v>
      </c>
      <c r="F15" s="584" t="s">
        <v>323</v>
      </c>
      <c r="G15" s="90" t="s">
        <v>323</v>
      </c>
      <c r="H15" s="92"/>
    </row>
    <row r="16" spans="1:10" s="793" customFormat="1">
      <c r="A16" s="100">
        <v>1</v>
      </c>
      <c r="B16" s="90" t="s">
        <v>1677</v>
      </c>
      <c r="C16" s="90"/>
      <c r="D16" s="90"/>
      <c r="E16" s="584"/>
      <c r="F16" s="584"/>
      <c r="G16" s="663">
        <f>'[26]Rent Adjustment'!$K$5</f>
        <v>19375.2</v>
      </c>
      <c r="H16" s="92"/>
    </row>
    <row r="17" spans="1:10">
      <c r="A17" s="100">
        <v>2</v>
      </c>
      <c r="E17" s="383"/>
      <c r="F17" s="80"/>
      <c r="G17" s="414"/>
      <c r="H17" s="92"/>
    </row>
    <row r="18" spans="1:10">
      <c r="A18" s="99">
        <v>3</v>
      </c>
      <c r="B18" s="402" t="s">
        <v>1267</v>
      </c>
      <c r="C18" s="402"/>
      <c r="D18" s="402"/>
      <c r="E18" s="383"/>
      <c r="G18" s="664">
        <f>'[26]Rent Adjustment'!$K$5</f>
        <v>19375.2</v>
      </c>
      <c r="J18" s="592"/>
    </row>
    <row r="19" spans="1:10">
      <c r="A19" s="100">
        <v>4</v>
      </c>
      <c r="B19" s="402"/>
      <c r="C19" s="402"/>
      <c r="D19" s="531"/>
      <c r="E19" s="383"/>
      <c r="G19" s="414"/>
      <c r="H19" s="92"/>
    </row>
    <row r="20" spans="1:10">
      <c r="A20" s="100">
        <v>5</v>
      </c>
      <c r="B20" s="402" t="s">
        <v>1266</v>
      </c>
      <c r="C20" s="402"/>
      <c r="D20" s="531"/>
      <c r="E20" s="383"/>
      <c r="G20" s="663">
        <f>-G18</f>
        <v>-19375.2</v>
      </c>
      <c r="J20" s="592"/>
    </row>
    <row r="21" spans="1:10">
      <c r="A21" s="99"/>
      <c r="E21" s="383"/>
      <c r="F21" s="414"/>
      <c r="G21" s="412"/>
    </row>
    <row r="22" spans="1:10">
      <c r="A22" s="99"/>
      <c r="E22" s="383"/>
      <c r="F22" s="417"/>
      <c r="G22" s="412"/>
    </row>
    <row r="23" spans="1:10">
      <c r="E23" s="321"/>
      <c r="G23" s="321"/>
    </row>
    <row r="25" spans="1:10">
      <c r="A25" s="665" t="s">
        <v>525</v>
      </c>
    </row>
    <row r="27" spans="1:10">
      <c r="A27" s="695" t="s">
        <v>1676</v>
      </c>
      <c r="B27" s="80"/>
      <c r="C27" s="80"/>
      <c r="D27" s="80"/>
      <c r="E27" s="80"/>
      <c r="F27" s="80"/>
      <c r="G27" s="80"/>
    </row>
    <row r="28" spans="1:10">
      <c r="A28" s="66"/>
    </row>
    <row r="29" spans="1:10">
      <c r="A29" s="66"/>
      <c r="B29" s="793"/>
      <c r="C29" s="793"/>
      <c r="D29" s="793"/>
      <c r="E29" s="793"/>
      <c r="F29" s="793"/>
      <c r="G29" s="793"/>
    </row>
    <row r="30" spans="1:10">
      <c r="A30" s="66"/>
      <c r="B30" s="793"/>
      <c r="C30" s="793"/>
      <c r="D30" s="793"/>
      <c r="E30" s="793"/>
      <c r="F30" s="793"/>
      <c r="G30" s="793"/>
    </row>
    <row r="31" spans="1:10">
      <c r="A31" s="66"/>
      <c r="B31" s="793"/>
      <c r="C31" s="793"/>
      <c r="D31" s="793"/>
      <c r="E31" s="793"/>
      <c r="F31" s="793"/>
      <c r="G31" s="793"/>
    </row>
    <row r="36" spans="2:4">
      <c r="B36" s="592"/>
      <c r="C36" s="592"/>
      <c r="D36" s="592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BreakPreview" topLeftCell="A22" zoomScale="80" zoomScaleNormal="90" zoomScaleSheetLayoutView="80" workbookViewId="0">
      <selection activeCell="D49" sqref="D49"/>
    </sheetView>
  </sheetViews>
  <sheetFormatPr defaultRowHeight="15"/>
  <cols>
    <col min="1" max="1" width="5.88671875" style="62" customWidth="1"/>
    <col min="2" max="2" width="7.109375" style="62" customWidth="1"/>
    <col min="3" max="3" width="31.109375" style="62" bestFit="1" customWidth="1"/>
    <col min="4" max="4" width="11.88671875" style="62" customWidth="1"/>
    <col min="5" max="5" width="10.6640625" style="62" customWidth="1"/>
    <col min="6" max="6" width="11.44140625" style="62" customWidth="1"/>
    <col min="7" max="16384" width="8.88671875" style="62"/>
  </cols>
  <sheetData>
    <row r="1" spans="1:9" ht="15.75">
      <c r="A1" s="1216" t="str">
        <f>'Table of Contents'!A1:C1</f>
        <v>Atmos Energy Corporation, Kentucky/Mid-States Division</v>
      </c>
      <c r="B1" s="1216"/>
      <c r="C1" s="1216"/>
      <c r="D1" s="1216"/>
      <c r="E1" s="1216"/>
      <c r="F1" s="1216"/>
    </row>
    <row r="2" spans="1:9" ht="15.75">
      <c r="A2" s="1216" t="str">
        <f>'Table of Contents'!A2:C2</f>
        <v>Kentucky Jurisdiction Case No. 2018-00281</v>
      </c>
      <c r="B2" s="1216" t="s">
        <v>323</v>
      </c>
      <c r="C2" s="1216"/>
      <c r="D2" s="1216"/>
      <c r="E2" s="1216"/>
      <c r="F2" s="1216"/>
    </row>
    <row r="3" spans="1:9" ht="15.75">
      <c r="A3" s="1216" t="s">
        <v>1373</v>
      </c>
      <c r="B3" s="1216"/>
      <c r="C3" s="1216"/>
      <c r="D3" s="1216"/>
      <c r="E3" s="1216"/>
      <c r="F3" s="1216"/>
    </row>
    <row r="4" spans="1:9" ht="15.75">
      <c r="A4" s="1216"/>
      <c r="B4" s="1216"/>
      <c r="C4" s="1216"/>
      <c r="D4" s="1216"/>
      <c r="E4" s="1216"/>
      <c r="F4" s="1216"/>
    </row>
    <row r="5" spans="1:9" ht="15.75">
      <c r="B5" s="102"/>
      <c r="C5" s="102"/>
      <c r="D5" s="102"/>
      <c r="E5" s="102"/>
    </row>
    <row r="6" spans="1:9" ht="15.75">
      <c r="A6" s="66" t="s">
        <v>136</v>
      </c>
      <c r="E6" s="102"/>
      <c r="F6" s="497" t="s">
        <v>1410</v>
      </c>
    </row>
    <row r="7" spans="1:9" ht="15.75">
      <c r="A7" s="66" t="s">
        <v>1123</v>
      </c>
      <c r="E7" s="102"/>
      <c r="F7" s="696" t="s">
        <v>1362</v>
      </c>
    </row>
    <row r="8" spans="1:9" ht="15.75">
      <c r="A8" s="66" t="s">
        <v>365</v>
      </c>
      <c r="E8" s="385"/>
      <c r="F8" s="1136" t="str">
        <f>F.1!$F$9</f>
        <v>Witness: Waller</v>
      </c>
    </row>
    <row r="9" spans="1:9">
      <c r="A9" s="1079"/>
      <c r="B9" s="1079"/>
      <c r="C9" s="1079"/>
      <c r="D9" s="1079"/>
    </row>
    <row r="10" spans="1:9">
      <c r="A10" s="94"/>
      <c r="B10" s="94"/>
      <c r="C10" s="94"/>
      <c r="D10" s="94"/>
    </row>
    <row r="11" spans="1:9">
      <c r="A11" s="241" t="s">
        <v>93</v>
      </c>
      <c r="E11" s="531" t="s">
        <v>627</v>
      </c>
      <c r="F11" s="531" t="s">
        <v>12</v>
      </c>
    </row>
    <row r="12" spans="1:9">
      <c r="A12" s="1083" t="s">
        <v>99</v>
      </c>
      <c r="B12" s="1083" t="s">
        <v>1363</v>
      </c>
      <c r="C12" s="1083" t="s">
        <v>1364</v>
      </c>
      <c r="D12" s="1083" t="s">
        <v>96</v>
      </c>
      <c r="E12" s="1083" t="s">
        <v>1002</v>
      </c>
      <c r="F12" s="1137" t="s">
        <v>1365</v>
      </c>
      <c r="H12" s="1138"/>
    </row>
    <row r="14" spans="1:9">
      <c r="A14" s="1139" t="s">
        <v>1366</v>
      </c>
      <c r="G14" s="96"/>
      <c r="H14" s="96"/>
      <c r="I14" s="96"/>
    </row>
    <row r="15" spans="1:9">
      <c r="A15" s="859">
        <v>1</v>
      </c>
      <c r="B15" s="531">
        <v>2</v>
      </c>
      <c r="C15" s="62" t="s">
        <v>1367</v>
      </c>
      <c r="D15" s="1140">
        <f>'[13]final summary'!$H$6</f>
        <v>4619226.5692848982</v>
      </c>
      <c r="E15" s="1141">
        <f>Allocation!I14</f>
        <v>5.1771199999999996E-2</v>
      </c>
      <c r="F15" s="1142">
        <f>D15*E15</f>
        <v>239142.9025637623</v>
      </c>
      <c r="G15" s="96"/>
      <c r="H15" s="96"/>
      <c r="I15" s="96"/>
    </row>
    <row r="16" spans="1:9">
      <c r="B16" s="531"/>
      <c r="G16" s="96"/>
      <c r="H16" s="96"/>
      <c r="I16" s="96"/>
    </row>
    <row r="17" spans="1:10">
      <c r="A17" s="859">
        <f>A15+1</f>
        <v>2</v>
      </c>
      <c r="B17" s="531">
        <v>12</v>
      </c>
      <c r="C17" s="62" t="s">
        <v>1367</v>
      </c>
      <c r="D17" s="1140">
        <f>'[13]final summary'!$H$10</f>
        <v>0</v>
      </c>
      <c r="E17" s="1141">
        <f>Allocation!I15</f>
        <v>5.6412179785543033E-2</v>
      </c>
      <c r="F17" s="1142">
        <f>D17*E17</f>
        <v>0</v>
      </c>
      <c r="G17" s="96"/>
      <c r="H17" s="96"/>
      <c r="I17" s="96"/>
    </row>
    <row r="18" spans="1:10">
      <c r="A18" s="859"/>
      <c r="B18" s="531"/>
      <c r="G18" s="96"/>
      <c r="H18" s="96"/>
      <c r="I18" s="96"/>
    </row>
    <row r="19" spans="1:10">
      <c r="A19" s="859">
        <f>A17+1</f>
        <v>3</v>
      </c>
      <c r="B19" s="531">
        <v>91</v>
      </c>
      <c r="C19" s="62" t="s">
        <v>1367</v>
      </c>
      <c r="D19" s="1140">
        <f>'[13]final summary'!$H$14</f>
        <v>846073</v>
      </c>
      <c r="E19" s="1141">
        <f>Allocation!H17</f>
        <v>0.49780000000000002</v>
      </c>
      <c r="F19" s="1142">
        <f>D19*E19</f>
        <v>421175.13940000004</v>
      </c>
      <c r="G19" s="96"/>
      <c r="H19" s="96"/>
      <c r="I19" s="96"/>
    </row>
    <row r="20" spans="1:10">
      <c r="A20" s="859"/>
      <c r="B20" s="531"/>
      <c r="G20" s="96"/>
      <c r="H20" s="96"/>
      <c r="I20" s="96"/>
      <c r="J20" s="62" t="s">
        <v>323</v>
      </c>
    </row>
    <row r="21" spans="1:10">
      <c r="A21" s="859">
        <f>A19+1</f>
        <v>4</v>
      </c>
      <c r="B21" s="531">
        <v>9</v>
      </c>
      <c r="C21" s="62" t="s">
        <v>1367</v>
      </c>
      <c r="D21" s="62">
        <v>0</v>
      </c>
      <c r="E21" s="1141">
        <v>1</v>
      </c>
      <c r="F21" s="1142">
        <f>D21*E21</f>
        <v>0</v>
      </c>
      <c r="G21" s="96"/>
      <c r="H21" s="96"/>
      <c r="I21" s="96"/>
    </row>
    <row r="22" spans="1:10">
      <c r="A22" s="859"/>
      <c r="G22" s="96"/>
      <c r="H22" s="96"/>
      <c r="I22" s="96"/>
    </row>
    <row r="23" spans="1:10">
      <c r="A23" s="859">
        <f>A21+1</f>
        <v>5</v>
      </c>
      <c r="C23" s="62" t="s">
        <v>1371</v>
      </c>
      <c r="F23" s="1143">
        <f>SUM(F15:F22)</f>
        <v>660318.04196376237</v>
      </c>
      <c r="G23" s="96"/>
      <c r="H23" s="96"/>
      <c r="I23" s="96"/>
    </row>
    <row r="24" spans="1:10">
      <c r="A24" s="859"/>
      <c r="F24" s="1140"/>
      <c r="G24" s="96"/>
      <c r="H24" s="96"/>
      <c r="I24" s="96"/>
    </row>
    <row r="25" spans="1:10">
      <c r="G25" s="96"/>
      <c r="H25" s="96"/>
      <c r="I25" s="96"/>
    </row>
    <row r="26" spans="1:10">
      <c r="A26" s="1139" t="s">
        <v>1368</v>
      </c>
      <c r="G26" s="96"/>
      <c r="H26" s="96"/>
      <c r="I26" s="96"/>
    </row>
    <row r="27" spans="1:10">
      <c r="A27" s="859">
        <f>A23+1</f>
        <v>6</v>
      </c>
      <c r="B27" s="531">
        <v>2</v>
      </c>
      <c r="C27" s="62" t="s">
        <v>1369</v>
      </c>
      <c r="D27" s="1140">
        <f>'[13]final summary'!$H$30</f>
        <v>1992898.6133238107</v>
      </c>
      <c r="E27" s="1144">
        <f>E15</f>
        <v>5.1771199999999996E-2</v>
      </c>
      <c r="F27" s="1142">
        <f>D27*E27</f>
        <v>103174.75269010966</v>
      </c>
      <c r="G27" s="96"/>
      <c r="H27" s="96"/>
      <c r="I27" s="96"/>
    </row>
    <row r="28" spans="1:10">
      <c r="A28" s="859">
        <f>A27+1</f>
        <v>7</v>
      </c>
      <c r="B28" s="531"/>
      <c r="C28" s="62" t="s">
        <v>1375</v>
      </c>
      <c r="D28" s="1140">
        <f>'[13]final summary'!$H$34</f>
        <v>2176607.9147419627</v>
      </c>
      <c r="E28" s="1141">
        <f>E27</f>
        <v>5.1771199999999996E-2</v>
      </c>
      <c r="F28" s="1142">
        <f>D28*E28</f>
        <v>112685.6036756891</v>
      </c>
      <c r="G28" s="96"/>
      <c r="H28" s="96"/>
      <c r="I28" s="96"/>
    </row>
    <row r="29" spans="1:10">
      <c r="A29" s="859"/>
      <c r="B29" s="531"/>
      <c r="G29" s="96"/>
      <c r="H29" s="96"/>
      <c r="I29" s="96"/>
    </row>
    <row r="30" spans="1:10">
      <c r="A30" s="859">
        <f>A28+1</f>
        <v>8</v>
      </c>
      <c r="B30" s="531">
        <v>12</v>
      </c>
      <c r="C30" s="62" t="s">
        <v>1369</v>
      </c>
      <c r="D30" s="1173">
        <f>'[13]final summary'!$H$38</f>
        <v>51606.655958830859</v>
      </c>
      <c r="E30" s="1141">
        <f>E17</f>
        <v>5.6412179785543033E-2</v>
      </c>
      <c r="F30" s="1142">
        <f>D30*E30</f>
        <v>2911.243954080232</v>
      </c>
      <c r="G30" s="96"/>
      <c r="H30" s="96"/>
      <c r="I30" s="96"/>
    </row>
    <row r="31" spans="1:10">
      <c r="A31" s="859">
        <f>A30+1</f>
        <v>9</v>
      </c>
      <c r="B31" s="531"/>
      <c r="C31" s="62" t="s">
        <v>1375</v>
      </c>
      <c r="D31" s="1173">
        <f>'[13]final summary'!$H$42</f>
        <v>58920.900528394508</v>
      </c>
      <c r="E31" s="1141">
        <f>E30</f>
        <v>5.6412179785543033E-2</v>
      </c>
      <c r="F31" s="1142">
        <f>D31*E31</f>
        <v>3323.8564337338885</v>
      </c>
      <c r="G31" s="96"/>
      <c r="H31" s="96"/>
      <c r="I31" s="96"/>
    </row>
    <row r="32" spans="1:10">
      <c r="A32" s="96"/>
      <c r="B32" s="531"/>
      <c r="G32" s="96"/>
      <c r="H32" s="96"/>
      <c r="I32" s="96"/>
    </row>
    <row r="33" spans="1:9">
      <c r="A33" s="859">
        <f>A31+1</f>
        <v>10</v>
      </c>
      <c r="B33" s="531">
        <v>91</v>
      </c>
      <c r="C33" s="62" t="s">
        <v>1713</v>
      </c>
      <c r="D33" s="1140">
        <f>'[13]final summary'!$H$46+'[13]final summary'!$H$50</f>
        <v>161850.79771399999</v>
      </c>
      <c r="E33" s="1141">
        <f>E19</f>
        <v>0.49780000000000002</v>
      </c>
      <c r="F33" s="1142">
        <f>D33*E33</f>
        <v>80569.327102029201</v>
      </c>
      <c r="G33" s="96"/>
      <c r="H33" s="96"/>
      <c r="I33" s="96"/>
    </row>
    <row r="34" spans="1:9">
      <c r="A34" s="859">
        <f>A33+1</f>
        <v>11</v>
      </c>
      <c r="B34" s="531"/>
      <c r="D34" s="1140"/>
      <c r="E34" s="1141"/>
      <c r="F34" s="1142"/>
      <c r="G34" s="96"/>
      <c r="H34" s="96"/>
      <c r="I34" s="96"/>
    </row>
    <row r="35" spans="1:9">
      <c r="A35" s="695"/>
      <c r="B35" s="531"/>
      <c r="G35" s="96"/>
      <c r="H35" s="96"/>
      <c r="I35" s="96"/>
    </row>
    <row r="36" spans="1:9">
      <c r="A36" s="859">
        <f>A34+1</f>
        <v>12</v>
      </c>
      <c r="B36" s="531">
        <v>9</v>
      </c>
      <c r="C36" s="62" t="s">
        <v>1369</v>
      </c>
      <c r="D36" s="1140">
        <f>'[13]final summary'!$H$54</f>
        <v>0</v>
      </c>
      <c r="E36" s="1141">
        <v>1</v>
      </c>
      <c r="F36" s="1142">
        <f>D36*E36</f>
        <v>0</v>
      </c>
      <c r="G36" s="96"/>
      <c r="H36" s="96"/>
      <c r="I36" s="96"/>
    </row>
    <row r="37" spans="1:9">
      <c r="A37" s="859">
        <f>A36+1</f>
        <v>13</v>
      </c>
      <c r="C37" s="62" t="s">
        <v>1375</v>
      </c>
      <c r="D37" s="1140">
        <f>'[13]final summary'!$H$58</f>
        <v>0</v>
      </c>
      <c r="E37" s="1141">
        <v>1</v>
      </c>
      <c r="F37" s="1142">
        <f>D37*E37</f>
        <v>0</v>
      </c>
      <c r="G37" s="96"/>
      <c r="H37" s="96"/>
      <c r="I37" s="96"/>
    </row>
    <row r="38" spans="1:9">
      <c r="A38" s="96"/>
      <c r="G38" s="96"/>
      <c r="H38" s="96"/>
      <c r="I38" s="96"/>
    </row>
    <row r="39" spans="1:9">
      <c r="A39" s="859">
        <f>A37+1</f>
        <v>14</v>
      </c>
      <c r="C39" s="62" t="s">
        <v>1370</v>
      </c>
      <c r="F39" s="1143">
        <f>SUM(F27:F37)</f>
        <v>302664.78385564208</v>
      </c>
      <c r="G39" s="96"/>
      <c r="H39" s="96"/>
      <c r="I39" s="96"/>
    </row>
    <row r="40" spans="1:9">
      <c r="A40" s="96"/>
      <c r="G40" s="96"/>
      <c r="H40" s="96"/>
      <c r="I40" s="96"/>
    </row>
    <row r="41" spans="1:9" ht="18" customHeight="1" thickBot="1">
      <c r="A41" s="859">
        <f>A39+1</f>
        <v>15</v>
      </c>
      <c r="C41" s="62" t="s">
        <v>1372</v>
      </c>
      <c r="F41" s="1145">
        <f>F23+F39</f>
        <v>962982.82581940445</v>
      </c>
      <c r="G41" s="96"/>
      <c r="H41" s="96"/>
      <c r="I41" s="96"/>
    </row>
    <row r="42" spans="1:9" ht="15.75" thickTop="1">
      <c r="A42" s="96"/>
      <c r="B42" s="96"/>
      <c r="C42" s="96"/>
      <c r="D42" s="96"/>
      <c r="E42" s="96"/>
      <c r="F42" s="96"/>
      <c r="G42" s="96"/>
      <c r="H42" s="96"/>
      <c r="I42" s="96"/>
    </row>
    <row r="43" spans="1:9">
      <c r="C43" s="62" t="s">
        <v>1727</v>
      </c>
      <c r="F43" s="1188">
        <f>F41*0.065</f>
        <v>62593.883678261293</v>
      </c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110" zoomScaleNormal="100" zoomScaleSheetLayoutView="110" workbookViewId="0">
      <selection activeCell="D25" sqref="D25"/>
    </sheetView>
  </sheetViews>
  <sheetFormatPr defaultRowHeight="15"/>
  <cols>
    <col min="1" max="1" width="8.77734375" customWidth="1"/>
    <col min="2" max="2" width="12.109375" customWidth="1"/>
    <col min="3" max="3" width="32.109375" bestFit="1" customWidth="1"/>
    <col min="4" max="4" width="10.6640625" customWidth="1"/>
    <col min="5" max="5" width="12.21875" customWidth="1"/>
    <col min="6" max="6" width="13.109375" bestFit="1" customWidth="1"/>
  </cols>
  <sheetData>
    <row r="1" spans="1:6" ht="15.75">
      <c r="A1" s="1216" t="str">
        <f>'Table of Contents'!A1:C1</f>
        <v>Atmos Energy Corporation, Kentucky/Mid-States Division</v>
      </c>
      <c r="B1" s="1216"/>
      <c r="C1" s="1216"/>
      <c r="D1" s="1216"/>
      <c r="E1" s="1216"/>
      <c r="F1" s="1216"/>
    </row>
    <row r="2" spans="1:6" ht="15.75">
      <c r="A2" s="1216" t="str">
        <f>'Table of Contents'!A2:C2</f>
        <v>Kentucky Jurisdiction Case No. 2018-00281</v>
      </c>
      <c r="B2" s="1216" t="s">
        <v>323</v>
      </c>
      <c r="C2" s="1216"/>
      <c r="D2" s="1216"/>
      <c r="E2" s="1216"/>
      <c r="F2" s="1216"/>
    </row>
    <row r="3" spans="1:6" ht="15.75">
      <c r="A3" s="1216" t="s">
        <v>1694</v>
      </c>
      <c r="B3" s="1216"/>
      <c r="C3" s="1216"/>
      <c r="D3" s="1216"/>
      <c r="E3" s="1216"/>
      <c r="F3" s="1216"/>
    </row>
    <row r="4" spans="1:6" ht="15.75">
      <c r="A4" s="1216"/>
      <c r="B4" s="1216"/>
      <c r="C4" s="1216"/>
      <c r="D4" s="1216"/>
      <c r="E4" s="1216"/>
      <c r="F4" s="1216"/>
    </row>
    <row r="5" spans="1:6" ht="15.75">
      <c r="A5" s="62"/>
      <c r="B5" s="102"/>
      <c r="C5" s="102"/>
      <c r="D5" s="102"/>
      <c r="E5" s="102"/>
      <c r="F5" s="62"/>
    </row>
    <row r="6" spans="1:6" ht="15.75">
      <c r="A6" s="66" t="s">
        <v>136</v>
      </c>
      <c r="B6" s="62"/>
      <c r="C6" s="62"/>
      <c r="D6" s="62"/>
      <c r="E6" s="102"/>
      <c r="F6" s="497" t="s">
        <v>1410</v>
      </c>
    </row>
    <row r="7" spans="1:6" ht="15.75">
      <c r="A7" s="66" t="s">
        <v>1123</v>
      </c>
      <c r="B7" s="62"/>
      <c r="C7" s="62"/>
      <c r="D7" s="62"/>
      <c r="E7" s="102"/>
      <c r="F7" s="696" t="s">
        <v>1362</v>
      </c>
    </row>
    <row r="8" spans="1:6" ht="15.75">
      <c r="A8" s="66" t="s">
        <v>365</v>
      </c>
      <c r="B8" s="62"/>
      <c r="C8" s="62"/>
      <c r="D8" s="62"/>
      <c r="E8" s="385"/>
      <c r="F8" s="1136" t="str">
        <f>F.1!$F$9</f>
        <v>Witness: Waller</v>
      </c>
    </row>
    <row r="11" spans="1:6">
      <c r="A11" s="1163" t="s">
        <v>204</v>
      </c>
      <c r="B11" s="804" t="s">
        <v>155</v>
      </c>
      <c r="C11" s="804" t="s">
        <v>1690</v>
      </c>
      <c r="D11" s="1164" t="s">
        <v>104</v>
      </c>
      <c r="E11" s="804" t="s">
        <v>627</v>
      </c>
      <c r="F11" s="804" t="s">
        <v>96</v>
      </c>
    </row>
    <row r="12" spans="1:6">
      <c r="A12">
        <v>1</v>
      </c>
    </row>
    <row r="13" spans="1:6">
      <c r="A13">
        <v>2</v>
      </c>
      <c r="B13" s="1165" t="s">
        <v>1688</v>
      </c>
      <c r="C13" s="793" t="s">
        <v>1689</v>
      </c>
      <c r="D13">
        <f>'[13]Div 002 FY19 Budget '!$B$73</f>
        <v>3664608.47</v>
      </c>
      <c r="E13" s="55">
        <f>Allocation!E14</f>
        <v>5.1771199999999996E-2</v>
      </c>
      <c r="F13">
        <f>D13*E13</f>
        <v>189721.17802206401</v>
      </c>
    </row>
    <row r="14" spans="1:6">
      <c r="A14" s="793">
        <v>3</v>
      </c>
      <c r="B14" s="1165" t="s">
        <v>1688</v>
      </c>
      <c r="C14" s="103" t="s">
        <v>1695</v>
      </c>
      <c r="D14" s="80">
        <f>'[27]CY18 Actual'!$C$9</f>
        <v>1161418.7800000003</v>
      </c>
      <c r="E14" s="424">
        <f>Allocation!I14</f>
        <v>5.1771199999999996E-2</v>
      </c>
      <c r="F14" s="793">
        <f t="shared" ref="F14:F17" si="0">D14*E14</f>
        <v>60128.043943136006</v>
      </c>
    </row>
    <row r="15" spans="1:6" s="793" customFormat="1">
      <c r="A15" s="793">
        <v>4</v>
      </c>
      <c r="B15" s="1165" t="s">
        <v>1714</v>
      </c>
      <c r="C15" s="103" t="s">
        <v>1695</v>
      </c>
      <c r="D15" s="80">
        <f>'[27]CY18 Actual'!$C$11</f>
        <v>664152.70000000042</v>
      </c>
      <c r="E15" s="424">
        <f>Allocation!I15</f>
        <v>5.6412179785543033E-2</v>
      </c>
      <c r="F15" s="793">
        <f t="shared" si="0"/>
        <v>37466.301517453852</v>
      </c>
    </row>
    <row r="16" spans="1:6" s="793" customFormat="1">
      <c r="A16" s="793">
        <v>5</v>
      </c>
      <c r="B16" s="1165" t="s">
        <v>1715</v>
      </c>
      <c r="C16" s="103" t="s">
        <v>1695</v>
      </c>
      <c r="D16" s="80">
        <f>'[27]CY18 Actual'!$C$10</f>
        <v>339022.81999999989</v>
      </c>
      <c r="E16" s="424">
        <v>1</v>
      </c>
      <c r="F16" s="793">
        <f t="shared" si="0"/>
        <v>339022.81999999989</v>
      </c>
    </row>
    <row r="17" spans="1:6" s="793" customFormat="1">
      <c r="A17" s="793">
        <v>6</v>
      </c>
      <c r="B17" s="1165" t="s">
        <v>1716</v>
      </c>
      <c r="C17" s="103" t="s">
        <v>1695</v>
      </c>
      <c r="D17" s="80">
        <f>'[27]CY18 Actual'!$C$12</f>
        <v>164728.26</v>
      </c>
      <c r="E17" s="424">
        <f>Allocation!I17</f>
        <v>0.49780000000000002</v>
      </c>
      <c r="F17" s="793">
        <f t="shared" si="0"/>
        <v>82001.727828000003</v>
      </c>
    </row>
    <row r="18" spans="1:6">
      <c r="A18" s="793">
        <v>7</v>
      </c>
    </row>
    <row r="19" spans="1:6">
      <c r="A19" s="793">
        <v>8</v>
      </c>
      <c r="C19" t="s">
        <v>934</v>
      </c>
      <c r="F19">
        <f>SUM(F13:F17)</f>
        <v>708340.0713106537</v>
      </c>
    </row>
    <row r="20" spans="1:6">
      <c r="A20" s="793"/>
    </row>
    <row r="21" spans="1:6">
      <c r="A21" s="793"/>
    </row>
    <row r="22" spans="1:6">
      <c r="A22" s="793"/>
    </row>
    <row r="23" spans="1:6">
      <c r="A23" s="793"/>
    </row>
    <row r="24" spans="1:6">
      <c r="A24" s="793"/>
    </row>
    <row r="25" spans="1:6">
      <c r="A25" s="793"/>
    </row>
    <row r="26" spans="1:6">
      <c r="A26" s="793"/>
    </row>
    <row r="27" spans="1:6">
      <c r="A27" s="793"/>
    </row>
    <row r="28" spans="1:6">
      <c r="A28" s="793"/>
    </row>
    <row r="29" spans="1:6">
      <c r="A29" s="793"/>
    </row>
    <row r="30" spans="1:6">
      <c r="A30" s="793"/>
    </row>
    <row r="31" spans="1:6">
      <c r="A31" s="79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1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68"/>
  <sheetViews>
    <sheetView view="pageBreakPreview" zoomScale="80" zoomScaleNormal="90" zoomScaleSheetLayoutView="80" workbookViewId="0">
      <selection activeCell="C39" sqref="C39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4.44140625" style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18.66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>
      <c r="A2" s="172" t="str">
        <f>'Table of Contents'!A2:C2</f>
        <v>Kentucky Jurisdiction Case No. 2018-00281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>
      <c r="A3" s="89" t="s">
        <v>511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>
      <c r="A4" s="680" t="str">
        <f>'Table of Contents'!A3:C3</f>
        <v>Base Period: Twelve Months Ended December 31, 2018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680" t="str">
        <f>'Table of Contents'!A4:C4</f>
        <v>Forecasted Test Period: Twelve Months Ended March 31, 2020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>
      <c r="A7" s="90" t="s">
        <v>198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6" t="s">
        <v>1411</v>
      </c>
    </row>
    <row r="8" spans="1:13">
      <c r="A8" s="90" t="s">
        <v>1121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1" t="s">
        <v>841</v>
      </c>
    </row>
    <row r="9" spans="1:13">
      <c r="A9" s="91" t="s">
        <v>426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562" t="str">
        <f>F.1!$F$9</f>
        <v>Witness: Waller</v>
      </c>
    </row>
    <row r="10" spans="1:13" ht="15.75">
      <c r="A10" s="127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47"/>
    </row>
    <row r="11" spans="1:13">
      <c r="A11" s="92"/>
      <c r="B11" s="92"/>
      <c r="C11" s="92"/>
      <c r="D11" s="93"/>
      <c r="E11" s="93"/>
      <c r="F11" s="93"/>
      <c r="G11" s="93"/>
      <c r="H11" s="400"/>
      <c r="I11" s="93"/>
      <c r="J11" s="93"/>
      <c r="K11" s="93"/>
      <c r="L11" s="93"/>
    </row>
    <row r="12" spans="1:13">
      <c r="A12" s="92"/>
      <c r="B12" s="92"/>
      <c r="C12" s="92"/>
      <c r="D12" s="400" t="s">
        <v>96</v>
      </c>
      <c r="E12" s="93"/>
      <c r="F12" s="93"/>
      <c r="G12" s="93"/>
      <c r="H12" s="400" t="s">
        <v>523</v>
      </c>
      <c r="I12" s="93"/>
      <c r="J12" s="93"/>
      <c r="K12" s="93"/>
      <c r="L12" s="400" t="s">
        <v>325</v>
      </c>
    </row>
    <row r="13" spans="1:13">
      <c r="A13" s="100" t="s">
        <v>93</v>
      </c>
      <c r="B13" s="92"/>
      <c r="C13" s="646" t="s">
        <v>1240</v>
      </c>
      <c r="D13" s="400" t="s">
        <v>102</v>
      </c>
      <c r="E13" s="93"/>
      <c r="F13" s="93"/>
      <c r="G13" s="93"/>
      <c r="H13" s="400" t="s">
        <v>337</v>
      </c>
      <c r="I13" s="93"/>
      <c r="J13" s="93"/>
      <c r="K13" s="93"/>
      <c r="L13" s="400" t="s">
        <v>97</v>
      </c>
    </row>
    <row r="14" spans="1:13">
      <c r="A14" s="101" t="s">
        <v>99</v>
      </c>
      <c r="B14" s="101" t="s">
        <v>985</v>
      </c>
      <c r="C14" s="404" t="s">
        <v>1238</v>
      </c>
      <c r="D14" s="404" t="s">
        <v>986</v>
      </c>
      <c r="E14" s="95"/>
      <c r="F14" s="404" t="s">
        <v>337</v>
      </c>
      <c r="G14" s="95"/>
      <c r="H14" s="404" t="s">
        <v>986</v>
      </c>
      <c r="I14" s="95"/>
      <c r="J14" s="404" t="s">
        <v>987</v>
      </c>
      <c r="K14" s="95"/>
      <c r="L14" s="404" t="s">
        <v>1080</v>
      </c>
      <c r="M14" s="15"/>
    </row>
    <row r="15" spans="1:13">
      <c r="A15" s="92"/>
      <c r="B15" s="92"/>
      <c r="C15" s="92"/>
      <c r="D15" s="100"/>
      <c r="E15" s="92"/>
      <c r="F15" s="100"/>
      <c r="G15" s="92"/>
      <c r="H15" s="100"/>
      <c r="I15" s="90"/>
      <c r="J15" s="100"/>
      <c r="K15" s="90"/>
      <c r="L15" s="100"/>
    </row>
    <row r="16" spans="1:13">
      <c r="A16" s="100">
        <v>1</v>
      </c>
      <c r="B16" s="16" t="s">
        <v>849</v>
      </c>
      <c r="C16" s="16"/>
      <c r="D16" s="425"/>
      <c r="E16" s="92"/>
      <c r="F16" s="92"/>
      <c r="G16" s="92"/>
      <c r="H16" s="92"/>
      <c r="I16" s="92"/>
      <c r="J16" s="92"/>
      <c r="K16" s="92"/>
      <c r="L16" s="426"/>
    </row>
    <row r="17" spans="1:14">
      <c r="A17" s="100">
        <v>2</v>
      </c>
      <c r="B17" s="90" t="s">
        <v>394</v>
      </c>
      <c r="C17" s="90"/>
      <c r="D17" s="494">
        <f>G.2!M26</f>
        <v>12385641.214800002</v>
      </c>
      <c r="E17" s="92"/>
      <c r="F17" s="128" t="s">
        <v>147</v>
      </c>
      <c r="G17" s="92"/>
      <c r="H17" s="494">
        <f>+D17</f>
        <v>12385641.214800002</v>
      </c>
      <c r="I17" s="92"/>
      <c r="J17" s="494">
        <f>L17-H17</f>
        <v>220260.43215600215</v>
      </c>
      <c r="K17" s="92"/>
      <c r="L17" s="494">
        <f>G.2!O26</f>
        <v>12605901.646956004</v>
      </c>
    </row>
    <row r="18" spans="1:14">
      <c r="A18" s="100">
        <v>3</v>
      </c>
      <c r="B18" s="92"/>
      <c r="C18" s="92"/>
      <c r="D18" s="87"/>
      <c r="E18" s="92"/>
      <c r="F18" s="105"/>
      <c r="G18" s="92"/>
      <c r="H18" s="87"/>
      <c r="I18" s="92"/>
      <c r="J18" s="87"/>
      <c r="K18" s="92"/>
      <c r="L18" s="87"/>
      <c r="N18" s="592"/>
    </row>
    <row r="19" spans="1:14">
      <c r="A19" s="100">
        <v>4</v>
      </c>
      <c r="B19" s="16" t="s">
        <v>617</v>
      </c>
      <c r="C19" s="592"/>
      <c r="D19" s="87"/>
      <c r="E19" s="92"/>
      <c r="F19" s="105"/>
      <c r="G19" s="92"/>
      <c r="H19" s="87"/>
      <c r="I19" s="92"/>
      <c r="J19" s="87"/>
      <c r="K19" s="92"/>
      <c r="L19" s="87"/>
    </row>
    <row r="20" spans="1:14">
      <c r="A20" s="100">
        <v>5</v>
      </c>
      <c r="B20" s="90" t="s">
        <v>1239</v>
      </c>
      <c r="C20" s="718">
        <f>'[28]Budget FY18'!$K$77</f>
        <v>4.1782449753929467E-2</v>
      </c>
      <c r="D20" s="340">
        <f>D$17*C20</f>
        <v>517502.43172757898</v>
      </c>
      <c r="E20" s="179"/>
      <c r="F20" s="128" t="s">
        <v>147</v>
      </c>
      <c r="G20" s="92"/>
      <c r="H20" s="340">
        <f t="shared" ref="H20:H25" si="0">D20</f>
        <v>517502.43172757898</v>
      </c>
      <c r="I20" s="92"/>
      <c r="J20" s="340">
        <f t="shared" ref="J20:J25" si="1">L20-H20</f>
        <v>9203.0204393370077</v>
      </c>
      <c r="K20" s="92"/>
      <c r="L20" s="340">
        <f>L$17*C20</f>
        <v>526705.45216691599</v>
      </c>
      <c r="N20" s="794"/>
    </row>
    <row r="21" spans="1:14">
      <c r="A21" s="100">
        <v>6</v>
      </c>
      <c r="B21" s="90" t="s">
        <v>1088</v>
      </c>
      <c r="C21" s="718">
        <f>'[28]Budget FY18'!$K$68</f>
        <v>-9.558331668870771E-3</v>
      </c>
      <c r="D21" s="86">
        <f>D$17*C21</f>
        <v>-118386.06666269391</v>
      </c>
      <c r="E21" s="179"/>
      <c r="F21" s="128" t="s">
        <v>147</v>
      </c>
      <c r="G21" s="92"/>
      <c r="H21" s="86">
        <f t="shared" si="0"/>
        <v>-118386.06666269391</v>
      </c>
      <c r="I21" s="92"/>
      <c r="J21" s="86">
        <f t="shared" si="1"/>
        <v>-260729.32226407586</v>
      </c>
      <c r="K21" s="92"/>
      <c r="L21" s="86">
        <f>L$17*C21-258624</f>
        <v>-379115.38892676978</v>
      </c>
      <c r="M21" s="592"/>
      <c r="N21" s="794"/>
    </row>
    <row r="22" spans="1:14">
      <c r="A22" s="100">
        <v>7</v>
      </c>
      <c r="B22" s="90" t="s">
        <v>608</v>
      </c>
      <c r="C22" s="718">
        <f>'[28]Budget FY18'!$K$76</f>
        <v>0.21505769803395991</v>
      </c>
      <c r="D22" s="86">
        <f>D$17*C22</f>
        <v>2663627.4883294273</v>
      </c>
      <c r="E22" s="428"/>
      <c r="F22" s="658" t="s">
        <v>147</v>
      </c>
      <c r="G22" s="103"/>
      <c r="H22" s="86">
        <f t="shared" si="0"/>
        <v>2663627.4883294273</v>
      </c>
      <c r="I22" s="103"/>
      <c r="J22" s="86">
        <f t="shared" si="1"/>
        <v>47368.701507434715</v>
      </c>
      <c r="K22" s="103"/>
      <c r="L22" s="86">
        <f>L$17*C22</f>
        <v>2710996.189836862</v>
      </c>
    </row>
    <row r="23" spans="1:14">
      <c r="A23" s="100">
        <v>8</v>
      </c>
      <c r="B23" s="126" t="s">
        <v>833</v>
      </c>
      <c r="C23" s="718">
        <f>'[28]Budget FY18'!$K$78</f>
        <v>5.6551084911125385E-2</v>
      </c>
      <c r="D23" s="86">
        <f>D$17*C23</f>
        <v>700421.44801688904</v>
      </c>
      <c r="E23" s="179"/>
      <c r="F23" s="128" t="s">
        <v>147</v>
      </c>
      <c r="G23" s="92"/>
      <c r="H23" s="86">
        <f t="shared" si="0"/>
        <v>700421.44801688904</v>
      </c>
      <c r="I23" s="92"/>
      <c r="J23" s="86">
        <f t="shared" si="1"/>
        <v>12455.966401415295</v>
      </c>
      <c r="K23" s="92"/>
      <c r="L23" s="86">
        <f>L$17*C23</f>
        <v>712877.41441830434</v>
      </c>
    </row>
    <row r="24" spans="1:14">
      <c r="A24" s="100">
        <v>9</v>
      </c>
      <c r="B24" s="90"/>
      <c r="C24" s="90"/>
      <c r="D24" s="125"/>
      <c r="E24" s="92"/>
      <c r="F24" s="128" t="s">
        <v>147</v>
      </c>
      <c r="G24" s="92"/>
      <c r="H24" s="125">
        <f t="shared" si="0"/>
        <v>0</v>
      </c>
      <c r="I24" s="92"/>
      <c r="J24" s="125">
        <f t="shared" si="1"/>
        <v>0</v>
      </c>
      <c r="K24" s="92"/>
      <c r="L24" s="125"/>
      <c r="N24" s="592"/>
    </row>
    <row r="25" spans="1:14">
      <c r="A25" s="100">
        <v>10</v>
      </c>
      <c r="B25" s="90" t="s">
        <v>609</v>
      </c>
      <c r="C25" s="90"/>
      <c r="D25" s="340">
        <f>G.2!M35</f>
        <v>4006507.0576819656</v>
      </c>
      <c r="E25" s="179"/>
      <c r="F25" s="105" t="s">
        <v>323</v>
      </c>
      <c r="G25" s="92"/>
      <c r="H25" s="340">
        <f t="shared" si="0"/>
        <v>4006507.0576819656</v>
      </c>
      <c r="I25" s="92"/>
      <c r="J25" s="340">
        <f t="shared" si="1"/>
        <v>172761.93844507169</v>
      </c>
      <c r="K25" s="92"/>
      <c r="L25" s="340">
        <f>G.2!O35</f>
        <v>4179268.9961270373</v>
      </c>
    </row>
    <row r="26" spans="1:14">
      <c r="A26" s="100">
        <v>11</v>
      </c>
      <c r="B26" s="92"/>
      <c r="C26" s="92"/>
      <c r="D26" s="86"/>
      <c r="E26" s="92"/>
      <c r="F26" s="129" t="s">
        <v>323</v>
      </c>
      <c r="G26" s="92"/>
      <c r="H26" s="86" t="s">
        <v>323</v>
      </c>
      <c r="I26" s="92"/>
      <c r="J26" s="86"/>
      <c r="K26" s="92"/>
      <c r="L26" s="86"/>
    </row>
    <row r="27" spans="1:14">
      <c r="A27" s="100">
        <v>12</v>
      </c>
      <c r="B27" s="16" t="s">
        <v>798</v>
      </c>
      <c r="C27" s="16"/>
      <c r="D27" s="86"/>
      <c r="E27" s="92"/>
      <c r="F27" s="129" t="s">
        <v>323</v>
      </c>
      <c r="G27" s="92"/>
      <c r="H27" s="86" t="s">
        <v>323</v>
      </c>
      <c r="I27" s="92"/>
      <c r="J27" s="86"/>
      <c r="K27" s="92"/>
      <c r="L27" s="86" t="s">
        <v>681</v>
      </c>
    </row>
    <row r="28" spans="1:14">
      <c r="A28" s="100">
        <v>15</v>
      </c>
      <c r="B28" s="90" t="s">
        <v>798</v>
      </c>
      <c r="C28" s="90"/>
      <c r="D28" s="340">
        <f>G.2!$M$42*('C.2.3 B'!O14/G.2!$M$43)</f>
        <v>837558.30157356965</v>
      </c>
      <c r="E28" s="92"/>
      <c r="F28" s="128" t="s">
        <v>147</v>
      </c>
      <c r="G28" s="92"/>
      <c r="H28" s="86">
        <f>D28</f>
        <v>837558.30157356965</v>
      </c>
      <c r="I28" s="92"/>
      <c r="J28" s="86">
        <f>L28-H28</f>
        <v>39299.628713411512</v>
      </c>
      <c r="K28" s="92"/>
      <c r="L28" s="340">
        <f>G.2!$O$42*('C.2.3 F'!O15/G.2!$O$43)</f>
        <v>876857.93028698117</v>
      </c>
    </row>
    <row r="29" spans="1:14">
      <c r="A29" s="100">
        <v>16</v>
      </c>
      <c r="B29" s="90" t="s">
        <v>632</v>
      </c>
      <c r="C29" s="90"/>
      <c r="D29" s="570">
        <f>SUM(D28:D28)</f>
        <v>837558.30157356965</v>
      </c>
      <c r="E29" s="92"/>
      <c r="F29" s="105"/>
      <c r="G29" s="92"/>
      <c r="H29" s="570">
        <f>D29</f>
        <v>837558.30157356965</v>
      </c>
      <c r="I29" s="92"/>
      <c r="J29" s="570">
        <f>L29-H29</f>
        <v>39299.628713411512</v>
      </c>
      <c r="K29" s="92"/>
      <c r="L29" s="570">
        <f>SUM(L28:L28)</f>
        <v>876857.93028698117</v>
      </c>
    </row>
    <row r="30" spans="1:14">
      <c r="A30" s="100">
        <v>17</v>
      </c>
      <c r="B30" s="92"/>
      <c r="C30" s="92"/>
      <c r="D30" s="86"/>
      <c r="E30" s="92"/>
      <c r="F30" s="129" t="s">
        <v>323</v>
      </c>
      <c r="G30" s="92"/>
      <c r="H30" s="86" t="s">
        <v>323</v>
      </c>
      <c r="I30" s="92"/>
      <c r="J30" s="86"/>
      <c r="K30" s="92"/>
      <c r="L30" s="86" t="s">
        <v>323</v>
      </c>
    </row>
    <row r="31" spans="1:14" ht="15.75" thickBot="1">
      <c r="A31" s="100">
        <v>18</v>
      </c>
      <c r="B31" s="90" t="s">
        <v>850</v>
      </c>
      <c r="C31" s="90"/>
      <c r="D31" s="571">
        <f>D17+D25+D29</f>
        <v>17229706.574055538</v>
      </c>
      <c r="E31" s="92"/>
      <c r="F31" s="105"/>
      <c r="G31" s="92"/>
      <c r="H31" s="571">
        <f>D31</f>
        <v>17229706.574055538</v>
      </c>
      <c r="I31" s="92"/>
      <c r="J31" s="571">
        <f>J17+J25+J29</f>
        <v>432321.99931448535</v>
      </c>
      <c r="K31" s="92"/>
      <c r="L31" s="571">
        <f>H31+J31</f>
        <v>17662028.573370025</v>
      </c>
    </row>
    <row r="32" spans="1:14" ht="15.75" thickTop="1">
      <c r="A32" s="92"/>
      <c r="B32" s="92"/>
      <c r="C32" s="92"/>
      <c r="D32" s="86"/>
      <c r="E32" s="92"/>
      <c r="F32" s="106"/>
      <c r="G32" s="92"/>
      <c r="H32" s="106"/>
      <c r="I32" s="92"/>
      <c r="J32" s="106"/>
      <c r="K32" s="92"/>
      <c r="L32" s="86"/>
    </row>
    <row r="33" spans="1:13">
      <c r="A33" s="92"/>
      <c r="B33" s="92"/>
      <c r="C33" s="92"/>
      <c r="D33" s="108"/>
      <c r="E33" s="92"/>
      <c r="F33" s="92"/>
      <c r="G33" s="92"/>
      <c r="H33" s="92"/>
      <c r="I33" s="92"/>
      <c r="J33" s="106"/>
      <c r="K33" s="92"/>
      <c r="L33" s="86"/>
    </row>
    <row r="34" spans="1:13">
      <c r="A34" s="92"/>
      <c r="B34" s="92"/>
      <c r="C34" s="92"/>
      <c r="D34" s="106"/>
      <c r="E34" s="92"/>
      <c r="F34" s="92"/>
      <c r="G34" s="92"/>
      <c r="H34" s="92"/>
      <c r="I34" s="92"/>
      <c r="J34" s="106"/>
      <c r="K34" s="92"/>
      <c r="L34" s="106"/>
    </row>
    <row r="35" spans="1:13">
      <c r="A35" s="92"/>
      <c r="B35" s="92"/>
      <c r="C35" s="92"/>
      <c r="D35" s="106"/>
      <c r="E35" s="92"/>
      <c r="F35" s="92"/>
      <c r="G35" s="92"/>
      <c r="H35" s="92"/>
      <c r="I35" s="92"/>
      <c r="J35" s="106"/>
      <c r="K35" s="92"/>
      <c r="L35" s="106"/>
    </row>
    <row r="36" spans="1:13">
      <c r="A36" s="92"/>
      <c r="B36" s="92" t="s">
        <v>684</v>
      </c>
      <c r="C36" s="92"/>
      <c r="D36" s="92"/>
      <c r="E36" s="92"/>
      <c r="F36" s="592"/>
      <c r="G36" s="92"/>
      <c r="H36" s="92"/>
      <c r="I36" s="92"/>
      <c r="J36" s="92"/>
      <c r="K36" s="92"/>
      <c r="L36" s="92"/>
    </row>
    <row r="37" spans="1:13">
      <c r="A37" s="92" t="s">
        <v>323</v>
      </c>
      <c r="B37" s="659" t="s">
        <v>1622</v>
      </c>
      <c r="C37" s="92"/>
      <c r="D37" s="92"/>
      <c r="E37" s="92"/>
      <c r="F37" s="592"/>
      <c r="G37" s="92"/>
      <c r="H37" s="92"/>
      <c r="I37" s="92"/>
      <c r="J37" s="92"/>
      <c r="K37" s="92"/>
      <c r="L37" s="92"/>
    </row>
    <row r="38" spans="1:13">
      <c r="A38" s="92"/>
      <c r="B38" s="92"/>
      <c r="C38" s="92"/>
      <c r="D38" s="92"/>
      <c r="E38" s="92"/>
      <c r="F38" s="592"/>
      <c r="G38" s="92"/>
      <c r="H38" s="92"/>
      <c r="I38" s="92"/>
      <c r="J38" s="92"/>
      <c r="K38" s="92"/>
      <c r="L38" s="92"/>
    </row>
    <row r="39" spans="1:13">
      <c r="A39" s="92"/>
      <c r="B39" s="92"/>
      <c r="C39" s="92"/>
    </row>
    <row r="40" spans="1:13">
      <c r="A40" s="92"/>
      <c r="B40" s="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</row>
    <row r="41" spans="1:13">
      <c r="A41" s="92"/>
      <c r="B41" s="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</row>
    <row r="42" spans="1:13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A47"/>
      <c r="B47"/>
      <c r="C47"/>
      <c r="D47"/>
      <c r="E47"/>
      <c r="F47"/>
      <c r="G47"/>
      <c r="H47"/>
      <c r="I47"/>
      <c r="J47"/>
      <c r="K47"/>
      <c r="L47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</sheetData>
  <phoneticPr fontId="22" type="noConversion"/>
  <pageMargins left="0.5" right="0.5" top="0.75" bottom="0.5" header="0.5" footer="0.5"/>
  <pageSetup scale="85" orientation="landscape" verticalDpi="300" r:id="rId1"/>
  <headerFooter alignWithMargins="0">
    <oddFooter>&amp;RSchedule &amp;A
Page &amp;P of &amp;N</oddFooter>
  </headerFooter>
  <ignoredErrors>
    <ignoredError sqref="L21" formula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S99"/>
  <sheetViews>
    <sheetView view="pageBreakPreview" topLeftCell="A2" zoomScale="70" zoomScaleNormal="80" zoomScaleSheetLayoutView="70" workbookViewId="0">
      <pane xSplit="2" ySplit="12" topLeftCell="C14" activePane="bottomRight" state="frozen"/>
      <selection activeCell="F45" sqref="F45"/>
      <selection pane="topRight" activeCell="F45" sqref="F45"/>
      <selection pane="bottomLeft" activeCell="F45" sqref="F45"/>
      <selection pane="bottomRight" activeCell="G38" sqref="G38"/>
    </sheetView>
  </sheetViews>
  <sheetFormatPr defaultColWidth="7.109375" defaultRowHeight="15"/>
  <cols>
    <col min="1" max="1" width="5.109375" style="103" customWidth="1"/>
    <col min="2" max="2" width="26.88671875" style="103" customWidth="1"/>
    <col min="3" max="15" width="11.33203125" style="103" customWidth="1"/>
    <col min="16" max="16" width="2.109375" style="103" customWidth="1"/>
    <col min="17" max="17" width="6.5546875" style="103" customWidth="1"/>
    <col min="18" max="18" width="7.109375" style="103"/>
    <col min="19" max="19" width="7.88671875" style="103" customWidth="1"/>
    <col min="20" max="21" width="10.44140625" style="103" bestFit="1" customWidth="1"/>
    <col min="22" max="16384" width="7.109375" style="103"/>
  </cols>
  <sheetData>
    <row r="1" spans="1:16">
      <c r="A1" s="298" t="str">
        <f>'Table of Contents'!A1:C1</f>
        <v>Atmos Energy Corporation, Kentucky/Mid-States Division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</row>
    <row r="2" spans="1:16">
      <c r="A2" s="298" t="str">
        <f>'Table of Contents'!A2:C2</f>
        <v>Kentucky Jurisdiction Case No. 2018-00281</v>
      </c>
      <c r="B2" s="944"/>
      <c r="C2" s="943"/>
      <c r="D2" s="943"/>
      <c r="E2" s="943"/>
      <c r="F2" s="943"/>
      <c r="G2" s="943"/>
      <c r="H2" s="943"/>
      <c r="I2" s="943"/>
      <c r="J2" s="943"/>
      <c r="K2" s="298"/>
      <c r="L2" s="943"/>
      <c r="M2" s="943"/>
      <c r="N2" s="943"/>
      <c r="O2" s="943"/>
    </row>
    <row r="3" spans="1:16">
      <c r="A3" s="298" t="s">
        <v>1162</v>
      </c>
      <c r="B3" s="945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</row>
    <row r="4" spans="1:16">
      <c r="A4" s="172" t="str">
        <f>'Table of Contents'!A3:C3</f>
        <v>Base Period: Twelve Months Ended December 31, 2018</v>
      </c>
      <c r="B4" s="298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</row>
    <row r="5" spans="1:16">
      <c r="A5" s="172" t="str">
        <f>'Table of Contents'!A4:C4</f>
        <v>Forecasted Test Period: Twelve Months Ended March 31, 2020</v>
      </c>
      <c r="B5" s="298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</row>
    <row r="6" spans="1:16">
      <c r="A6" s="172"/>
      <c r="B6" s="298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</row>
    <row r="7" spans="1:16">
      <c r="A7" s="584" t="s">
        <v>680</v>
      </c>
      <c r="O7" s="950" t="s">
        <v>1411</v>
      </c>
    </row>
    <row r="8" spans="1:16">
      <c r="A8" s="584" t="s">
        <v>539</v>
      </c>
      <c r="O8" s="784" t="s">
        <v>842</v>
      </c>
    </row>
    <row r="9" spans="1:16">
      <c r="A9" s="951" t="s">
        <v>426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52" t="str">
        <f>F.1!$F$9</f>
        <v>Witness: Waller</v>
      </c>
      <c r="P9" s="930"/>
    </row>
    <row r="10" spans="1:16">
      <c r="G10" s="946" t="s">
        <v>36</v>
      </c>
    </row>
    <row r="11" spans="1:16">
      <c r="A11" s="124" t="s">
        <v>93</v>
      </c>
      <c r="M11" s="121" t="s">
        <v>44</v>
      </c>
      <c r="O11" s="121" t="s">
        <v>43</v>
      </c>
    </row>
    <row r="12" spans="1:16">
      <c r="A12" s="947" t="s">
        <v>56</v>
      </c>
      <c r="B12" s="947" t="s">
        <v>985</v>
      </c>
      <c r="C12" s="953">
        <v>2013</v>
      </c>
      <c r="D12" s="649" t="s">
        <v>492</v>
      </c>
      <c r="E12" s="953">
        <v>2014</v>
      </c>
      <c r="F12" s="649" t="s">
        <v>492</v>
      </c>
      <c r="G12" s="953">
        <v>2015</v>
      </c>
      <c r="H12" s="649" t="s">
        <v>492</v>
      </c>
      <c r="I12" s="953">
        <v>2016</v>
      </c>
      <c r="J12" s="649" t="s">
        <v>492</v>
      </c>
      <c r="K12" s="953">
        <v>2017</v>
      </c>
      <c r="L12" s="649" t="s">
        <v>492</v>
      </c>
      <c r="M12" s="649" t="s">
        <v>538</v>
      </c>
      <c r="N12" s="649" t="s">
        <v>492</v>
      </c>
      <c r="O12" s="649" t="s">
        <v>538</v>
      </c>
      <c r="P12" s="930"/>
    </row>
    <row r="14" spans="1:16">
      <c r="A14" s="765">
        <f t="shared" ref="A14:A50" si="0">+A13+1</f>
        <v>1</v>
      </c>
    </row>
    <row r="15" spans="1:16">
      <c r="A15" s="765">
        <f t="shared" si="0"/>
        <v>2</v>
      </c>
      <c r="C15" s="124"/>
      <c r="E15" s="124"/>
      <c r="F15" s="124"/>
      <c r="G15" s="124"/>
      <c r="I15" s="124"/>
      <c r="K15" s="124"/>
      <c r="M15" s="124"/>
      <c r="O15" s="124"/>
    </row>
    <row r="16" spans="1:16">
      <c r="A16" s="765">
        <f t="shared" si="0"/>
        <v>3</v>
      </c>
      <c r="B16" s="948" t="s">
        <v>740</v>
      </c>
      <c r="C16" s="131"/>
      <c r="E16" s="131"/>
      <c r="F16" s="131"/>
      <c r="G16" s="131"/>
      <c r="I16" s="131"/>
      <c r="K16" s="131"/>
      <c r="M16" s="131"/>
      <c r="O16" s="131"/>
    </row>
    <row r="17" spans="1:19">
      <c r="A17" s="765">
        <f t="shared" si="0"/>
        <v>4</v>
      </c>
      <c r="B17" s="784" t="s">
        <v>789</v>
      </c>
      <c r="C17" s="131">
        <v>410825.02</v>
      </c>
      <c r="D17" s="577">
        <f>ROUND((E17-C17)/C17,4)</f>
        <v>-1.6000000000000001E-3</v>
      </c>
      <c r="E17" s="131">
        <v>410170.87</v>
      </c>
      <c r="F17" s="577">
        <f>ROUND((G17-E17)/E17,4)</f>
        <v>-1.6000000000000001E-3</v>
      </c>
      <c r="G17" s="131">
        <v>409514.33200000058</v>
      </c>
      <c r="H17" s="577">
        <f>ROUND((I17-G17)/G17,4)</f>
        <v>2.0299999999999999E-2</v>
      </c>
      <c r="I17" s="131">
        <v>417832.19999999827</v>
      </c>
      <c r="J17" s="577">
        <f>ROUND((K17-I17)/I17,4)</f>
        <v>-6.3299999999999995E-2</v>
      </c>
      <c r="K17" s="131">
        <v>391364.53</v>
      </c>
      <c r="L17" s="577">
        <f>ROUND((M17-K17)/K17,4)</f>
        <v>7.3599999999999999E-2</v>
      </c>
      <c r="M17" s="131">
        <f>M49*52*40</f>
        <v>420160</v>
      </c>
      <c r="N17" s="577">
        <f>ROUND((O17-M17)/M17,4)</f>
        <v>0</v>
      </c>
      <c r="O17" s="131">
        <f>O49*52*40</f>
        <v>420160</v>
      </c>
    </row>
    <row r="18" spans="1:19">
      <c r="A18" s="765">
        <f t="shared" si="0"/>
        <v>5</v>
      </c>
      <c r="B18" s="784" t="s">
        <v>17</v>
      </c>
      <c r="C18" s="645">
        <v>18473.259999999998</v>
      </c>
      <c r="D18" s="577">
        <f>ROUND((E18-C18)/C18,4)</f>
        <v>0.15010000000000001</v>
      </c>
      <c r="E18" s="645">
        <v>21245.75</v>
      </c>
      <c r="F18" s="577">
        <f>ROUND((G18-E18)/E18,4)</f>
        <v>6.6199999999999995E-2</v>
      </c>
      <c r="G18" s="645">
        <v>22653</v>
      </c>
      <c r="H18" s="577">
        <f>ROUND((I18-G18)/G18,4)</f>
        <v>6.6900000000000001E-2</v>
      </c>
      <c r="I18" s="645">
        <v>24168.75</v>
      </c>
      <c r="J18" s="577">
        <f>ROUND((K18-I18)/I18,4)</f>
        <v>9.7000000000000003E-3</v>
      </c>
      <c r="K18" s="645">
        <v>24403</v>
      </c>
      <c r="L18" s="577">
        <f>ROUND((M18-K18)/K18,4)</f>
        <v>3.3500000000000002E-2</v>
      </c>
      <c r="M18" s="645">
        <f>($I$18+$K$18)/($I$17+$K$17)*M17</f>
        <v>25219.956684698962</v>
      </c>
      <c r="N18" s="577">
        <f>ROUND((O18-M18)/M18,4)</f>
        <v>0</v>
      </c>
      <c r="O18" s="645">
        <f>($I$18+$K$18)/($I$17+$K$17)*O17</f>
        <v>25219.956684698962</v>
      </c>
    </row>
    <row r="19" spans="1:19">
      <c r="A19" s="765">
        <f t="shared" si="0"/>
        <v>6</v>
      </c>
      <c r="B19" s="784" t="s">
        <v>973</v>
      </c>
      <c r="C19" s="113">
        <f>(C17+C18)</f>
        <v>429298.28</v>
      </c>
      <c r="D19" s="577">
        <f>ROUND((E19-C19)/C19,4)</f>
        <v>4.8999999999999998E-3</v>
      </c>
      <c r="E19" s="113">
        <f>(E17+E18)</f>
        <v>431416.62</v>
      </c>
      <c r="F19" s="577">
        <f>ROUND((G19-E19)/E19,4)</f>
        <v>1.6999999999999999E-3</v>
      </c>
      <c r="G19" s="113">
        <f>(G17+G18)</f>
        <v>432167.33200000058</v>
      </c>
      <c r="H19" s="577">
        <f>ROUND((M19-G19)/G19,4)</f>
        <v>3.0599999999999999E-2</v>
      </c>
      <c r="I19" s="113">
        <f>(I17+I18)</f>
        <v>442000.94999999827</v>
      </c>
      <c r="J19" s="577">
        <f>ROUND((O19-I19)/I19,4)</f>
        <v>7.6E-3</v>
      </c>
      <c r="K19" s="113">
        <f>(K17+K18)</f>
        <v>415767.53</v>
      </c>
      <c r="L19" s="577">
        <f>ROUND((M19-K19)/K19,4)</f>
        <v>7.1199999999999999E-2</v>
      </c>
      <c r="M19" s="113">
        <f>(M17+M18)</f>
        <v>445379.95668469893</v>
      </c>
      <c r="N19" s="577">
        <f>ROUND((O19-M19)/M19,4)</f>
        <v>0</v>
      </c>
      <c r="O19" s="113">
        <f>(O17+O18)</f>
        <v>445379.95668469893</v>
      </c>
    </row>
    <row r="20" spans="1:19">
      <c r="A20" s="765">
        <f t="shared" si="0"/>
        <v>7</v>
      </c>
      <c r="B20" s="784" t="s">
        <v>18</v>
      </c>
    </row>
    <row r="21" spans="1:19">
      <c r="A21" s="765">
        <f t="shared" si="0"/>
        <v>8</v>
      </c>
      <c r="B21" s="784" t="s">
        <v>60</v>
      </c>
      <c r="C21" s="132">
        <f>ROUND((C18/C17),5)</f>
        <v>4.4970000000000003E-2</v>
      </c>
      <c r="E21" s="132">
        <f>ROUND((E18/E17),5)</f>
        <v>5.1799999999999999E-2</v>
      </c>
      <c r="G21" s="132">
        <f>ROUND((G18/G17),5)</f>
        <v>5.5320000000000001E-2</v>
      </c>
      <c r="I21" s="132">
        <f>ROUND((I18/I17),5)</f>
        <v>5.7840000000000003E-2</v>
      </c>
      <c r="K21" s="132">
        <f>ROUND((K18/K17),5)</f>
        <v>6.2350000000000003E-2</v>
      </c>
      <c r="M21" s="132">
        <f>ROUND((M18/M17),5)</f>
        <v>6.0019999999999997E-2</v>
      </c>
      <c r="O21" s="132">
        <f>ROUND((O18/O17),5)</f>
        <v>6.0019999999999997E-2</v>
      </c>
    </row>
    <row r="22" spans="1:19">
      <c r="A22" s="765">
        <f t="shared" si="0"/>
        <v>9</v>
      </c>
      <c r="C22" s="131"/>
      <c r="E22" s="131"/>
      <c r="G22" s="131"/>
      <c r="I22" s="131"/>
      <c r="K22" s="131"/>
      <c r="M22" s="131"/>
      <c r="O22" s="131"/>
    </row>
    <row r="23" spans="1:19">
      <c r="A23" s="765">
        <f t="shared" si="0"/>
        <v>10</v>
      </c>
      <c r="B23" s="948" t="s">
        <v>741</v>
      </c>
      <c r="C23" s="131"/>
      <c r="E23" s="131"/>
      <c r="G23" s="131"/>
      <c r="I23" s="131"/>
      <c r="K23" s="131"/>
      <c r="M23" s="131"/>
      <c r="O23" s="131"/>
    </row>
    <row r="24" spans="1:19">
      <c r="A24" s="765">
        <f t="shared" si="0"/>
        <v>11</v>
      </c>
      <c r="B24" s="784" t="s">
        <v>742</v>
      </c>
      <c r="C24" s="131">
        <v>10464861.35</v>
      </c>
      <c r="D24" s="577">
        <f>ROUND((E24-C24)/C24,4)</f>
        <v>1.29E-2</v>
      </c>
      <c r="E24" s="131">
        <v>10599619.02</v>
      </c>
      <c r="F24" s="577">
        <f>ROUND((G24-E24)/E24,4)</f>
        <v>3.5400000000000001E-2</v>
      </c>
      <c r="G24" s="131">
        <v>10974506.419999918</v>
      </c>
      <c r="H24" s="577">
        <f>ROUND((I24-G24)/G24,4)</f>
        <v>7.17E-2</v>
      </c>
      <c r="I24" s="131">
        <v>11761378.790000012</v>
      </c>
      <c r="J24" s="577">
        <f>ROUND((K24-I24)/I24,4)</f>
        <v>-3.2899999999999999E-2</v>
      </c>
      <c r="K24" s="131">
        <v>11374568.020000031</v>
      </c>
      <c r="L24" s="577">
        <f>ROUND((M24-K24)/K24,4)</f>
        <v>-1.5E-3</v>
      </c>
      <c r="M24" s="637">
        <f>M26-M25</f>
        <v>11357942.635001972</v>
      </c>
      <c r="N24" s="577">
        <f>ROUND((O24-M24)/M24,4)</f>
        <v>1.1599999999999999E-2</v>
      </c>
      <c r="O24" s="637">
        <f>O26-O25</f>
        <v>11489522.997101581</v>
      </c>
    </row>
    <row r="25" spans="1:19">
      <c r="A25" s="765">
        <f t="shared" si="0"/>
        <v>12</v>
      </c>
      <c r="B25" s="784" t="s">
        <v>19</v>
      </c>
      <c r="C25" s="645">
        <v>657641.64</v>
      </c>
      <c r="D25" s="577">
        <f>ROUND((E25-C25)/C25,4)</f>
        <v>0.15989999999999999</v>
      </c>
      <c r="E25" s="645">
        <v>762823.65</v>
      </c>
      <c r="F25" s="577">
        <f>ROUND((G25-E25)/E25,4)</f>
        <v>9.9099999999999994E-2</v>
      </c>
      <c r="G25" s="645">
        <v>838414.80999999994</v>
      </c>
      <c r="H25" s="577">
        <f>ROUND((I25-G25)/G25,4)</f>
        <v>0.11260000000000001</v>
      </c>
      <c r="I25" s="645">
        <v>932823.32999999973</v>
      </c>
      <c r="J25" s="577">
        <f>ROUND((K25-I25)/I25,4)</f>
        <v>5.6500000000000002E-2</v>
      </c>
      <c r="K25" s="645">
        <v>985484.89999999932</v>
      </c>
      <c r="L25" s="577">
        <f>ROUND((M25-K25)/K25,4)</f>
        <v>4.2799999999999998E-2</v>
      </c>
      <c r="M25" s="644">
        <f>AVERAGE(I28,K28)*M26</f>
        <v>1027698.5797980301</v>
      </c>
      <c r="N25" s="577">
        <f>ROUND((O25-M25)/M25,4)</f>
        <v>8.6300000000000002E-2</v>
      </c>
      <c r="O25" s="644">
        <f>AVERAGE(K28,M28)*O26</f>
        <v>1116378.6498544237</v>
      </c>
    </row>
    <row r="26" spans="1:19">
      <c r="A26" s="765">
        <f t="shared" si="0"/>
        <v>13</v>
      </c>
      <c r="B26" s="784" t="s">
        <v>787</v>
      </c>
      <c r="C26" s="113">
        <f>(C24+C25)</f>
        <v>11122502.99</v>
      </c>
      <c r="D26" s="577">
        <f>ROUND((E26-C26)/C26,4)</f>
        <v>2.1600000000000001E-2</v>
      </c>
      <c r="E26" s="113">
        <f>(E24+E25)</f>
        <v>11362442.67</v>
      </c>
      <c r="F26" s="577">
        <f>ROUND((G26-E26)/E26,4)</f>
        <v>3.9600000000000003E-2</v>
      </c>
      <c r="G26" s="113">
        <f>(G24+G25)</f>
        <v>11812921.229999918</v>
      </c>
      <c r="H26" s="577">
        <f>ROUND((I26-G26)/G26,4)</f>
        <v>7.46E-2</v>
      </c>
      <c r="I26" s="113">
        <f>(I24+I25)</f>
        <v>12694202.120000012</v>
      </c>
      <c r="J26" s="577">
        <f>ROUND((K26-I26)/I26,4)</f>
        <v>-2.63E-2</v>
      </c>
      <c r="K26" s="113">
        <f>(K24+K25)</f>
        <v>12360052.92000003</v>
      </c>
      <c r="L26" s="577">
        <f>ROUND((M26-K26)/K26,4)</f>
        <v>2.0999999999999999E-3</v>
      </c>
      <c r="M26" s="637">
        <f>M30/'[29]Div 9'!$B$35</f>
        <v>12385641.214800002</v>
      </c>
      <c r="N26" s="577">
        <f>ROUND((O26-M26)/M26,4)</f>
        <v>1.78E-2</v>
      </c>
      <c r="O26" s="637">
        <f>O30/'[29]Div 9'!$B$43</f>
        <v>12605901.646956004</v>
      </c>
      <c r="R26" s="424"/>
      <c r="S26" s="424"/>
    </row>
    <row r="27" spans="1:19">
      <c r="A27" s="765">
        <f t="shared" si="0"/>
        <v>14</v>
      </c>
      <c r="B27" s="784" t="s">
        <v>20</v>
      </c>
    </row>
    <row r="28" spans="1:19">
      <c r="A28" s="765">
        <f t="shared" si="0"/>
        <v>15</v>
      </c>
      <c r="B28" s="784" t="s">
        <v>1039</v>
      </c>
      <c r="C28" s="132">
        <f>ROUND((C25/C24),5)</f>
        <v>6.2839999999999993E-2</v>
      </c>
      <c r="E28" s="132">
        <f>ROUND((E25/E24),5)</f>
        <v>7.1970000000000006E-2</v>
      </c>
      <c r="G28" s="132">
        <f>ROUND((G25/G24),5)</f>
        <v>7.6399999999999996E-2</v>
      </c>
      <c r="I28" s="132">
        <f>ROUND((I25/I24),5)</f>
        <v>7.9310000000000005E-2</v>
      </c>
      <c r="K28" s="132">
        <f>ROUND((K25/K24),5)</f>
        <v>8.6639999999999995E-2</v>
      </c>
      <c r="M28" s="132">
        <f>ROUND((M25/M24),5)</f>
        <v>9.0480000000000005E-2</v>
      </c>
      <c r="O28" s="132">
        <f>ROUND((O25/O24),5)</f>
        <v>9.7159999999999996E-2</v>
      </c>
    </row>
    <row r="29" spans="1:19">
      <c r="A29" s="765">
        <f t="shared" si="0"/>
        <v>16</v>
      </c>
      <c r="C29" s="131"/>
      <c r="E29" s="131"/>
      <c r="G29" s="131"/>
      <c r="I29" s="131"/>
      <c r="K29" s="131"/>
      <c r="M29" s="131"/>
      <c r="O29" s="131"/>
    </row>
    <row r="30" spans="1:19">
      <c r="A30" s="765">
        <f t="shared" si="0"/>
        <v>17</v>
      </c>
      <c r="B30" s="784" t="s">
        <v>61</v>
      </c>
      <c r="C30" s="131">
        <v>5094063.0600000005</v>
      </c>
      <c r="D30" s="577">
        <f>ROUND((E30-C30)/C30,4)</f>
        <v>-1.84E-2</v>
      </c>
      <c r="E30" s="131">
        <v>5000231.1099999994</v>
      </c>
      <c r="F30" s="577">
        <f>ROUND((G30-E30)/E30,4)</f>
        <v>1.61E-2</v>
      </c>
      <c r="G30" s="131">
        <v>5080811.6300000008</v>
      </c>
      <c r="H30" s="577">
        <f>ROUND((M30-G30)/G30,4)</f>
        <v>4.2599999999999999E-2</v>
      </c>
      <c r="I30" s="131">
        <v>5185743.3400000017</v>
      </c>
      <c r="J30" s="577">
        <f>ROUND((O30-I30)/I30,4)</f>
        <v>-1.32E-2</v>
      </c>
      <c r="K30" s="131">
        <v>5163405.0999999996</v>
      </c>
      <c r="L30" s="577">
        <f>ROUND((M30-K30)/K30,4)</f>
        <v>2.5899999999999999E-2</v>
      </c>
      <c r="M30" s="131">
        <f>'[13]O&amp;M Comparison'!$C$6</f>
        <v>5297266.2966</v>
      </c>
      <c r="N30" s="577">
        <f>ROUND((O30-M30)/M30,4)</f>
        <v>-3.4000000000000002E-2</v>
      </c>
      <c r="O30" s="131">
        <f>'[13]O&amp;M Comparison'!$D$6</f>
        <v>5117357.1447500009</v>
      </c>
    </row>
    <row r="31" spans="1:19">
      <c r="A31" s="765">
        <f t="shared" si="0"/>
        <v>18</v>
      </c>
      <c r="B31" s="784" t="s">
        <v>62</v>
      </c>
    </row>
    <row r="32" spans="1:19">
      <c r="A32" s="765">
        <f t="shared" si="0"/>
        <v>19</v>
      </c>
      <c r="B32" s="784" t="s">
        <v>616</v>
      </c>
      <c r="C32" s="132">
        <f>ROUND((C30/C26),5)</f>
        <v>0.45800000000000002</v>
      </c>
      <c r="E32" s="132">
        <f>ROUND((E30/E26),5)</f>
        <v>0.44007000000000002</v>
      </c>
      <c r="G32" s="132">
        <f>ROUND((G30/G26),5)</f>
        <v>0.43010999999999999</v>
      </c>
      <c r="I32" s="132">
        <f>ROUND((I30/I26),5)</f>
        <v>0.40850999999999998</v>
      </c>
      <c r="K32" s="132">
        <f>ROUND((K30/K26),5)</f>
        <v>0.41775000000000001</v>
      </c>
      <c r="M32" s="132">
        <f>ROUND((M30/M26),5)</f>
        <v>0.42769000000000001</v>
      </c>
      <c r="O32" s="132">
        <f>ROUND((O30/O26),5)</f>
        <v>0.40594999999999998</v>
      </c>
    </row>
    <row r="33" spans="1:16">
      <c r="A33" s="765">
        <f t="shared" si="0"/>
        <v>20</v>
      </c>
    </row>
    <row r="34" spans="1:16">
      <c r="A34" s="765">
        <f t="shared" si="0"/>
        <v>21</v>
      </c>
      <c r="B34" s="948" t="s">
        <v>617</v>
      </c>
      <c r="C34" s="131"/>
      <c r="E34" s="131"/>
      <c r="G34" s="131"/>
      <c r="I34" s="131"/>
      <c r="K34" s="131"/>
      <c r="M34" s="131"/>
      <c r="O34" s="131"/>
    </row>
    <row r="35" spans="1:16">
      <c r="A35" s="765">
        <f t="shared" si="0"/>
        <v>22</v>
      </c>
      <c r="B35" s="784" t="s">
        <v>735</v>
      </c>
      <c r="C35" s="108">
        <v>6062525.1250055488</v>
      </c>
      <c r="D35" s="577">
        <f>ROUND((E35-C35)/C35,4)</f>
        <v>1.4200000000000001E-2</v>
      </c>
      <c r="E35" s="108">
        <v>6148915.5516105723</v>
      </c>
      <c r="F35" s="577">
        <f>ROUND((G35-E35)/E35,4)</f>
        <v>-0.14269999999999999</v>
      </c>
      <c r="G35" s="108">
        <v>5271507.9448322468</v>
      </c>
      <c r="H35" s="577">
        <f>ROUND((I35-G35)/G35,4)</f>
        <v>-0.13750000000000001</v>
      </c>
      <c r="I35" s="108">
        <v>4546845.1048137397</v>
      </c>
      <c r="J35" s="577">
        <f>ROUND((K35-I35)/I35,4)</f>
        <v>-1.38E-2</v>
      </c>
      <c r="K35" s="108">
        <v>4483971.3101346642</v>
      </c>
      <c r="L35" s="577">
        <f>ROUND((M35-K35)/K35,4)</f>
        <v>-0.1065</v>
      </c>
      <c r="M35" s="108">
        <f>M36/M32</f>
        <v>4006507.0576819656</v>
      </c>
      <c r="N35" s="577">
        <f>ROUND((O35-M35)/M35,4)</f>
        <v>4.3099999999999999E-2</v>
      </c>
      <c r="O35" s="108">
        <f>O36/O32</f>
        <v>4179268.9961270373</v>
      </c>
      <c r="P35" s="108"/>
    </row>
    <row r="36" spans="1:16">
      <c r="A36" s="765">
        <f t="shared" si="0"/>
        <v>23</v>
      </c>
      <c r="B36" s="784" t="s">
        <v>736</v>
      </c>
      <c r="C36" s="131">
        <v>2972341.1200000118</v>
      </c>
      <c r="D36" s="577">
        <f>ROUND((E36-C36)/C36,4)</f>
        <v>-5.5399999999999998E-2</v>
      </c>
      <c r="E36" s="131">
        <v>2807745.5500000049</v>
      </c>
      <c r="F36" s="577">
        <f>ROUND((G36-E36)/E36,4)</f>
        <v>-0.184</v>
      </c>
      <c r="G36" s="131">
        <v>2291156.16</v>
      </c>
      <c r="H36" s="577">
        <f>ROUND((I36-G36)/G36,4)</f>
        <v>-0.15770000000000001</v>
      </c>
      <c r="I36" s="131">
        <v>1929817.6199999994</v>
      </c>
      <c r="J36" s="577">
        <f>ROUND((K36-I36)/I36,4)</f>
        <v>4.7999999999999996E-3</v>
      </c>
      <c r="K36" s="131">
        <v>1939113.04</v>
      </c>
      <c r="L36" s="577">
        <f>ROUND((M36-K36)/K36,4)</f>
        <v>-0.1163</v>
      </c>
      <c r="M36" s="131">
        <f>'[13]O&amp;M Comparison'!$C$7</f>
        <v>1713543.0034999999</v>
      </c>
      <c r="N36" s="577">
        <f>ROUND((O36-M36)/M36,4)</f>
        <v>-9.9000000000000008E-3</v>
      </c>
      <c r="O36" s="131">
        <f>'[13]O&amp;M Comparison'!$D$7</f>
        <v>1696574.2489777708</v>
      </c>
      <c r="P36" s="108"/>
    </row>
    <row r="37" spans="1:16">
      <c r="A37" s="765">
        <f t="shared" si="0"/>
        <v>24</v>
      </c>
      <c r="B37" s="784" t="s">
        <v>795</v>
      </c>
    </row>
    <row r="38" spans="1:16">
      <c r="A38" s="765">
        <f t="shared" si="0"/>
        <v>25</v>
      </c>
      <c r="B38" s="584" t="s">
        <v>796</v>
      </c>
      <c r="C38" s="424"/>
      <c r="E38" s="424"/>
      <c r="G38" s="424"/>
      <c r="I38" s="424"/>
      <c r="K38" s="424"/>
    </row>
    <row r="39" spans="1:16">
      <c r="A39" s="765">
        <f t="shared" si="0"/>
        <v>26</v>
      </c>
      <c r="B39" s="784" t="s">
        <v>797</v>
      </c>
      <c r="C39" s="132">
        <f>ROUND((C36/C35),5)</f>
        <v>0.49027999999999999</v>
      </c>
      <c r="E39" s="132">
        <f>ROUND((E36/E35),5)</f>
        <v>0.45662000000000003</v>
      </c>
      <c r="G39" s="132">
        <f>ROUND((G36/G35),5)</f>
        <v>0.43463000000000002</v>
      </c>
      <c r="I39" s="132">
        <f>ROUND((I36/I35),5)</f>
        <v>0.42442999999999997</v>
      </c>
      <c r="K39" s="132">
        <f>ROUND((K36/K35),5)</f>
        <v>0.43245</v>
      </c>
      <c r="M39" s="132">
        <f>ROUND((M36/M35),5)</f>
        <v>0.42769000000000001</v>
      </c>
      <c r="O39" s="132">
        <f>ROUND((O36/O35),5)</f>
        <v>0.40594999999999998</v>
      </c>
    </row>
    <row r="40" spans="1:16">
      <c r="A40" s="765">
        <f t="shared" si="0"/>
        <v>27</v>
      </c>
    </row>
    <row r="41" spans="1:16">
      <c r="A41" s="765">
        <f t="shared" si="0"/>
        <v>28</v>
      </c>
      <c r="B41" s="620" t="s">
        <v>798</v>
      </c>
    </row>
    <row r="42" spans="1:16">
      <c r="A42" s="765">
        <f t="shared" si="0"/>
        <v>29</v>
      </c>
      <c r="B42" s="784" t="s">
        <v>632</v>
      </c>
      <c r="C42" s="108">
        <v>842967.71</v>
      </c>
      <c r="D42" s="577">
        <f>ROUND((E42-C42)/C42,4)</f>
        <v>0.3266</v>
      </c>
      <c r="E42" s="108">
        <v>1118267.5799999991</v>
      </c>
      <c r="F42" s="577">
        <f>ROUND((G42-E42)/E42,4)</f>
        <v>-0.1988</v>
      </c>
      <c r="G42" s="108">
        <v>895950.11999999988</v>
      </c>
      <c r="H42" s="577">
        <f>ROUND((I42-G42)/G42,4)</f>
        <v>0.1061</v>
      </c>
      <c r="I42" s="108">
        <v>991045.14</v>
      </c>
      <c r="J42" s="577">
        <f>ROUND((K42-I42)/I42,4)</f>
        <v>6.6600000000000006E-2</v>
      </c>
      <c r="K42" s="108">
        <v>1057090.6599999999</v>
      </c>
      <c r="L42" s="577">
        <f>ROUND((M42-K42)/K42,4)</f>
        <v>-0.2077</v>
      </c>
      <c r="M42" s="108">
        <f>M43/M32</f>
        <v>837558.30157356965</v>
      </c>
      <c r="N42" s="577">
        <f>ROUND((O42-M42)/M42,4)</f>
        <v>4.6899999999999997E-2</v>
      </c>
      <c r="O42" s="108">
        <f>O43/O32</f>
        <v>876857.93028698117</v>
      </c>
      <c r="P42" s="108"/>
    </row>
    <row r="43" spans="1:16">
      <c r="A43" s="765">
        <f t="shared" si="0"/>
        <v>30</v>
      </c>
      <c r="B43" s="784" t="s">
        <v>1103</v>
      </c>
      <c r="C43" s="131">
        <v>335033.08</v>
      </c>
      <c r="D43" s="577">
        <f>ROUND((E43-C43)/C43,4)</f>
        <v>8.0000000000000004E-4</v>
      </c>
      <c r="E43" s="131">
        <v>335294.49000000005</v>
      </c>
      <c r="F43" s="577">
        <f>ROUND((G43-E43)/E43,4)</f>
        <v>4.1200000000000001E-2</v>
      </c>
      <c r="G43" s="131">
        <v>349096.97</v>
      </c>
      <c r="H43" s="577">
        <f>ROUND((I43-G43)/G43,4)</f>
        <v>8.0299999999999996E-2</v>
      </c>
      <c r="I43" s="131">
        <v>377117.52</v>
      </c>
      <c r="J43" s="577">
        <f>ROUND((K43-I43)/I43,4)</f>
        <v>-0.111</v>
      </c>
      <c r="K43" s="131">
        <v>335252.98000000004</v>
      </c>
      <c r="L43" s="577">
        <f>ROUND((M43-K43)/K43,4)</f>
        <v>6.8500000000000005E-2</v>
      </c>
      <c r="M43" s="108">
        <f>SUM('C.2.3 B'!O12:O14)</f>
        <v>358215.31</v>
      </c>
      <c r="N43" s="577">
        <f>ROUND((O43-M43)/M43,4)</f>
        <v>-6.3E-3</v>
      </c>
      <c r="O43" s="108">
        <f>SUM('C.2.3 F'!O13:O15)</f>
        <v>355960.4768</v>
      </c>
      <c r="P43" s="108"/>
    </row>
    <row r="44" spans="1:16">
      <c r="A44" s="765">
        <f t="shared" si="0"/>
        <v>31</v>
      </c>
      <c r="B44" s="784" t="s">
        <v>629</v>
      </c>
    </row>
    <row r="45" spans="1:16">
      <c r="A45" s="765">
        <f t="shared" si="0"/>
        <v>32</v>
      </c>
      <c r="B45" s="784" t="s">
        <v>630</v>
      </c>
    </row>
    <row r="46" spans="1:16">
      <c r="A46" s="765">
        <f t="shared" si="0"/>
        <v>33</v>
      </c>
      <c r="B46" s="584" t="s">
        <v>634</v>
      </c>
      <c r="C46" s="132">
        <f>ROUND((C43/C42),5)</f>
        <v>0.39744000000000002</v>
      </c>
      <c r="D46" s="132"/>
      <c r="E46" s="132">
        <f>ROUND((E43/E42),5)</f>
        <v>0.29982999999999999</v>
      </c>
      <c r="G46" s="132">
        <f>ROUND((G43/G42),5)</f>
        <v>0.38963999999999999</v>
      </c>
      <c r="I46" s="132">
        <f>ROUND((I43/I42),5)</f>
        <v>0.38052999999999998</v>
      </c>
      <c r="K46" s="132">
        <f>ROUND((K43/K42),5)</f>
        <v>0.31714999999999999</v>
      </c>
      <c r="M46" s="132">
        <f>ROUND((M43/M42),5)</f>
        <v>0.42769000000000001</v>
      </c>
      <c r="O46" s="132">
        <f>ROUND((O43/O42),5)</f>
        <v>0.40594999999999998</v>
      </c>
    </row>
    <row r="47" spans="1:16">
      <c r="A47" s="765">
        <f t="shared" si="0"/>
        <v>34</v>
      </c>
    </row>
    <row r="48" spans="1:16">
      <c r="A48" s="765">
        <f t="shared" si="0"/>
        <v>35</v>
      </c>
      <c r="B48" s="948" t="s">
        <v>1158</v>
      </c>
    </row>
    <row r="49" spans="1:19">
      <c r="A49" s="765">
        <f t="shared" si="0"/>
        <v>36</v>
      </c>
      <c r="B49" s="784" t="s">
        <v>1159</v>
      </c>
      <c r="C49" s="103">
        <v>211</v>
      </c>
      <c r="D49" s="1151">
        <f>ROUND((E49-C49)/C49,4)</f>
        <v>1.9E-2</v>
      </c>
      <c r="E49" s="103">
        <v>215</v>
      </c>
      <c r="F49" s="577">
        <f>ROUND((G49-E49)/E49,4)</f>
        <v>-1.8599999999999998E-2</v>
      </c>
      <c r="G49" s="103">
        <v>211</v>
      </c>
      <c r="H49" s="577">
        <f>ROUND((I49-G49)/G49,4)</f>
        <v>1.9E-2</v>
      </c>
      <c r="I49" s="103">
        <v>215</v>
      </c>
      <c r="J49" s="577">
        <f>ROUND((K49-I49)/I49,4)</f>
        <v>-4.19E-2</v>
      </c>
      <c r="K49" s="103">
        <v>206</v>
      </c>
      <c r="L49" s="577">
        <f>ROUND((M49-K49)/K49,4)</f>
        <v>-1.9400000000000001E-2</v>
      </c>
      <c r="M49" s="954">
        <f>M50</f>
        <v>202</v>
      </c>
      <c r="N49" s="577">
        <f>ROUND((O49-M49)/M49,4)</f>
        <v>0</v>
      </c>
      <c r="O49" s="954">
        <f>O50</f>
        <v>202</v>
      </c>
    </row>
    <row r="50" spans="1:19">
      <c r="A50" s="765">
        <f t="shared" si="0"/>
        <v>37</v>
      </c>
      <c r="B50" s="784" t="s">
        <v>1160</v>
      </c>
      <c r="C50" s="133">
        <v>213</v>
      </c>
      <c r="D50" s="577">
        <f>ROUND((E50-C50)/C50,4)</f>
        <v>2.35E-2</v>
      </c>
      <c r="E50" s="133">
        <v>218</v>
      </c>
      <c r="F50" s="577">
        <f>ROUND((G50-E50)/E50,4)</f>
        <v>-2.29E-2</v>
      </c>
      <c r="G50" s="133">
        <v>213</v>
      </c>
      <c r="H50" s="577">
        <f>ROUND((I50-G50)/G50,4)</f>
        <v>2.35E-2</v>
      </c>
      <c r="I50" s="133">
        <v>218</v>
      </c>
      <c r="J50" s="577">
        <f>ROUND((K50-I50)/I50,4)</f>
        <v>-7.3400000000000007E-2</v>
      </c>
      <c r="K50" s="133">
        <v>202</v>
      </c>
      <c r="L50" s="577">
        <f>ROUND((M50-K50)/K50,4)</f>
        <v>0</v>
      </c>
      <c r="M50" s="954">
        <v>202</v>
      </c>
      <c r="N50" s="577">
        <f>ROUND((O50-M50)/M50,4)</f>
        <v>0</v>
      </c>
      <c r="O50" s="954">
        <v>202</v>
      </c>
    </row>
    <row r="52" spans="1:19">
      <c r="R52" s="108"/>
    </row>
    <row r="53" spans="1:19">
      <c r="R53" s="108"/>
    </row>
    <row r="54" spans="1:19">
      <c r="B54" s="659" t="s">
        <v>239</v>
      </c>
    </row>
    <row r="55" spans="1:19">
      <c r="B55" s="659" t="s">
        <v>1394</v>
      </c>
    </row>
    <row r="58" spans="1:19">
      <c r="B58" s="103" t="s">
        <v>1236</v>
      </c>
      <c r="R58" s="108"/>
      <c r="S58" s="108"/>
    </row>
    <row r="59" spans="1:19">
      <c r="B59" s="659" t="s">
        <v>1304</v>
      </c>
      <c r="R59" s="108"/>
      <c r="S59" s="108"/>
    </row>
    <row r="60" spans="1:19">
      <c r="B60" s="103" t="s">
        <v>1623</v>
      </c>
    </row>
    <row r="61" spans="1:19">
      <c r="B61" s="103" t="s">
        <v>1624</v>
      </c>
    </row>
    <row r="67" spans="1:15">
      <c r="A67" s="124"/>
    </row>
    <row r="68" spans="1:15">
      <c r="A68" s="124"/>
      <c r="B68" s="124"/>
      <c r="G68" s="949"/>
      <c r="I68" s="949"/>
      <c r="K68" s="949"/>
      <c r="M68" s="949"/>
      <c r="O68" s="949"/>
    </row>
    <row r="69" spans="1:15">
      <c r="G69" s="131"/>
    </row>
    <row r="70" spans="1:15">
      <c r="A70" s="124"/>
    </row>
    <row r="71" spans="1:15">
      <c r="A71" s="124"/>
    </row>
    <row r="95" spans="7:17">
      <c r="G95" s="131"/>
      <c r="I95" s="131"/>
      <c r="K95" s="131"/>
      <c r="M95" s="131"/>
      <c r="O95" s="131"/>
      <c r="Q95" s="131"/>
    </row>
    <row r="96" spans="7:17">
      <c r="G96" s="131"/>
      <c r="I96" s="131"/>
      <c r="K96" s="131"/>
      <c r="M96" s="131"/>
      <c r="O96" s="131"/>
      <c r="Q96" s="131"/>
    </row>
    <row r="97" spans="7:17">
      <c r="G97" s="131"/>
      <c r="I97" s="131"/>
      <c r="K97" s="131"/>
      <c r="M97" s="131"/>
      <c r="O97" s="131"/>
      <c r="Q97" s="131"/>
    </row>
    <row r="98" spans="7:17">
      <c r="G98" s="131"/>
      <c r="I98" s="131"/>
      <c r="K98" s="131"/>
      <c r="M98" s="131"/>
      <c r="O98" s="131"/>
      <c r="Q98" s="131"/>
    </row>
    <row r="99" spans="7:17">
      <c r="G99" s="131"/>
      <c r="I99" s="131"/>
      <c r="K99" s="131"/>
      <c r="M99" s="131"/>
      <c r="O99" s="131"/>
      <c r="Q99" s="131"/>
    </row>
  </sheetData>
  <phoneticPr fontId="22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6"/>
  <sheetViews>
    <sheetView view="pageBreakPreview" zoomScale="90" zoomScaleNormal="90" zoomScaleSheetLayoutView="90" workbookViewId="0">
      <selection activeCell="F41" sqref="F41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9.77734375" style="1" customWidth="1"/>
    <col min="6" max="7" width="9.88671875" style="1" customWidth="1"/>
    <col min="8" max="8" width="14.88671875" style="1" bestFit="1" customWidth="1"/>
    <col min="9" max="9" width="6" style="1" bestFit="1" customWidth="1"/>
    <col min="10" max="10" width="11.88671875" style="1" customWidth="1"/>
    <col min="11" max="11" width="3.77734375" style="1" customWidth="1"/>
    <col min="12" max="12" width="15.77734375" style="1" customWidth="1"/>
    <col min="13" max="14" width="9.33203125" style="1" customWidth="1"/>
    <col min="15" max="15" width="8.6640625" style="1" customWidth="1"/>
    <col min="16" max="16" width="8" style="1" customWidth="1"/>
    <col min="17" max="17" width="10.77734375" style="1" customWidth="1"/>
    <col min="18" max="18" width="10.21875" style="1" customWidth="1"/>
    <col min="19" max="16384" width="8.44140625" style="1"/>
  </cols>
  <sheetData>
    <row r="1" spans="1:16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/>
    </row>
    <row r="2" spans="1:16">
      <c r="A2" s="172" t="str">
        <f>'Table of Contents'!A2:C2</f>
        <v>Kentucky Jurisdiction Case No. 2018-00281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/>
      <c r="P2"/>
    </row>
    <row r="3" spans="1:16">
      <c r="A3" s="89" t="s">
        <v>493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/>
      <c r="P3"/>
    </row>
    <row r="4" spans="1:16">
      <c r="A4" s="89" t="str">
        <f>'Table of Contents'!A3:C3</f>
        <v>Base Period: Twelve Months Ended December 31, 2018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/>
      <c r="P4"/>
    </row>
    <row r="5" spans="1:16">
      <c r="A5" s="89" t="str">
        <f>'Table of Contents'!A4:C4</f>
        <v>Forecasted Test Period: Twelve Months Ended March 31, 2020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/>
      <c r="P5"/>
    </row>
    <row r="6" spans="1:16">
      <c r="A6" s="174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/>
      <c r="P6"/>
    </row>
    <row r="7" spans="1:16">
      <c r="A7" s="90" t="s">
        <v>198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6" t="s">
        <v>1411</v>
      </c>
      <c r="M7" s="92"/>
      <c r="N7" s="92"/>
      <c r="O7"/>
      <c r="P7"/>
    </row>
    <row r="8" spans="1:16">
      <c r="A8" s="90" t="s">
        <v>1121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1" t="s">
        <v>625</v>
      </c>
      <c r="M8" s="92"/>
      <c r="N8" s="92"/>
      <c r="O8"/>
      <c r="P8"/>
    </row>
    <row r="9" spans="1:16">
      <c r="A9" s="91" t="s">
        <v>365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606" t="str">
        <f>F.1!$F$9</f>
        <v>Witness: Waller</v>
      </c>
      <c r="M9" s="93"/>
      <c r="N9" s="798"/>
      <c r="O9"/>
      <c r="P9"/>
    </row>
    <row r="10" spans="1:16" ht="15.75">
      <c r="A10" s="92"/>
      <c r="B10" s="92"/>
      <c r="C10" s="115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/>
      <c r="P10"/>
    </row>
    <row r="11" spans="1:16">
      <c r="A11" s="92"/>
      <c r="B11" s="92"/>
      <c r="C11" s="92"/>
      <c r="D11" s="92"/>
      <c r="E11" s="92"/>
      <c r="F11" s="92"/>
      <c r="G11" s="92"/>
      <c r="H11" s="400" t="s">
        <v>324</v>
      </c>
      <c r="I11" s="93"/>
      <c r="J11" s="93"/>
      <c r="K11" s="93"/>
      <c r="L11" s="400" t="s">
        <v>325</v>
      </c>
      <c r="M11" s="93"/>
      <c r="N11" s="93"/>
      <c r="O11"/>
      <c r="P11"/>
    </row>
    <row r="12" spans="1:16">
      <c r="A12" s="100" t="s">
        <v>93</v>
      </c>
      <c r="B12" s="92"/>
      <c r="C12" s="92"/>
      <c r="D12" s="646"/>
      <c r="E12" s="646" t="s">
        <v>1240</v>
      </c>
      <c r="F12" s="646"/>
      <c r="G12" s="646"/>
      <c r="H12" s="400" t="s">
        <v>102</v>
      </c>
      <c r="I12" s="93"/>
      <c r="J12" s="93"/>
      <c r="K12" s="93"/>
      <c r="L12" s="400" t="s">
        <v>102</v>
      </c>
      <c r="M12" s="92"/>
      <c r="N12" s="92"/>
      <c r="O12"/>
      <c r="P12"/>
    </row>
    <row r="13" spans="1:16">
      <c r="A13" s="101" t="s">
        <v>99</v>
      </c>
      <c r="B13" s="92"/>
      <c r="C13" s="101" t="s">
        <v>985</v>
      </c>
      <c r="D13" s="400"/>
      <c r="E13" s="404" t="s">
        <v>1238</v>
      </c>
      <c r="F13" s="400"/>
      <c r="G13" s="400"/>
      <c r="H13" s="101" t="s">
        <v>462</v>
      </c>
      <c r="I13" s="92"/>
      <c r="J13" s="101" t="s">
        <v>987</v>
      </c>
      <c r="K13" s="92"/>
      <c r="L13" s="101" t="s">
        <v>462</v>
      </c>
      <c r="M13" s="92"/>
      <c r="N13" s="92"/>
      <c r="O13"/>
      <c r="P13"/>
    </row>
    <row r="14" spans="1:16">
      <c r="A14" s="92"/>
      <c r="B14" s="92"/>
      <c r="C14" s="92"/>
      <c r="D14" s="92"/>
      <c r="E14" s="92"/>
      <c r="F14" s="92"/>
      <c r="G14" s="92"/>
      <c r="H14" s="100"/>
      <c r="I14" s="92"/>
      <c r="J14" s="100"/>
      <c r="K14" s="90"/>
      <c r="L14" s="100"/>
      <c r="M14" s="92"/>
      <c r="N14" s="92"/>
      <c r="O14"/>
      <c r="P14"/>
    </row>
    <row r="15" spans="1:16">
      <c r="A15" s="100" t="s">
        <v>366</v>
      </c>
      <c r="B15" s="92"/>
      <c r="C15" s="16" t="s">
        <v>1598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/>
      <c r="P15"/>
    </row>
    <row r="16" spans="1:16">
      <c r="A16" s="100">
        <f>A15+1</f>
        <v>2</v>
      </c>
      <c r="B16" s="92"/>
      <c r="C16" s="92"/>
      <c r="D16" s="92"/>
      <c r="E16" s="92"/>
      <c r="F16" s="92"/>
      <c r="G16" s="92"/>
      <c r="H16" s="103"/>
      <c r="I16" s="92"/>
      <c r="J16" s="92"/>
      <c r="K16" s="92"/>
      <c r="L16" s="103"/>
      <c r="M16" s="92"/>
      <c r="N16" s="92"/>
      <c r="O16"/>
      <c r="P16"/>
    </row>
    <row r="17" spans="1:17">
      <c r="A17" s="100">
        <f t="shared" ref="A17:A32" si="0">A16+1</f>
        <v>3</v>
      </c>
      <c r="B17" s="92"/>
      <c r="C17" s="16" t="s">
        <v>417</v>
      </c>
      <c r="D17" s="92"/>
      <c r="E17" s="92"/>
      <c r="F17" s="92"/>
      <c r="G17" s="92"/>
      <c r="H17" s="428"/>
      <c r="I17" s="92"/>
      <c r="J17" s="92"/>
      <c r="K17" s="92"/>
      <c r="L17" s="103"/>
      <c r="M17" s="92"/>
      <c r="N17" s="92"/>
      <c r="O17"/>
      <c r="P17"/>
    </row>
    <row r="18" spans="1:17">
      <c r="A18" s="100">
        <f t="shared" si="0"/>
        <v>4</v>
      </c>
      <c r="B18" s="92"/>
      <c r="C18" s="90" t="s">
        <v>1097</v>
      </c>
      <c r="D18" s="92"/>
      <c r="E18" s="92"/>
      <c r="F18" s="92"/>
      <c r="G18" s="92"/>
      <c r="H18" s="572">
        <f>[30]G.3!$G$20</f>
        <v>3378041.3</v>
      </c>
      <c r="I18" s="103"/>
      <c r="J18" s="572">
        <f>L18-H18</f>
        <v>135121.65200000023</v>
      </c>
      <c r="K18" s="103"/>
      <c r="L18" s="572">
        <f>H18*1.04</f>
        <v>3513162.952</v>
      </c>
      <c r="M18" s="55"/>
      <c r="N18" s="55"/>
      <c r="O18"/>
      <c r="P18" s="592"/>
      <c r="Q18" s="592"/>
    </row>
    <row r="19" spans="1:17">
      <c r="A19" s="100">
        <f t="shared" si="0"/>
        <v>5</v>
      </c>
      <c r="B19" s="92"/>
      <c r="C19" s="90" t="s">
        <v>1098</v>
      </c>
      <c r="D19" s="92"/>
      <c r="E19" s="92"/>
      <c r="F19" s="92"/>
      <c r="G19" s="92"/>
      <c r="H19" s="108">
        <f>[30]G.3!$G$21</f>
        <v>9311146.3711550012</v>
      </c>
      <c r="I19" s="103"/>
      <c r="J19" s="109">
        <f>L19-H19</f>
        <v>372445.85484619997</v>
      </c>
      <c r="K19" s="103"/>
      <c r="L19" s="572">
        <f>H19*1.04</f>
        <v>9683592.2260012012</v>
      </c>
      <c r="M19" s="90"/>
      <c r="N19" s="90"/>
      <c r="O19"/>
      <c r="P19" s="643"/>
      <c r="Q19" s="643"/>
    </row>
    <row r="20" spans="1:17">
      <c r="A20" s="100">
        <f t="shared" si="0"/>
        <v>6</v>
      </c>
      <c r="B20" s="92"/>
      <c r="C20" s="90" t="s">
        <v>1099</v>
      </c>
      <c r="D20" s="92"/>
      <c r="E20" s="92"/>
      <c r="F20" s="92"/>
      <c r="G20" s="92"/>
      <c r="H20" s="702">
        <f>SUM(H18:H19)</f>
        <v>12689187.671155002</v>
      </c>
      <c r="I20" s="103"/>
      <c r="J20" s="572">
        <f>SUM(J18:J19)</f>
        <v>507567.50684620021</v>
      </c>
      <c r="K20" s="103"/>
      <c r="L20" s="702">
        <f>SUM(L18:L19)</f>
        <v>13196755.178001201</v>
      </c>
      <c r="M20" s="92"/>
      <c r="O20"/>
      <c r="P20" s="643"/>
      <c r="Q20" s="643"/>
    </row>
    <row r="21" spans="1:17">
      <c r="A21" s="100">
        <f t="shared" si="0"/>
        <v>7</v>
      </c>
      <c r="B21" s="92"/>
      <c r="C21" s="92"/>
      <c r="D21" s="92"/>
      <c r="E21" s="92"/>
      <c r="F21" s="92"/>
      <c r="G21" s="92"/>
      <c r="H21" s="108"/>
      <c r="I21" s="103"/>
      <c r="J21" s="108"/>
      <c r="K21" s="103"/>
      <c r="L21" s="108"/>
      <c r="M21" s="92"/>
      <c r="O21"/>
      <c r="P21" s="643"/>
      <c r="Q21" s="643"/>
    </row>
    <row r="22" spans="1:17">
      <c r="A22" s="100">
        <f t="shared" si="0"/>
        <v>8</v>
      </c>
      <c r="B22" s="92"/>
      <c r="C22" s="16" t="s">
        <v>617</v>
      </c>
      <c r="D22" s="592"/>
      <c r="E22" s="92" t="str">
        <f>[30]G.3!$D$24</f>
        <v>FY17</v>
      </c>
      <c r="F22" s="92" t="str">
        <f>[30]G.3!$E$24</f>
        <v>FY18</v>
      </c>
      <c r="G22" s="92" t="str">
        <f>[30]G.3!$F$24</f>
        <v>Wtd Avg</v>
      </c>
      <c r="H22" s="103"/>
      <c r="I22" s="103"/>
      <c r="J22" s="103"/>
      <c r="K22" s="103"/>
      <c r="L22" s="103"/>
      <c r="M22" s="92"/>
    </row>
    <row r="23" spans="1:17">
      <c r="A23" s="100">
        <f t="shared" si="0"/>
        <v>9</v>
      </c>
      <c r="B23" s="92"/>
      <c r="C23" s="90" t="s">
        <v>1100</v>
      </c>
      <c r="D23" s="643"/>
      <c r="E23" s="55">
        <f>[30]G.3!$D$25</f>
        <v>0.06</v>
      </c>
      <c r="F23" s="55">
        <f>[30]G.3!$E$25</f>
        <v>4.3999999999999997E-2</v>
      </c>
      <c r="G23" s="55">
        <f>[30]G.3!$F$25</f>
        <v>4.7999999999999994E-2</v>
      </c>
      <c r="H23" s="572">
        <f>H$18*G23</f>
        <v>162145.98239999998</v>
      </c>
      <c r="I23" s="103"/>
      <c r="J23" s="572">
        <f>L23-H23</f>
        <v>6485.839295999991</v>
      </c>
      <c r="K23" s="103"/>
      <c r="L23" s="572">
        <f>L$18*G23</f>
        <v>168631.82169599997</v>
      </c>
      <c r="M23" s="92"/>
      <c r="P23" s="643"/>
      <c r="Q23" s="643"/>
    </row>
    <row r="24" spans="1:17">
      <c r="A24" s="100">
        <f t="shared" si="0"/>
        <v>10</v>
      </c>
      <c r="B24" s="92"/>
      <c r="C24" s="90" t="s">
        <v>1590</v>
      </c>
      <c r="D24" s="643"/>
      <c r="E24" s="55"/>
      <c r="F24" s="55"/>
      <c r="G24" s="55"/>
      <c r="H24" s="572">
        <f>[30]G.3!$G$26</f>
        <v>2758681.47</v>
      </c>
      <c r="I24" s="103"/>
      <c r="J24" s="684">
        <f>L24-H24</f>
        <v>110347.25879999995</v>
      </c>
      <c r="K24" s="103"/>
      <c r="L24" s="572">
        <f>H24*1.04</f>
        <v>2869028.7288000002</v>
      </c>
      <c r="M24" s="92"/>
      <c r="P24" s="643"/>
      <c r="Q24" s="643"/>
    </row>
    <row r="25" spans="1:17">
      <c r="A25" s="100">
        <f t="shared" si="0"/>
        <v>11</v>
      </c>
      <c r="B25" s="92"/>
      <c r="C25" s="90" t="s">
        <v>1101</v>
      </c>
      <c r="D25" s="643"/>
      <c r="E25" s="55">
        <f>[30]G.3!$D$27</f>
        <v>0.27999999999999997</v>
      </c>
      <c r="F25" s="55">
        <f>[30]G.3!$E$27</f>
        <v>0.28700000000000003</v>
      </c>
      <c r="G25" s="55">
        <f>[30]G.3!$F$27</f>
        <v>0.28525</v>
      </c>
      <c r="H25" s="109">
        <f>H$18*G25</f>
        <v>963586.28082499991</v>
      </c>
      <c r="I25" s="103"/>
      <c r="J25" s="109">
        <f>L25-H25</f>
        <v>38543.451233000145</v>
      </c>
      <c r="K25" s="103"/>
      <c r="L25" s="109">
        <f>L$18*G25</f>
        <v>1002129.7320580001</v>
      </c>
      <c r="M25" s="92"/>
      <c r="P25" s="643"/>
    </row>
    <row r="26" spans="1:17">
      <c r="A26" s="100">
        <f t="shared" si="0"/>
        <v>12</v>
      </c>
      <c r="B26" s="92"/>
      <c r="C26" s="90" t="s">
        <v>1102</v>
      </c>
      <c r="D26" s="92"/>
      <c r="E26" s="92"/>
      <c r="F26" s="92"/>
      <c r="G26" s="92"/>
      <c r="H26" s="572">
        <f>SUM(H23:H25)</f>
        <v>3884413.7332250001</v>
      </c>
      <c r="I26" s="103"/>
      <c r="J26" s="572">
        <f>SUM(J23:J25)</f>
        <v>155376.54932900009</v>
      </c>
      <c r="K26" s="103"/>
      <c r="L26" s="572">
        <f>SUM(L23:L25)</f>
        <v>4039790.2825540006</v>
      </c>
      <c r="M26" s="92"/>
      <c r="O26"/>
      <c r="P26"/>
    </row>
    <row r="27" spans="1:17">
      <c r="A27" s="100">
        <f t="shared" si="0"/>
        <v>13</v>
      </c>
      <c r="B27" s="92"/>
      <c r="C27" s="92"/>
      <c r="D27" s="92"/>
      <c r="E27" s="92"/>
      <c r="F27" s="92"/>
      <c r="G27" s="92"/>
      <c r="H27" s="103"/>
      <c r="I27" s="103"/>
      <c r="J27" s="103"/>
      <c r="K27" s="103"/>
      <c r="L27" s="103"/>
      <c r="M27" s="92"/>
      <c r="O27"/>
      <c r="P27"/>
    </row>
    <row r="28" spans="1:17">
      <c r="A28" s="100">
        <f t="shared" si="0"/>
        <v>14</v>
      </c>
      <c r="B28" s="92"/>
      <c r="C28" s="16" t="s">
        <v>798</v>
      </c>
      <c r="D28" s="92"/>
      <c r="E28" s="92"/>
      <c r="F28" s="92"/>
      <c r="G28" s="92"/>
      <c r="H28" s="108"/>
      <c r="I28" s="424"/>
      <c r="J28" s="108"/>
      <c r="K28" s="103"/>
      <c r="L28" s="108" t="s">
        <v>323</v>
      </c>
      <c r="M28" s="92"/>
      <c r="N28" s="643"/>
      <c r="O28"/>
      <c r="P28"/>
    </row>
    <row r="29" spans="1:17">
      <c r="A29" s="100">
        <f t="shared" si="0"/>
        <v>15</v>
      </c>
      <c r="B29" s="92"/>
      <c r="C29" s="90" t="s">
        <v>1591</v>
      </c>
      <c r="D29" s="92"/>
      <c r="E29" s="92"/>
      <c r="F29" s="92"/>
      <c r="G29" s="92"/>
      <c r="H29" s="572">
        <f>[30]G.3!$G$31</f>
        <v>247462.07999999996</v>
      </c>
      <c r="I29" s="424"/>
      <c r="J29" s="572">
        <f>L29-H29</f>
        <v>9898.483200000017</v>
      </c>
      <c r="K29" s="103"/>
      <c r="L29" s="572">
        <f>[30]G.3!$K$31</f>
        <v>257360.56319999998</v>
      </c>
      <c r="M29" s="92"/>
      <c r="N29" s="643"/>
      <c r="O29"/>
      <c r="P29"/>
    </row>
    <row r="30" spans="1:17">
      <c r="A30" s="100">
        <f t="shared" si="0"/>
        <v>16</v>
      </c>
      <c r="B30" s="92"/>
      <c r="C30" s="90" t="s">
        <v>682</v>
      </c>
      <c r="D30" s="92"/>
      <c r="E30" s="92"/>
      <c r="F30" s="92"/>
      <c r="G30" s="92"/>
      <c r="H30" s="702">
        <f>SUM(H29:H29)</f>
        <v>247462.07999999996</v>
      </c>
      <c r="I30" s="92"/>
      <c r="J30" s="572">
        <f>SUM(J29:J29)</f>
        <v>9898.483200000017</v>
      </c>
      <c r="K30" s="92"/>
      <c r="L30" s="702">
        <f>SUM(L29:L29)</f>
        <v>257360.56319999998</v>
      </c>
      <c r="M30" s="92"/>
      <c r="N30" s="92"/>
      <c r="O30"/>
      <c r="P30"/>
    </row>
    <row r="31" spans="1:17">
      <c r="A31" s="100">
        <f t="shared" si="0"/>
        <v>17</v>
      </c>
      <c r="B31" s="92"/>
      <c r="C31" s="92"/>
      <c r="D31" s="92"/>
      <c r="E31" s="92"/>
      <c r="F31" s="92"/>
      <c r="G31" s="92"/>
      <c r="H31" s="108"/>
      <c r="I31" s="92"/>
      <c r="J31" s="108"/>
      <c r="K31" s="92"/>
      <c r="L31" s="108" t="s">
        <v>323</v>
      </c>
      <c r="M31" s="92"/>
      <c r="N31" s="92"/>
      <c r="O31"/>
      <c r="P31"/>
    </row>
    <row r="32" spans="1:17" ht="15.75" thickBot="1">
      <c r="A32" s="100">
        <f t="shared" si="0"/>
        <v>18</v>
      </c>
      <c r="B32" s="92"/>
      <c r="C32" s="90" t="s">
        <v>683</v>
      </c>
      <c r="D32" s="92"/>
      <c r="E32" s="92"/>
      <c r="F32" s="92"/>
      <c r="G32" s="92"/>
      <c r="H32" s="704">
        <f>(+H20+H26+H30)</f>
        <v>16821063.484379999</v>
      </c>
      <c r="I32" s="92"/>
      <c r="J32" s="704">
        <f>(+J20+J26+J30)</f>
        <v>672842.53937520029</v>
      </c>
      <c r="K32" s="92"/>
      <c r="L32" s="704">
        <f>(+L20+L26+L30)</f>
        <v>17493906.023755204</v>
      </c>
      <c r="M32" s="92"/>
      <c r="N32" s="92"/>
      <c r="O32"/>
      <c r="P32"/>
    </row>
    <row r="33" spans="1:16" ht="15.75" thickTop="1">
      <c r="A33" s="92"/>
      <c r="B33" s="92"/>
      <c r="C33" s="92"/>
      <c r="D33" s="92"/>
      <c r="E33" s="92"/>
      <c r="F33" s="92"/>
      <c r="G33" s="92"/>
      <c r="H33" s="106"/>
      <c r="I33" s="92"/>
      <c r="J33" s="106"/>
      <c r="K33" s="92"/>
      <c r="L33" s="134" t="s">
        <v>323</v>
      </c>
      <c r="M33" s="92"/>
      <c r="N33" s="92"/>
      <c r="O33"/>
      <c r="P33"/>
    </row>
    <row r="34" spans="1:16">
      <c r="A34" t="s">
        <v>834</v>
      </c>
      <c r="B34" s="90"/>
      <c r="C34" s="92"/>
      <c r="D34" s="92"/>
      <c r="E34" s="92"/>
      <c r="F34" s="92"/>
      <c r="G34" s="92"/>
      <c r="H34" s="106"/>
      <c r="I34" s="92"/>
      <c r="J34" s="106"/>
      <c r="K34" s="92"/>
      <c r="L34" s="106"/>
      <c r="M34" s="92"/>
      <c r="N34" s="92"/>
      <c r="O34"/>
      <c r="P34"/>
    </row>
    <row r="35" spans="1:16">
      <c r="B35" s="90"/>
      <c r="C35" s="92"/>
      <c r="D35" s="92"/>
      <c r="E35" s="92"/>
      <c r="F35" s="92"/>
      <c r="G35" s="92"/>
      <c r="H35" s="106"/>
      <c r="I35" s="92"/>
      <c r="J35" s="106"/>
      <c r="K35" s="92"/>
      <c r="L35" s="106"/>
      <c r="M35" s="92"/>
      <c r="N35" s="92"/>
      <c r="O35"/>
      <c r="P35"/>
    </row>
    <row r="36" spans="1:16">
      <c r="A36" s="648" t="s">
        <v>392</v>
      </c>
      <c r="C36" s="90"/>
      <c r="D36" s="92"/>
      <c r="E36" s="592"/>
      <c r="F36" s="92"/>
      <c r="G36" s="92"/>
      <c r="H36" s="108"/>
      <c r="I36" s="92"/>
      <c r="J36" s="108"/>
      <c r="K36" s="92"/>
      <c r="L36" s="108"/>
      <c r="M36" s="92"/>
      <c r="N36" s="92"/>
      <c r="O36"/>
      <c r="P36"/>
    </row>
    <row r="37" spans="1:16">
      <c r="A37" s="92" t="s">
        <v>1599</v>
      </c>
      <c r="C37" s="92"/>
      <c r="D37" s="92"/>
      <c r="E37" s="92"/>
      <c r="F37" s="92"/>
      <c r="G37" s="92"/>
      <c r="H37" s="106"/>
      <c r="I37" s="92"/>
      <c r="J37" s="106"/>
      <c r="K37" s="92"/>
      <c r="L37" s="106"/>
      <c r="M37" s="92"/>
      <c r="N37" s="92"/>
      <c r="O37"/>
      <c r="P37"/>
    </row>
    <row r="38" spans="1:16">
      <c r="A38" s="92" t="s">
        <v>1600</v>
      </c>
      <c r="C38" s="92"/>
      <c r="D38" s="92"/>
      <c r="E38" s="92"/>
      <c r="F38" s="92"/>
      <c r="G38" s="92"/>
      <c r="H38" s="106"/>
      <c r="I38" s="92"/>
      <c r="J38" s="106"/>
      <c r="K38" s="92"/>
      <c r="L38" s="106"/>
      <c r="M38" s="92"/>
      <c r="N38" s="92"/>
      <c r="O38"/>
      <c r="P38"/>
    </row>
    <row r="39" spans="1:16">
      <c r="A39" s="92" t="s">
        <v>1601</v>
      </c>
      <c r="C39" s="92"/>
      <c r="D39" s="92"/>
      <c r="E39" s="92"/>
      <c r="F39" s="92"/>
      <c r="G39" s="92"/>
      <c r="H39" s="92"/>
      <c r="I39" s="55"/>
      <c r="J39" s="92"/>
      <c r="K39" s="92"/>
      <c r="L39" s="92"/>
      <c r="M39" s="92"/>
      <c r="N39" s="92"/>
      <c r="O39"/>
      <c r="P39"/>
    </row>
    <row r="40" spans="1:16">
      <c r="A40" s="92" t="s">
        <v>1602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/>
      <c r="P40"/>
    </row>
    <row r="41" spans="1:16">
      <c r="A41" s="92" t="s">
        <v>1603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/>
      <c r="P41"/>
    </row>
    <row r="42" spans="1:16">
      <c r="A42" s="92" t="s">
        <v>1604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/>
      <c r="P42"/>
    </row>
    <row r="43" spans="1:16">
      <c r="A43" s="1" t="s">
        <v>1668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/>
      <c r="P43"/>
    </row>
    <row r="44" spans="1:16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793"/>
      <c r="P44" s="793"/>
    </row>
    <row r="45" spans="1:16">
      <c r="A45" s="235" t="s">
        <v>393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/>
      <c r="P45"/>
    </row>
    <row r="46" spans="1:16">
      <c r="A46" s="92" t="s">
        <v>1669</v>
      </c>
      <c r="B46"/>
      <c r="C46"/>
      <c r="D46"/>
      <c r="E46"/>
      <c r="F46"/>
      <c r="G46" s="793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 s="793"/>
      <c r="H47"/>
      <c r="I47"/>
      <c r="J47"/>
      <c r="K47"/>
      <c r="L47"/>
      <c r="M47"/>
      <c r="N47"/>
      <c r="O47"/>
      <c r="P47"/>
    </row>
    <row r="48" spans="1:16">
      <c r="A48" t="s">
        <v>1237</v>
      </c>
      <c r="B48"/>
      <c r="D48"/>
      <c r="E48"/>
      <c r="F48"/>
      <c r="G48" s="793"/>
      <c r="H48"/>
      <c r="I48"/>
      <c r="J48"/>
      <c r="K48"/>
      <c r="L48"/>
      <c r="M48"/>
      <c r="N48"/>
      <c r="O48"/>
      <c r="P48"/>
    </row>
    <row r="49" spans="1:16">
      <c r="A49" s="703" t="s">
        <v>1704</v>
      </c>
      <c r="B49" s="80"/>
      <c r="C49" s="81"/>
      <c r="D49" s="80"/>
      <c r="E49" s="80"/>
      <c r="F49" s="80"/>
      <c r="G49" s="80"/>
      <c r="H49" s="80"/>
      <c r="I49"/>
      <c r="J49"/>
      <c r="K49"/>
      <c r="L49" s="592"/>
      <c r="M49"/>
      <c r="N49"/>
      <c r="O49"/>
      <c r="P49"/>
    </row>
    <row r="50" spans="1:16">
      <c r="A50"/>
      <c r="B50"/>
      <c r="C50" s="642"/>
      <c r="D50"/>
      <c r="E50"/>
      <c r="F50"/>
      <c r="G50" s="793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 s="793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 s="793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 s="793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 s="793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 s="793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 s="793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 s="793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 s="793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 s="793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 s="793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 s="793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 s="793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 s="793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 s="793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 s="793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 s="793"/>
      <c r="H66"/>
      <c r="I66"/>
      <c r="J66"/>
      <c r="K66"/>
      <c r="L66"/>
      <c r="M66"/>
      <c r="N66"/>
      <c r="O66"/>
      <c r="P66"/>
    </row>
  </sheetData>
  <phoneticPr fontId="22" type="noConversion"/>
  <printOptions horizontalCentered="1"/>
  <pageMargins left="0.5" right="0.5" top="0.75" bottom="0.52" header="0.25" footer="0.25"/>
  <pageSetup scale="74" orientation="landscape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topLeftCell="A10" zoomScale="80" zoomScaleNormal="100" zoomScaleSheetLayoutView="80" workbookViewId="0">
      <selection activeCell="H29" sqref="H29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210" t="str">
        <f>'Table of Contents'!A1:C1</f>
        <v>Atmos Energy Corporation, Kentucky/Mid-States Division</v>
      </c>
      <c r="B1" s="1210"/>
      <c r="C1" s="1210"/>
      <c r="D1" s="1210"/>
      <c r="E1" s="1210"/>
    </row>
    <row r="2" spans="1:7">
      <c r="A2" s="1210" t="str">
        <f>'Table of Contents'!A2:C2</f>
        <v>Kentucky Jurisdiction Case No. 2018-00281</v>
      </c>
      <c r="B2" s="1210"/>
      <c r="C2" s="1210"/>
      <c r="D2" s="1210"/>
      <c r="E2" s="1210"/>
    </row>
    <row r="3" spans="1:7">
      <c r="A3" s="1210" t="s">
        <v>611</v>
      </c>
      <c r="B3" s="1210"/>
      <c r="C3" s="1210"/>
      <c r="D3" s="1210"/>
      <c r="E3" s="1210"/>
    </row>
    <row r="4" spans="1:7">
      <c r="A4" s="1210" t="str">
        <f>'Table of Contents'!A3:C3</f>
        <v>Base Period: Twelve Months Ended December 31, 2018</v>
      </c>
      <c r="B4" s="1210"/>
      <c r="C4" s="1210"/>
      <c r="D4" s="1210"/>
      <c r="E4" s="1210"/>
    </row>
    <row r="5" spans="1:7">
      <c r="A5" s="1210" t="str">
        <f>'Table of Contents'!A4:C4</f>
        <v>Forecasted Test Period: Twelve Months Ended March 31, 2020</v>
      </c>
      <c r="B5" s="1210"/>
      <c r="C5" s="1210"/>
      <c r="D5" s="1210"/>
      <c r="E5" s="1210"/>
    </row>
    <row r="6" spans="1:7">
      <c r="A6" s="169"/>
      <c r="B6" s="169"/>
      <c r="C6" s="169"/>
      <c r="D6" s="169"/>
      <c r="E6" s="169"/>
      <c r="G6" s="794"/>
    </row>
    <row r="8" spans="1:7">
      <c r="A8" s="4" t="s">
        <v>198</v>
      </c>
      <c r="E8" s="376" t="s">
        <v>1412</v>
      </c>
    </row>
    <row r="9" spans="1:7">
      <c r="A9" s="66" t="s">
        <v>615</v>
      </c>
      <c r="E9" s="489" t="s">
        <v>35</v>
      </c>
    </row>
    <row r="10" spans="1:7">
      <c r="A10" s="5" t="s">
        <v>426</v>
      </c>
      <c r="B10" s="6"/>
      <c r="C10" s="6"/>
      <c r="D10" s="6"/>
      <c r="E10" s="550" t="s">
        <v>1307</v>
      </c>
    </row>
    <row r="12" spans="1:7" ht="15.75">
      <c r="D12" s="299" t="s">
        <v>1127</v>
      </c>
      <c r="E12" s="299" t="s">
        <v>128</v>
      </c>
    </row>
    <row r="13" spans="1:7">
      <c r="D13" s="2" t="s">
        <v>893</v>
      </c>
      <c r="E13" s="2" t="s">
        <v>893</v>
      </c>
    </row>
    <row r="14" spans="1:7">
      <c r="A14" s="2" t="s">
        <v>93</v>
      </c>
      <c r="D14" s="2" t="s">
        <v>894</v>
      </c>
      <c r="E14" s="2" t="s">
        <v>894</v>
      </c>
    </row>
    <row r="15" spans="1:7">
      <c r="A15" s="32" t="s">
        <v>99</v>
      </c>
      <c r="B15" s="410" t="s">
        <v>985</v>
      </c>
      <c r="C15" s="33"/>
      <c r="D15" s="32" t="s">
        <v>125</v>
      </c>
      <c r="E15" s="32" t="s">
        <v>125</v>
      </c>
    </row>
    <row r="17" spans="1:7">
      <c r="A17" s="2" t="s">
        <v>366</v>
      </c>
      <c r="B17" s="4" t="s">
        <v>738</v>
      </c>
      <c r="D17" s="24">
        <v>1</v>
      </c>
      <c r="E17" s="24">
        <v>1</v>
      </c>
    </row>
    <row r="19" spans="1:7">
      <c r="A19" s="2" t="s">
        <v>368</v>
      </c>
      <c r="B19" s="4" t="s">
        <v>895</v>
      </c>
      <c r="D19" s="576">
        <v>5.0000000000000001E-3</v>
      </c>
      <c r="E19" s="576">
        <v>5.0000000000000001E-3</v>
      </c>
    </row>
    <row r="21" spans="1:7">
      <c r="A21" s="2" t="s">
        <v>370</v>
      </c>
      <c r="B21" s="4" t="s">
        <v>896</v>
      </c>
      <c r="D21" s="1161">
        <f>[31]Sheet1!$D$19</f>
        <v>2E-3</v>
      </c>
      <c r="E21" s="1161">
        <f>[31]Sheet1!$D$19</f>
        <v>2E-3</v>
      </c>
      <c r="G21" s="794"/>
    </row>
    <row r="23" spans="1:7">
      <c r="A23" s="2" t="s">
        <v>371</v>
      </c>
      <c r="B23" s="4" t="s">
        <v>897</v>
      </c>
      <c r="D23" s="24">
        <f>D17-D19-D21</f>
        <v>0.99299999999999999</v>
      </c>
      <c r="E23" s="24">
        <f>E17-E19-E21</f>
        <v>0.99299999999999999</v>
      </c>
    </row>
    <row r="25" spans="1:7">
      <c r="A25" s="2" t="s">
        <v>372</v>
      </c>
      <c r="B25" s="4" t="s">
        <v>254</v>
      </c>
      <c r="C25" s="67">
        <v>0.05</v>
      </c>
      <c r="D25" s="25">
        <f>ROUND(D23*C25,8)</f>
        <v>4.965E-2</v>
      </c>
      <c r="E25" s="25">
        <f>ROUND(E23*C25,8)</f>
        <v>4.965E-2</v>
      </c>
    </row>
    <row r="27" spans="1:7">
      <c r="A27" s="2" t="s">
        <v>373</v>
      </c>
      <c r="B27" s="4" t="s">
        <v>898</v>
      </c>
      <c r="D27" s="24">
        <f>(D23-D25)</f>
        <v>0.94335000000000002</v>
      </c>
      <c r="E27" s="24">
        <f>(E23-E25)</f>
        <v>0.94335000000000002</v>
      </c>
    </row>
    <row r="29" spans="1:7">
      <c r="A29" s="2" t="s">
        <v>374</v>
      </c>
      <c r="B29" s="66" t="s">
        <v>169</v>
      </c>
      <c r="C29" s="68">
        <v>0.21</v>
      </c>
      <c r="D29" s="69">
        <f>ROUND(D27*C29,6)</f>
        <v>0.198104</v>
      </c>
      <c r="E29" s="69">
        <f>ROUND(E27*C29,6)</f>
        <v>0.198104</v>
      </c>
    </row>
    <row r="31" spans="1:7">
      <c r="A31" s="2" t="s">
        <v>376</v>
      </c>
      <c r="B31" s="4" t="s">
        <v>386</v>
      </c>
      <c r="D31" s="24">
        <f>D27-D29</f>
        <v>0.74524600000000008</v>
      </c>
      <c r="E31" s="24">
        <f>E27-E29</f>
        <v>0.74524600000000008</v>
      </c>
    </row>
    <row r="33" spans="1:5">
      <c r="A33" s="2" t="s">
        <v>377</v>
      </c>
      <c r="B33" s="4" t="s">
        <v>126</v>
      </c>
    </row>
    <row r="34" spans="1:5">
      <c r="A34" s="2" t="s">
        <v>378</v>
      </c>
      <c r="B34" s="4" t="s">
        <v>899</v>
      </c>
      <c r="D34" s="411">
        <f>ROUND(1/$D$31,6)</f>
        <v>1.341839</v>
      </c>
      <c r="E34" s="411">
        <f>ROUND(1/$E$31,6)</f>
        <v>1.341839</v>
      </c>
    </row>
    <row r="37" spans="1:5">
      <c r="B37" s="4"/>
    </row>
    <row r="44" spans="1:5">
      <c r="A44" s="4" t="s">
        <v>563</v>
      </c>
    </row>
  </sheetData>
  <mergeCells count="5">
    <mergeCell ref="A5:E5"/>
    <mergeCell ref="A1:E1"/>
    <mergeCell ref="A2:E2"/>
    <mergeCell ref="A3:E3"/>
    <mergeCell ref="A4:E4"/>
  </mergeCells>
  <phoneticPr fontId="22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topLeftCell="A13" zoomScale="90" zoomScaleNormal="100" zoomScaleSheetLayoutView="90" workbookViewId="0">
      <selection activeCell="B29" sqref="B29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25.77734375" style="1" customWidth="1"/>
    <col min="5" max="5" width="4.77734375" style="1" customWidth="1"/>
    <col min="6" max="6" width="26.777343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3">
      <c r="A2" s="167" t="str">
        <f>'Table of Contents'!A2:C2</f>
        <v>Kentucky Jurisdiction Case No. 2018-00281</v>
      </c>
      <c r="B2" s="30"/>
      <c r="C2" s="30"/>
      <c r="D2" s="30"/>
      <c r="E2" s="30"/>
      <c r="F2" s="30"/>
    </row>
    <row r="3" spans="1:13">
      <c r="A3" s="31" t="s">
        <v>1110</v>
      </c>
      <c r="B3" s="30"/>
      <c r="C3" s="30"/>
      <c r="D3" s="30"/>
      <c r="E3" s="30"/>
      <c r="F3" s="30"/>
    </row>
    <row r="4" spans="1:13">
      <c r="A4" s="31" t="s">
        <v>1619</v>
      </c>
      <c r="B4" s="30"/>
      <c r="C4" s="30"/>
      <c r="D4" s="30"/>
      <c r="E4" s="30"/>
      <c r="F4" s="30"/>
    </row>
    <row r="6" spans="1:13">
      <c r="A6" s="4" t="s">
        <v>148</v>
      </c>
      <c r="F6" s="1" t="s">
        <v>1417</v>
      </c>
      <c r="H6" s="666"/>
      <c r="I6" s="666"/>
      <c r="J6" s="666"/>
      <c r="K6" s="666"/>
      <c r="L6" s="666"/>
    </row>
    <row r="7" spans="1:13">
      <c r="A7" s="4" t="str">
        <f>A.1!A8</f>
        <v>Type of Filing:___X____Original________Updated ________Revised</v>
      </c>
      <c r="F7" s="4" t="s">
        <v>746</v>
      </c>
      <c r="H7" s="666"/>
      <c r="I7" s="666"/>
      <c r="J7" s="666"/>
      <c r="K7" s="666"/>
      <c r="L7" s="666"/>
    </row>
    <row r="8" spans="1:13">
      <c r="A8" s="5" t="s">
        <v>426</v>
      </c>
      <c r="B8" s="6"/>
      <c r="C8" s="6"/>
      <c r="D8" s="6"/>
      <c r="E8" s="33"/>
      <c r="F8" s="5" t="str">
        <f>'B.1 B'!F8</f>
        <v>Witness:   Waller, Christian, Story</v>
      </c>
      <c r="H8" s="666"/>
      <c r="I8" s="666"/>
      <c r="J8" s="666"/>
      <c r="K8" s="666"/>
      <c r="L8" s="666"/>
    </row>
    <row r="9" spans="1:13">
      <c r="F9" s="2"/>
      <c r="H9" s="666"/>
      <c r="I9" s="666"/>
      <c r="J9" s="666"/>
      <c r="K9" s="666"/>
      <c r="L9" s="666"/>
    </row>
    <row r="10" spans="1:13">
      <c r="C10" s="2" t="s">
        <v>1185</v>
      </c>
      <c r="D10" s="2" t="s">
        <v>43</v>
      </c>
      <c r="F10" s="2" t="s">
        <v>43</v>
      </c>
      <c r="H10" s="666"/>
      <c r="I10" s="727"/>
      <c r="J10" s="666"/>
      <c r="K10" s="666"/>
      <c r="L10" s="666"/>
      <c r="M10" s="666"/>
    </row>
    <row r="11" spans="1:13">
      <c r="A11" s="2" t="s">
        <v>93</v>
      </c>
      <c r="C11" s="2" t="s">
        <v>58</v>
      </c>
      <c r="D11" s="2" t="s">
        <v>316</v>
      </c>
      <c r="F11" s="2" t="s">
        <v>316</v>
      </c>
      <c r="H11" s="666"/>
      <c r="I11" s="666"/>
      <c r="J11" s="666"/>
      <c r="K11" s="666"/>
      <c r="L11" s="666"/>
      <c r="M11" s="666"/>
    </row>
    <row r="12" spans="1:13">
      <c r="A12" s="9" t="s">
        <v>99</v>
      </c>
      <c r="B12" s="5" t="s">
        <v>1188</v>
      </c>
      <c r="C12" s="9" t="s">
        <v>101</v>
      </c>
      <c r="D12" s="9" t="s">
        <v>317</v>
      </c>
      <c r="E12" s="6"/>
      <c r="F12" s="9" t="s">
        <v>512</v>
      </c>
      <c r="H12" s="666"/>
      <c r="I12" s="727"/>
      <c r="J12" s="666"/>
      <c r="K12" s="666"/>
      <c r="L12" s="666"/>
      <c r="M12" s="666"/>
    </row>
    <row r="13" spans="1:13">
      <c r="D13" s="2"/>
      <c r="F13" s="2"/>
      <c r="H13" s="666"/>
      <c r="I13" s="727"/>
      <c r="J13" s="666"/>
      <c r="K13" s="666"/>
      <c r="L13" s="666"/>
      <c r="M13" s="666"/>
    </row>
    <row r="14" spans="1:13">
      <c r="H14" s="666"/>
      <c r="I14" s="727"/>
      <c r="J14" s="666"/>
      <c r="K14" s="666"/>
      <c r="L14" s="666"/>
      <c r="M14" s="666"/>
    </row>
    <row r="15" spans="1:13">
      <c r="A15" s="2">
        <v>1</v>
      </c>
      <c r="B15" s="4" t="s">
        <v>167</v>
      </c>
      <c r="C15" s="2" t="s">
        <v>692</v>
      </c>
      <c r="D15" s="306">
        <f>'B.2 F'!I266</f>
        <v>763121142.80906141</v>
      </c>
      <c r="E15" s="73"/>
      <c r="F15" s="306">
        <f>'B.2 F'!N266</f>
        <v>724669367.01538217</v>
      </c>
      <c r="G15" s="81"/>
      <c r="H15" s="728"/>
      <c r="I15" s="727"/>
      <c r="J15" s="666"/>
      <c r="K15" s="666"/>
      <c r="L15" s="666"/>
      <c r="M15" s="666"/>
    </row>
    <row r="16" spans="1:13">
      <c r="A16" s="2">
        <f>A15+1</f>
        <v>2</v>
      </c>
      <c r="B16" s="4" t="s">
        <v>491</v>
      </c>
      <c r="C16" s="2" t="s">
        <v>692</v>
      </c>
      <c r="D16" s="73">
        <f>'B.2 F'!I268</f>
        <v>39130198.175474182</v>
      </c>
      <c r="E16" s="73"/>
      <c r="F16" s="73">
        <f>'B.2 F'!N268</f>
        <v>39130198.175474182</v>
      </c>
      <c r="G16" s="81"/>
      <c r="H16" s="728"/>
      <c r="I16" s="727"/>
      <c r="J16" s="666"/>
      <c r="K16" s="666"/>
      <c r="L16" s="666"/>
      <c r="M16" s="666"/>
    </row>
    <row r="17" spans="1:13">
      <c r="A17" s="2">
        <f>A16+1</f>
        <v>3</v>
      </c>
      <c r="B17" s="4" t="s">
        <v>529</v>
      </c>
      <c r="C17" s="2" t="s">
        <v>693</v>
      </c>
      <c r="D17" s="85">
        <f>-'B.3 F'!I266</f>
        <v>-192058977.10581711</v>
      </c>
      <c r="E17" s="73"/>
      <c r="F17" s="85">
        <f>-'B.3 F'!N266</f>
        <v>-190842183.17524651</v>
      </c>
      <c r="G17" s="81"/>
      <c r="H17" s="728"/>
      <c r="I17" s="727"/>
      <c r="J17" s="666"/>
      <c r="K17" s="666"/>
      <c r="L17" s="666"/>
      <c r="M17" s="666"/>
    </row>
    <row r="18" spans="1:13">
      <c r="A18" s="722"/>
      <c r="B18" s="4"/>
      <c r="C18" s="722"/>
      <c r="D18" s="77"/>
      <c r="E18" s="73"/>
      <c r="F18" s="77"/>
      <c r="G18" s="81"/>
      <c r="H18" s="728"/>
      <c r="I18" s="727"/>
      <c r="J18" s="666"/>
      <c r="K18" s="666"/>
      <c r="L18" s="666"/>
      <c r="M18" s="666"/>
    </row>
    <row r="19" spans="1:13">
      <c r="A19" s="2">
        <f>+A17+1</f>
        <v>4</v>
      </c>
      <c r="B19" s="4" t="s">
        <v>158</v>
      </c>
      <c r="D19" s="306">
        <f>SUM(D15:D17)</f>
        <v>610192363.8787185</v>
      </c>
      <c r="E19" s="73"/>
      <c r="F19" s="306">
        <f>SUM(F15:F17)</f>
        <v>572957382.01560986</v>
      </c>
      <c r="G19" s="81"/>
      <c r="H19" s="728"/>
      <c r="I19" s="727"/>
      <c r="J19" s="666"/>
      <c r="K19" s="666"/>
      <c r="L19" s="666"/>
      <c r="M19" s="666"/>
    </row>
    <row r="20" spans="1:13">
      <c r="A20" s="2"/>
      <c r="B20" s="4"/>
      <c r="D20" s="73"/>
      <c r="E20" s="73"/>
      <c r="F20" s="73"/>
      <c r="G20" s="81"/>
      <c r="H20" s="728"/>
      <c r="I20" s="727"/>
      <c r="J20" s="666"/>
      <c r="K20" s="666"/>
      <c r="L20" s="666"/>
      <c r="M20" s="666"/>
    </row>
    <row r="21" spans="1:13">
      <c r="A21" s="2">
        <f>A19+1</f>
        <v>5</v>
      </c>
      <c r="B21" s="4" t="s">
        <v>786</v>
      </c>
      <c r="C21" s="2" t="s">
        <v>694</v>
      </c>
      <c r="D21" s="306">
        <f>+'B.4 F'!E14</f>
        <v>2692758.7072114237</v>
      </c>
      <c r="E21" s="73"/>
      <c r="F21" s="306">
        <f>D21</f>
        <v>2692758.7072114237</v>
      </c>
      <c r="G21" s="81"/>
      <c r="H21" s="728"/>
      <c r="I21" s="727"/>
      <c r="J21" s="666"/>
      <c r="K21" s="666"/>
      <c r="L21" s="666"/>
      <c r="M21" s="666"/>
    </row>
    <row r="22" spans="1:13">
      <c r="A22" s="2">
        <f>+A21+1</f>
        <v>6</v>
      </c>
      <c r="B22" s="4" t="s">
        <v>1058</v>
      </c>
      <c r="C22" s="2" t="s">
        <v>695</v>
      </c>
      <c r="D22" s="356">
        <f>+'B.4.1 F'!F37</f>
        <v>-1652038.1361116788</v>
      </c>
      <c r="E22" s="356"/>
      <c r="F22" s="356">
        <f>+'B.4.1 F'!K37</f>
        <v>9023857.3767245095</v>
      </c>
      <c r="G22" s="81"/>
      <c r="H22" s="728"/>
      <c r="I22" s="727"/>
      <c r="J22" s="666"/>
      <c r="K22" s="666"/>
      <c r="L22" s="666"/>
      <c r="M22" s="666"/>
    </row>
    <row r="23" spans="1:13">
      <c r="A23" s="2">
        <f>+A22+1</f>
        <v>7</v>
      </c>
      <c r="B23" s="4" t="s">
        <v>633</v>
      </c>
      <c r="C23" s="2" t="s">
        <v>696</v>
      </c>
      <c r="D23" s="356">
        <f>'B.6 F'!G24</f>
        <v>-747234.09333333327</v>
      </c>
      <c r="E23" s="356"/>
      <c r="F23" s="356">
        <f>'B.6 F'!L24</f>
        <v>-747234.0933333335</v>
      </c>
      <c r="G23" s="81"/>
      <c r="H23" s="728"/>
      <c r="I23" s="727"/>
      <c r="J23" s="666"/>
      <c r="K23" s="666"/>
      <c r="L23" s="666"/>
      <c r="M23" s="666"/>
    </row>
    <row r="24" spans="1:13">
      <c r="A24" s="803">
        <f t="shared" ref="A24:A25" si="0">+A23+1</f>
        <v>8</v>
      </c>
      <c r="B24" s="4" t="s">
        <v>1613</v>
      </c>
      <c r="C24" s="1148" t="s">
        <v>1614</v>
      </c>
      <c r="D24" s="356">
        <f>F.6!Q38+'WP B.5 F1'!D22</f>
        <v>-32827676.803062864</v>
      </c>
      <c r="E24" s="356"/>
      <c r="F24" s="356">
        <f>F.6!Q39+'WP B.5 F1'!D23</f>
        <v>-33020670.038647436</v>
      </c>
      <c r="G24" s="81"/>
      <c r="H24" s="728"/>
      <c r="I24" s="727"/>
      <c r="J24" s="666"/>
      <c r="K24" s="666"/>
      <c r="L24" s="666"/>
      <c r="M24" s="666"/>
    </row>
    <row r="25" spans="1:13">
      <c r="A25" s="803">
        <f t="shared" si="0"/>
        <v>9</v>
      </c>
      <c r="B25" s="88" t="s">
        <v>1132</v>
      </c>
      <c r="C25" s="117" t="s">
        <v>697</v>
      </c>
      <c r="D25" s="420">
        <f>'B.5 F'!G49</f>
        <v>-54824928.05373995</v>
      </c>
      <c r="E25" s="356" t="s">
        <v>775</v>
      </c>
      <c r="F25" s="420">
        <f>'B.5 F'!L53</f>
        <v>-51390866.220100865</v>
      </c>
      <c r="G25" s="81"/>
      <c r="H25" s="728"/>
      <c r="I25" s="727"/>
      <c r="J25" s="666"/>
      <c r="K25" s="666"/>
      <c r="L25" s="666"/>
      <c r="M25" s="666"/>
    </row>
    <row r="26" spans="1:13">
      <c r="A26" s="2"/>
      <c r="E26" s="81"/>
      <c r="G26" s="81"/>
      <c r="H26" s="728"/>
      <c r="I26" s="727"/>
      <c r="J26" s="666"/>
      <c r="K26" s="666"/>
      <c r="L26" s="666"/>
      <c r="M26" s="666"/>
    </row>
    <row r="27" spans="1:13" ht="15.75" thickBot="1">
      <c r="A27" s="2">
        <f>A25+1</f>
        <v>10</v>
      </c>
      <c r="B27" s="4" t="s">
        <v>159</v>
      </c>
      <c r="D27" s="308">
        <f>SUM(D19:D25)</f>
        <v>522833245.49968189</v>
      </c>
      <c r="E27" s="73"/>
      <c r="F27" s="308">
        <f>SUM(F19:F25)</f>
        <v>499515227.74746406</v>
      </c>
      <c r="G27" s="432"/>
      <c r="H27" s="729"/>
      <c r="I27" s="727"/>
      <c r="J27" s="666"/>
      <c r="K27" s="666"/>
      <c r="L27" s="666"/>
      <c r="M27" s="666"/>
    </row>
    <row r="28" spans="1:13" ht="15.75" thickTop="1">
      <c r="D28" s="10"/>
      <c r="E28" s="73"/>
      <c r="F28" s="10"/>
      <c r="G28" s="81"/>
      <c r="H28" s="728"/>
      <c r="J28" s="668"/>
      <c r="K28" s="666"/>
      <c r="L28" s="666"/>
    </row>
    <row r="29" spans="1:13" ht="33.75">
      <c r="B29" s="841" t="s">
        <v>1495</v>
      </c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2" type="noConversion"/>
  <printOptions horizontalCentered="1"/>
  <pageMargins left="0.72" right="0.79" top="0.74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U58"/>
  <sheetViews>
    <sheetView view="pageBreakPreview" zoomScale="70" zoomScaleNormal="80" zoomScaleSheetLayoutView="70" workbookViewId="0">
      <pane xSplit="3" ySplit="13" topLeftCell="D14" activePane="bottomRight" state="frozen"/>
      <selection activeCell="F45" sqref="F45"/>
      <selection pane="topRight" activeCell="F45" sqref="F45"/>
      <selection pane="bottomLeft" activeCell="F45" sqref="F45"/>
      <selection pane="bottomRight" activeCell="L51" sqref="L51"/>
    </sheetView>
  </sheetViews>
  <sheetFormatPr defaultColWidth="7.109375" defaultRowHeight="15"/>
  <cols>
    <col min="1" max="1" width="5.109375" style="103" customWidth="1"/>
    <col min="2" max="2" width="18.109375" style="103" customWidth="1"/>
    <col min="3" max="3" width="5" style="103" customWidth="1"/>
    <col min="4" max="6" width="10.33203125" style="103" customWidth="1"/>
    <col min="7" max="7" width="11.44140625" style="103" bestFit="1" customWidth="1"/>
    <col min="8" max="8" width="10.44140625" style="103" customWidth="1"/>
    <col min="9" max="9" width="1.6640625" style="103" customWidth="1"/>
    <col min="10" max="10" width="10.6640625" style="103" bestFit="1" customWidth="1"/>
    <col min="11" max="11" width="1.109375" style="103" customWidth="1"/>
    <col min="12" max="12" width="10.21875" style="103" customWidth="1"/>
    <col min="13" max="13" width="1.6640625" style="103" customWidth="1"/>
    <col min="14" max="14" width="10.44140625" style="103" bestFit="1" customWidth="1"/>
    <col min="15" max="15" width="8.21875" style="103" customWidth="1"/>
    <col min="16" max="16" width="8.77734375" style="103" customWidth="1"/>
    <col min="17" max="17" width="8.88671875" style="103" bestFit="1" customWidth="1"/>
    <col min="18" max="19" width="8" style="103" bestFit="1" customWidth="1"/>
    <col min="20" max="16384" width="7.109375" style="103"/>
  </cols>
  <sheetData>
    <row r="1" spans="1:21">
      <c r="A1" s="1223" t="str">
        <f>'Table of Contents'!A1:C1</f>
        <v>Atmos Energy Corporation, Kentucky/Mid-States Division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</row>
    <row r="2" spans="1:21">
      <c r="A2" s="1223" t="str">
        <f>'Table of Contents'!A2:C2</f>
        <v>Kentucky Jurisdiction Case No. 2018-00281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</row>
    <row r="3" spans="1:21">
      <c r="A3" s="1223" t="s">
        <v>612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</row>
    <row r="4" spans="1:21">
      <c r="A4" s="1223" t="str">
        <f>'Table of Contents'!A3:C3</f>
        <v>Base Period: Twelve Months Ended December 31, 2018</v>
      </c>
      <c r="B4" s="1223"/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M4" s="1223"/>
      <c r="N4" s="1223"/>
      <c r="O4" s="1223"/>
      <c r="P4" s="1223"/>
    </row>
    <row r="5" spans="1:21">
      <c r="A5" s="1223" t="str">
        <f>'Table of Contents'!A4:C4</f>
        <v>Forecasted Test Period: Twelve Months Ended March 31, 2020</v>
      </c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1223"/>
    </row>
    <row r="6" spans="1:21">
      <c r="A6" s="765"/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U6" s="103" t="s">
        <v>323</v>
      </c>
    </row>
    <row r="7" spans="1:21">
      <c r="A7" s="584" t="s">
        <v>680</v>
      </c>
      <c r="P7" s="950" t="s">
        <v>1439</v>
      </c>
    </row>
    <row r="8" spans="1:21">
      <c r="A8" s="584" t="s">
        <v>615</v>
      </c>
      <c r="P8" s="957" t="s">
        <v>1136</v>
      </c>
    </row>
    <row r="9" spans="1:21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47"/>
      <c r="N9" s="958"/>
      <c r="O9" s="958"/>
      <c r="P9" s="959" t="s">
        <v>1711</v>
      </c>
    </row>
    <row r="10" spans="1:21">
      <c r="D10" s="1222" t="s">
        <v>1161</v>
      </c>
      <c r="E10" s="1222"/>
      <c r="F10" s="1222"/>
      <c r="G10" s="1222"/>
      <c r="H10" s="1222"/>
      <c r="J10" s="960" t="s">
        <v>1127</v>
      </c>
      <c r="K10" s="765"/>
      <c r="L10" s="960" t="s">
        <v>128</v>
      </c>
      <c r="N10" s="961"/>
      <c r="O10" s="961"/>
      <c r="P10" s="961"/>
    </row>
    <row r="12" spans="1:21">
      <c r="D12" s="634"/>
      <c r="E12" s="634"/>
      <c r="F12" s="634"/>
      <c r="G12" s="634"/>
      <c r="H12" s="634"/>
      <c r="J12" s="962"/>
      <c r="K12" s="963"/>
      <c r="L12" s="962"/>
    </row>
    <row r="13" spans="1:21">
      <c r="A13" s="964"/>
      <c r="B13" s="964"/>
      <c r="C13" s="964"/>
      <c r="D13" s="635" t="s">
        <v>1351</v>
      </c>
      <c r="E13" s="635" t="s">
        <v>1393</v>
      </c>
      <c r="F13" s="635" t="s">
        <v>1576</v>
      </c>
      <c r="G13" s="635" t="s">
        <v>1575</v>
      </c>
      <c r="H13" s="635" t="s">
        <v>1620</v>
      </c>
      <c r="J13" s="965">
        <v>43465</v>
      </c>
      <c r="K13" s="966"/>
      <c r="L13" s="965">
        <v>43921</v>
      </c>
      <c r="N13" s="640">
        <v>2020</v>
      </c>
      <c r="O13" s="635" t="s">
        <v>1592</v>
      </c>
      <c r="P13" s="635" t="s">
        <v>1665</v>
      </c>
      <c r="Q13" s="964"/>
      <c r="R13" s="964"/>
      <c r="S13" s="964"/>
      <c r="T13" s="964"/>
      <c r="U13" s="964"/>
    </row>
    <row r="14" spans="1:21">
      <c r="A14" s="103" t="s">
        <v>597</v>
      </c>
      <c r="D14" s="765" t="s">
        <v>146</v>
      </c>
      <c r="E14" s="765" t="s">
        <v>146</v>
      </c>
      <c r="F14" s="765" t="s">
        <v>146</v>
      </c>
      <c r="G14" s="765" t="s">
        <v>146</v>
      </c>
      <c r="H14" s="765"/>
      <c r="J14" s="765" t="s">
        <v>146</v>
      </c>
      <c r="L14" s="765" t="s">
        <v>146</v>
      </c>
      <c r="N14" s="765" t="s">
        <v>146</v>
      </c>
      <c r="O14" s="765" t="s">
        <v>146</v>
      </c>
      <c r="P14" s="765" t="s">
        <v>146</v>
      </c>
    </row>
    <row r="15" spans="1:21">
      <c r="A15" s="103" t="s">
        <v>598</v>
      </c>
    </row>
    <row r="16" spans="1:21">
      <c r="B16" s="103" t="s">
        <v>599</v>
      </c>
      <c r="D16" s="636">
        <f>'[32]Div 9'!C12/1000</f>
        <v>148864.67319999999</v>
      </c>
      <c r="E16" s="636">
        <f>'[32]Div 9'!D12/1000</f>
        <v>180147.3222</v>
      </c>
      <c r="F16" s="636">
        <f>'[32]Div 9'!E12/1000</f>
        <v>153227.91780000002</v>
      </c>
      <c r="G16" s="636">
        <f>'[32]Div 9'!F12/1000</f>
        <v>129826.6634</v>
      </c>
      <c r="H16" s="636">
        <f>'[32]Div 9'!G12/1000</f>
        <v>144869.82669999998</v>
      </c>
      <c r="I16" s="636"/>
      <c r="J16" s="636">
        <f>'C.2.1 B'!D23/1000</f>
        <v>154820.47581367986</v>
      </c>
      <c r="K16" s="636"/>
      <c r="L16" s="636">
        <f>'C.2.1 F'!D19/1000</f>
        <v>150247.70188280122</v>
      </c>
      <c r="M16" s="636"/>
      <c r="N16" s="636">
        <f>'[9]Summary of Revenue'!AI$15/1000</f>
        <v>149813.68913039719</v>
      </c>
      <c r="O16" s="636">
        <f>'[9]Summary of Revenue'!AJ$15/1000</f>
        <v>148320.98001177638</v>
      </c>
      <c r="P16" s="636">
        <f>'[9]Summary of Revenue'!AK$15/1000</f>
        <v>147963.10499548007</v>
      </c>
      <c r="Q16" s="636"/>
    </row>
    <row r="17" spans="1:18">
      <c r="B17" s="103" t="s">
        <v>180</v>
      </c>
      <c r="D17" s="636">
        <f>'[32]Div 9'!C13/1000</f>
        <v>12586.588679999999</v>
      </c>
      <c r="E17" s="636">
        <f>'[32]Div 9'!D13/1000</f>
        <v>14310.85176</v>
      </c>
      <c r="F17" s="636">
        <f>'[32]Div 9'!E13/1000</f>
        <v>15087.053260000001</v>
      </c>
      <c r="G17" s="636">
        <f>'[32]Div 9'!F13/1000</f>
        <v>15747.936089999999</v>
      </c>
      <c r="H17" s="636">
        <f>'[32]Div 9'!G13/1000</f>
        <v>17214.913700000001</v>
      </c>
      <c r="I17" s="636"/>
      <c r="J17" s="636">
        <f>('C.2.1 B'!D28)/1000</f>
        <v>17013.346017499993</v>
      </c>
      <c r="K17" s="636"/>
      <c r="L17" s="636">
        <f>('C.2.1 F'!D24)/1000</f>
        <v>14881.381989872882</v>
      </c>
      <c r="M17" s="636"/>
      <c r="N17" s="636">
        <f>'[9]Summary of Revenue'!AI$20/1000</f>
        <v>14881.381989872882</v>
      </c>
      <c r="O17" s="636">
        <f>'[9]Summary of Revenue'!AJ$20/1000</f>
        <v>14881.381989872882</v>
      </c>
      <c r="P17" s="636">
        <f>'[9]Summary of Revenue'!AK$20/1000</f>
        <v>14881.381989872882</v>
      </c>
      <c r="Q17" s="636"/>
      <c r="R17" s="802"/>
    </row>
    <row r="18" spans="1:18">
      <c r="B18" s="103" t="s">
        <v>600</v>
      </c>
      <c r="D18" s="644">
        <f>SUM('[32]Div 9'!C14:C15)/1000</f>
        <v>1517.1913500000001</v>
      </c>
      <c r="E18" s="644">
        <f>SUM('[32]Div 9'!D14:D15)/1000</f>
        <v>2423.5631400000002</v>
      </c>
      <c r="F18" s="644">
        <f>SUM('[32]Div 9'!E14:E15)/1000</f>
        <v>2152.5820800000001</v>
      </c>
      <c r="G18" s="644">
        <f>SUM('[32]Div 9'!F14:F15)/1000</f>
        <v>1856.60124</v>
      </c>
      <c r="H18" s="644">
        <f>SUM('[32]Div 9'!G14:G15)/1000</f>
        <v>2017.2438300000001</v>
      </c>
      <c r="I18" s="644"/>
      <c r="J18" s="644">
        <f>('C.2.1 B'!D26+'C.2.1 B'!D27+'C.2.1 B'!D29)/1000</f>
        <v>3328.9629978780231</v>
      </c>
      <c r="K18" s="644"/>
      <c r="L18" s="644">
        <f>('C.2.1 F'!D22+'C.2.1 F'!D23+'C.2.1 F'!D25)/1000</f>
        <v>4588.7819642816557</v>
      </c>
      <c r="M18" s="644"/>
      <c r="N18" s="644">
        <f t="shared" ref="N18:P18" si="0">N19-N16-N17</f>
        <v>4583.8776940664266</v>
      </c>
      <c r="O18" s="644">
        <f t="shared" si="0"/>
        <v>4571.0161925891462</v>
      </c>
      <c r="P18" s="644">
        <f t="shared" si="0"/>
        <v>4567.9327759429743</v>
      </c>
      <c r="Q18" s="636"/>
    </row>
    <row r="19" spans="1:18">
      <c r="A19" s="103" t="s">
        <v>601</v>
      </c>
      <c r="D19" s="636">
        <f>SUM(D16:D18)</f>
        <v>162968.45322999998</v>
      </c>
      <c r="E19" s="636">
        <f>SUM(E16:E18)</f>
        <v>196881.7371</v>
      </c>
      <c r="F19" s="636">
        <f>SUM(F16:F18)</f>
        <v>170467.55314</v>
      </c>
      <c r="G19" s="636">
        <f>SUM(G16:G18)</f>
        <v>147431.20072999998</v>
      </c>
      <c r="H19" s="636">
        <f>SUM(H16:H18)</f>
        <v>164101.98422999997</v>
      </c>
      <c r="I19" s="636"/>
      <c r="J19" s="636">
        <f>SUM(J16:J18)</f>
        <v>175162.78482905787</v>
      </c>
      <c r="K19" s="636"/>
      <c r="L19" s="636">
        <f>SUM(L16:L18)</f>
        <v>169717.86583695575</v>
      </c>
      <c r="M19" s="636"/>
      <c r="N19" s="636">
        <f>'[9]Summary of Revenue'!AI$23/1000</f>
        <v>169278.9488143365</v>
      </c>
      <c r="O19" s="636">
        <f>'[9]Summary of Revenue'!AJ$23/1000</f>
        <v>167773.37819423841</v>
      </c>
      <c r="P19" s="636">
        <f>'[9]Summary of Revenue'!AK$23/1000</f>
        <v>167412.41976129593</v>
      </c>
      <c r="Q19" s="636"/>
    </row>
    <row r="20" spans="1:18"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</row>
    <row r="21" spans="1:18">
      <c r="A21" s="103" t="s">
        <v>602</v>
      </c>
      <c r="D21" s="636">
        <f>'[32]Div 9'!C18/1000</f>
        <v>94656.999469999995</v>
      </c>
      <c r="E21" s="636">
        <f>'[32]Div 9'!D18/1000</f>
        <v>118107.394</v>
      </c>
      <c r="F21" s="636">
        <f>'[32]Div 9'!E18/1000</f>
        <v>87746.32220000001</v>
      </c>
      <c r="G21" s="636">
        <f>'[32]Div 9'!F18/1000</f>
        <v>61180.230950000005</v>
      </c>
      <c r="H21" s="636">
        <f>'[32]Div 9'!G18/1000</f>
        <v>70880.021340000007</v>
      </c>
      <c r="I21" s="644"/>
      <c r="J21" s="644">
        <f>'C.2.1 B'!D105/1000</f>
        <v>83882.421513938578</v>
      </c>
      <c r="K21" s="644"/>
      <c r="L21" s="644">
        <f>'C.2.1 F'!D100/1000</f>
        <v>78382.354153255874</v>
      </c>
      <c r="M21" s="644"/>
      <c r="N21" s="636">
        <f>'[9]Summary of Revenue'!AI$25/1000</f>
        <v>77907.151519755425</v>
      </c>
      <c r="O21" s="636">
        <f>'[9]Summary of Revenue'!AJ$25/1000</f>
        <v>76310.35964597181</v>
      </c>
      <c r="P21" s="636">
        <f>'[9]Summary of Revenue'!AK$25/1000</f>
        <v>75848.40144516014</v>
      </c>
      <c r="Q21" s="636"/>
    </row>
    <row r="22" spans="1:18">
      <c r="A22" s="103" t="s">
        <v>113</v>
      </c>
      <c r="D22" s="637">
        <f>+D19-D21</f>
        <v>68311.453759999989</v>
      </c>
      <c r="E22" s="637">
        <f>+E19-E21</f>
        <v>78774.343099999998</v>
      </c>
      <c r="F22" s="637">
        <f>+F19-F21</f>
        <v>82721.230939999994</v>
      </c>
      <c r="G22" s="637">
        <f>+G19-G21</f>
        <v>86250.969779999985</v>
      </c>
      <c r="H22" s="637">
        <f>+H19-H21</f>
        <v>93221.962889999966</v>
      </c>
      <c r="I22" s="636"/>
      <c r="J22" s="636">
        <f>+J19-J21</f>
        <v>91280.363315119292</v>
      </c>
      <c r="K22" s="636"/>
      <c r="L22" s="636">
        <f>+L19-L21</f>
        <v>91335.511683699879</v>
      </c>
      <c r="M22" s="636"/>
      <c r="N22" s="637">
        <f>+N19-N21</f>
        <v>91371.797294581076</v>
      </c>
      <c r="O22" s="637">
        <f>+O19-O21</f>
        <v>91463.018548266598</v>
      </c>
      <c r="P22" s="637">
        <f>+P19-P21</f>
        <v>91564.018316135785</v>
      </c>
      <c r="Q22" s="636"/>
    </row>
    <row r="23" spans="1:18"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</row>
    <row r="24" spans="1:18">
      <c r="A24" s="103" t="s">
        <v>990</v>
      </c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</row>
    <row r="25" spans="1:18">
      <c r="B25" s="103" t="s">
        <v>114</v>
      </c>
      <c r="D25" s="636">
        <f>SUM('[32]Div 9'!C23:C24)/1000</f>
        <v>14376.62355</v>
      </c>
      <c r="E25" s="636">
        <f>SUM('[32]Div 9'!D23:D24)/1000</f>
        <v>14815.001259999999</v>
      </c>
      <c r="F25" s="636">
        <f>SUM('[32]Div 9'!E23:E24)/1000</f>
        <v>14926.689049999999</v>
      </c>
      <c r="G25" s="636">
        <f>SUM('[32]Div 9'!F23:F24)/1000</f>
        <v>14518.409319999999</v>
      </c>
      <c r="H25" s="636">
        <f>SUM('[32]Div 9'!G23:G24)/1000</f>
        <v>16031.043750000001</v>
      </c>
      <c r="I25" s="636"/>
      <c r="J25" s="636">
        <f>(SUM('C.2.2 B 09'!P47:P111)-'C.2.2 B 09'!P102)/1000</f>
        <v>15500.391191799994</v>
      </c>
      <c r="K25" s="636"/>
      <c r="L25" s="636">
        <f>'C.1'!F19/1000-I.1!L26</f>
        <v>12722.78216480548</v>
      </c>
      <c r="M25" s="636"/>
      <c r="N25" s="636">
        <v>18914</v>
      </c>
      <c r="O25" s="636">
        <v>19149</v>
      </c>
      <c r="P25" s="636">
        <v>19392</v>
      </c>
      <c r="Q25" s="636"/>
    </row>
    <row r="26" spans="1:18">
      <c r="B26" s="103" t="s">
        <v>561</v>
      </c>
      <c r="D26" s="636">
        <f>'[32]Div 9'!C25/1000</f>
        <v>11534.019539999999</v>
      </c>
      <c r="E26" s="636">
        <f>'[32]Div 9'!D25/1000</f>
        <v>12035.970230000001</v>
      </c>
      <c r="F26" s="636">
        <f>'[32]Div 9'!E25/1000</f>
        <v>12874.015009999999</v>
      </c>
      <c r="G26" s="636">
        <f>'[32]Div 9'!F25/1000</f>
        <v>12708.20644</v>
      </c>
      <c r="H26" s="636">
        <f>'[32]Div 9'!G25/1000</f>
        <v>11828.78384</v>
      </c>
      <c r="I26" s="636"/>
      <c r="J26" s="636">
        <f>'C.2.2 B 09'!P102/1000</f>
        <v>13030.745356380932</v>
      </c>
      <c r="K26" s="636"/>
      <c r="L26" s="636">
        <f>'C.2.2-F 09'!P102/1000</f>
        <v>14498.764188985626</v>
      </c>
      <c r="M26" s="636"/>
      <c r="N26" s="636">
        <v>11053</v>
      </c>
      <c r="O26" s="636">
        <v>11362</v>
      </c>
      <c r="P26" s="636">
        <v>11757</v>
      </c>
      <c r="Q26" s="636"/>
    </row>
    <row r="27" spans="1:18">
      <c r="B27" s="103" t="s">
        <v>115</v>
      </c>
      <c r="D27" s="636">
        <f>'[32]Div 9'!C26/1000</f>
        <v>14919.02095</v>
      </c>
      <c r="E27" s="636">
        <f>'[32]Div 9'!D26/1000</f>
        <v>16845.71213</v>
      </c>
      <c r="F27" s="636">
        <f>'[32]Div 9'!E26/1000</f>
        <v>18635.692589999999</v>
      </c>
      <c r="G27" s="636">
        <f>'[32]Div 9'!F26/1000</f>
        <v>19120.630430000001</v>
      </c>
      <c r="H27" s="636">
        <f>'[32]Div 9'!G26/1000</f>
        <v>19379.359539999998</v>
      </c>
      <c r="I27" s="636"/>
      <c r="J27" s="636">
        <f>'C.2.1 B'!D176/1000</f>
        <v>20643.161685444811</v>
      </c>
      <c r="K27" s="636"/>
      <c r="L27" s="636">
        <f>'C.2'!K26/1000</f>
        <v>15749.357714761427</v>
      </c>
      <c r="M27" s="636"/>
      <c r="N27" s="636">
        <v>25167</v>
      </c>
      <c r="O27" s="636">
        <v>28556</v>
      </c>
      <c r="P27" s="636">
        <v>32382</v>
      </c>
      <c r="Q27" s="636"/>
    </row>
    <row r="28" spans="1:18">
      <c r="B28" s="103" t="s">
        <v>116</v>
      </c>
      <c r="D28" s="636">
        <f>'[32]Div 9'!C27/1000</f>
        <v>3871.4445599999999</v>
      </c>
      <c r="E28" s="636">
        <f>'[32]Div 9'!D27/1000</f>
        <v>4647.8072000000002</v>
      </c>
      <c r="F28" s="636">
        <f>'[32]Div 9'!E27/1000</f>
        <v>7342.9721100000006</v>
      </c>
      <c r="G28" s="636">
        <f>'[32]Div 9'!F27/1000</f>
        <v>5919.1201500000006</v>
      </c>
      <c r="H28" s="636">
        <f>'[32]Div 9'!G27/1000</f>
        <v>6335.9178899999997</v>
      </c>
      <c r="I28" s="644"/>
      <c r="J28" s="644">
        <f>'C.2.1 B'!D178/1000</f>
        <v>6491.5736049994512</v>
      </c>
      <c r="K28" s="644"/>
      <c r="L28" s="644">
        <f>'C.2.1 F'!D172/1000</f>
        <v>7511.8369326441752</v>
      </c>
      <c r="M28" s="644"/>
      <c r="N28" s="644">
        <v>9637</v>
      </c>
      <c r="O28" s="644">
        <v>10834</v>
      </c>
      <c r="P28" s="644">
        <v>12165</v>
      </c>
      <c r="Q28" s="636"/>
    </row>
    <row r="29" spans="1:18">
      <c r="A29" s="103" t="s">
        <v>1120</v>
      </c>
      <c r="D29" s="637">
        <f>SUM(D25:D28)</f>
        <v>44701.108599999992</v>
      </c>
      <c r="E29" s="637">
        <f>SUM(E25:E28)</f>
        <v>48344.490819999999</v>
      </c>
      <c r="F29" s="637">
        <f>SUM(F25:F28)</f>
        <v>53779.368759999998</v>
      </c>
      <c r="G29" s="637">
        <f>SUM(G25:G28)</f>
        <v>52266.366340000008</v>
      </c>
      <c r="H29" s="637">
        <f>SUM(H25:H28)</f>
        <v>53575.105019999995</v>
      </c>
      <c r="I29" s="636"/>
      <c r="J29" s="636">
        <f>SUM(J25:J28)</f>
        <v>55665.871838625193</v>
      </c>
      <c r="K29" s="636"/>
      <c r="L29" s="636">
        <f>SUM(L25:L28)</f>
        <v>50482.741001196708</v>
      </c>
      <c r="M29" s="636"/>
      <c r="N29" s="636">
        <f>SUM(N25:N28)</f>
        <v>64771</v>
      </c>
      <c r="O29" s="636">
        <f>SUM(O25:O28)</f>
        <v>69901</v>
      </c>
      <c r="P29" s="636">
        <f>SUM(P25:P28)</f>
        <v>75696</v>
      </c>
      <c r="Q29" s="636"/>
    </row>
    <row r="30" spans="1:18"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36"/>
    </row>
    <row r="31" spans="1:18">
      <c r="A31" s="103" t="s">
        <v>581</v>
      </c>
      <c r="D31" s="636">
        <f>+D22-D29</f>
        <v>23610.345159999997</v>
      </c>
      <c r="E31" s="636">
        <f>+E22-E29</f>
        <v>30429.852279999999</v>
      </c>
      <c r="F31" s="636">
        <f>+F22-F29</f>
        <v>28941.862179999996</v>
      </c>
      <c r="G31" s="636">
        <f>+G22-G29</f>
        <v>33984.603439999977</v>
      </c>
      <c r="H31" s="636">
        <f>+H22-H29</f>
        <v>39646.857869999971</v>
      </c>
      <c r="I31" s="636"/>
      <c r="J31" s="636">
        <f>+J22-J29</f>
        <v>35614.491476494099</v>
      </c>
      <c r="K31" s="636"/>
      <c r="L31" s="636">
        <f>+L22-L29</f>
        <v>40852.770682503171</v>
      </c>
      <c r="M31" s="636"/>
      <c r="N31" s="636">
        <f>+N22-N29</f>
        <v>26600.797294581076</v>
      </c>
      <c r="O31" s="636">
        <f>+O22-O29</f>
        <v>21562.018548266598</v>
      </c>
      <c r="P31" s="636">
        <f>+P22-P29</f>
        <v>15868.018316135785</v>
      </c>
      <c r="Q31" s="636"/>
    </row>
    <row r="32" spans="1:18"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</row>
    <row r="33" spans="1:18">
      <c r="A33" s="103" t="s">
        <v>582</v>
      </c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</row>
    <row r="34" spans="1:18">
      <c r="B34" s="103" t="s">
        <v>799</v>
      </c>
      <c r="D34" s="636">
        <f>'[32]Div 9'!C33/1000</f>
        <v>82.738509999999991</v>
      </c>
      <c r="E34" s="636">
        <f>'[32]Div 9'!D33/1000</f>
        <v>69.150829999999999</v>
      </c>
      <c r="F34" s="636">
        <f>'[32]Div 9'!E33/1000</f>
        <v>39.563760000000002</v>
      </c>
      <c r="G34" s="636">
        <f>'[32]Div 9'!F33/1000</f>
        <v>42.014339999999997</v>
      </c>
      <c r="H34" s="636">
        <f>'[32]Div 9'!G33/1000</f>
        <v>32.01484</v>
      </c>
      <c r="I34" s="636"/>
      <c r="J34" s="636">
        <f>H34</f>
        <v>32.01484</v>
      </c>
      <c r="K34" s="636"/>
      <c r="L34" s="636">
        <f>J34</f>
        <v>32.01484</v>
      </c>
      <c r="M34" s="636"/>
      <c r="N34" s="636">
        <f>L34</f>
        <v>32.01484</v>
      </c>
      <c r="O34" s="636">
        <f>N34</f>
        <v>32.01484</v>
      </c>
      <c r="P34" s="636">
        <f>N34</f>
        <v>32.01484</v>
      </c>
      <c r="Q34" s="636"/>
    </row>
    <row r="35" spans="1:18">
      <c r="B35" s="103" t="s">
        <v>50</v>
      </c>
      <c r="D35" s="636">
        <f>'[32]Div 9'!C34/1000</f>
        <v>2658.6314700000003</v>
      </c>
      <c r="E35" s="636">
        <f>'[32]Div 9'!D34/1000</f>
        <v>2704.8019900000004</v>
      </c>
      <c r="F35" s="636">
        <f>'[32]Div 9'!E34/1000</f>
        <v>2795.0063500000001</v>
      </c>
      <c r="G35" s="636">
        <f>'[32]Div 9'!F34/1000</f>
        <v>2791.57728</v>
      </c>
      <c r="H35" s="636">
        <f>'[32]Div 9'!G34/1000</f>
        <v>3246.1487599999996</v>
      </c>
      <c r="I35" s="636"/>
      <c r="J35" s="636">
        <f>H35</f>
        <v>3246.1487599999996</v>
      </c>
      <c r="K35" s="636"/>
      <c r="L35" s="636">
        <f t="shared" ref="L35:L36" si="1">J35</f>
        <v>3246.1487599999996</v>
      </c>
      <c r="M35" s="636"/>
      <c r="N35" s="636">
        <v>3000</v>
      </c>
      <c r="O35" s="636">
        <v>3000</v>
      </c>
      <c r="P35" s="636">
        <v>3000</v>
      </c>
      <c r="R35" s="636"/>
    </row>
    <row r="36" spans="1:18">
      <c r="B36" s="103" t="s">
        <v>1578</v>
      </c>
      <c r="D36" s="636">
        <f>'[32]Div 9'!C40/-1000</f>
        <v>-193.89732000000001</v>
      </c>
      <c r="E36" s="636">
        <f>'[32]Div 9'!D40/-1000</f>
        <v>-298.85159999999996</v>
      </c>
      <c r="F36" s="636">
        <f>'[32]Div 9'!E40/-1000</f>
        <v>-427.16967999999997</v>
      </c>
      <c r="G36" s="636">
        <f>'[32]Div 9'!F40/-1000</f>
        <v>-354.79807</v>
      </c>
      <c r="H36" s="636">
        <f>'[32]Div 9'!G40/-1000</f>
        <v>-360.83671000000004</v>
      </c>
      <c r="I36" s="636"/>
      <c r="J36" s="636">
        <f>H36</f>
        <v>-360.83671000000004</v>
      </c>
      <c r="K36" s="636"/>
      <c r="L36" s="636">
        <f t="shared" si="1"/>
        <v>-360.83671000000004</v>
      </c>
      <c r="M36" s="636"/>
      <c r="N36" s="636">
        <f>L36</f>
        <v>-360.83671000000004</v>
      </c>
      <c r="O36" s="636">
        <f>N36</f>
        <v>-360.83671000000004</v>
      </c>
      <c r="P36" s="636">
        <f t="shared" ref="P36" si="2">N36</f>
        <v>-360.83671000000004</v>
      </c>
      <c r="R36" s="636"/>
    </row>
    <row r="37" spans="1:18">
      <c r="B37" s="103" t="s">
        <v>583</v>
      </c>
      <c r="D37" s="636">
        <f>('[32]Div 9'!C35-'[32]Div 9'!C41)/1000</f>
        <v>-514.19116999999994</v>
      </c>
      <c r="E37" s="636">
        <f>('[32]Div 9'!D35-'[32]Div 9'!D41)/1000</f>
        <v>-455.90368999999998</v>
      </c>
      <c r="F37" s="636">
        <f>('[32]Div 9'!E35-'[32]Div 9'!E41)/1000</f>
        <v>-344.33965000000001</v>
      </c>
      <c r="G37" s="636">
        <f>('[32]Div 9'!F35-'[32]Div 9'!F41)/1000</f>
        <v>-391.44265999999999</v>
      </c>
      <c r="H37" s="636">
        <f>('[32]Div 9'!G35-'[32]Div 9'!G41)/1000</f>
        <v>-403.49967000000004</v>
      </c>
      <c r="I37" s="644"/>
      <c r="J37" s="644">
        <f>H37</f>
        <v>-403.49967000000004</v>
      </c>
      <c r="K37" s="644"/>
      <c r="L37" s="644">
        <f>J37</f>
        <v>-403.49967000000004</v>
      </c>
      <c r="M37" s="644"/>
      <c r="N37" s="644">
        <f>L37</f>
        <v>-403.49967000000004</v>
      </c>
      <c r="O37" s="644">
        <f>N37</f>
        <v>-403.49967000000004</v>
      </c>
      <c r="P37" s="644">
        <f>O37</f>
        <v>-403.49967000000004</v>
      </c>
      <c r="Q37" s="636"/>
    </row>
    <row r="38" spans="1:18">
      <c r="A38" s="103" t="s">
        <v>51</v>
      </c>
      <c r="D38" s="637">
        <f>SUM(D34:D37)</f>
        <v>2033.2814900000003</v>
      </c>
      <c r="E38" s="637">
        <f t="shared" ref="E38:P38" si="3">SUM(E34:E37)</f>
        <v>2019.1975300000004</v>
      </c>
      <c r="F38" s="637">
        <f t="shared" si="3"/>
        <v>2063.0607800000002</v>
      </c>
      <c r="G38" s="637">
        <f t="shared" si="3"/>
        <v>2087.3508900000002</v>
      </c>
      <c r="H38" s="637">
        <f t="shared" si="3"/>
        <v>2513.8272199999992</v>
      </c>
      <c r="I38" s="637"/>
      <c r="J38" s="637">
        <f t="shared" si="3"/>
        <v>2513.8272199999992</v>
      </c>
      <c r="K38" s="637">
        <f t="shared" si="3"/>
        <v>0</v>
      </c>
      <c r="L38" s="637">
        <f t="shared" si="3"/>
        <v>2513.8272199999992</v>
      </c>
      <c r="M38" s="637"/>
      <c r="N38" s="637">
        <f t="shared" si="3"/>
        <v>2267.6784599999996</v>
      </c>
      <c r="O38" s="637">
        <f t="shared" si="3"/>
        <v>2267.6784599999996</v>
      </c>
      <c r="P38" s="637">
        <f t="shared" si="3"/>
        <v>2267.6784599999996</v>
      </c>
      <c r="Q38" s="636"/>
    </row>
    <row r="39" spans="1:18"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</row>
    <row r="40" spans="1:18">
      <c r="A40" s="103" t="s">
        <v>989</v>
      </c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</row>
    <row r="41" spans="1:18">
      <c r="A41" s="103" t="s">
        <v>722</v>
      </c>
      <c r="D41" s="638">
        <f>('[32]Div 9'!C38+'[32]Div 9'!C39)/1000</f>
        <v>6436.1180700000004</v>
      </c>
      <c r="E41" s="638">
        <f>('[32]Div 9'!D38+'[32]Div 9'!D39)/1000</f>
        <v>6419.0697699999992</v>
      </c>
      <c r="F41" s="638">
        <f>('[32]Div 9'!E38+'[32]Div 9'!E39)/1000</f>
        <v>6743.6427100000001</v>
      </c>
      <c r="G41" s="638">
        <f>('[32]Div 9'!F38+'[32]Div 9'!F39)/1000</f>
        <v>7377.4536399999997</v>
      </c>
      <c r="H41" s="638">
        <f>('[32]Div 9'!G38+'[32]Div 9'!G39)/1000</f>
        <v>8008.5934800000005</v>
      </c>
      <c r="I41" s="638"/>
      <c r="J41" s="638">
        <f>E!E32/1000</f>
        <v>8488.2486101813101</v>
      </c>
      <c r="K41" s="638"/>
      <c r="L41" s="638">
        <f>E!G32/1000</f>
        <v>9432.0063752004953</v>
      </c>
      <c r="M41" s="638"/>
      <c r="N41" s="638">
        <f>5217+N38</f>
        <v>7484.6784599999992</v>
      </c>
      <c r="O41" s="638">
        <f>6833+O38</f>
        <v>9100.6784599999992</v>
      </c>
      <c r="P41" s="638">
        <f>8935+P38</f>
        <v>11202.678459999999</v>
      </c>
      <c r="Q41" s="636"/>
    </row>
    <row r="42" spans="1:18">
      <c r="A42" s="103" t="s">
        <v>723</v>
      </c>
      <c r="D42" s="638">
        <f>+D31+D38-D41</f>
        <v>19207.508579999998</v>
      </c>
      <c r="E42" s="638">
        <f>+E31+E38-E41</f>
        <v>26029.980040000002</v>
      </c>
      <c r="F42" s="638">
        <f>+F31+F38-F41</f>
        <v>24261.280249999996</v>
      </c>
      <c r="G42" s="638">
        <f>+G31+G38-G41</f>
        <v>28694.500689999979</v>
      </c>
      <c r="H42" s="638">
        <f>+H31+H38-H41</f>
        <v>34152.091609999967</v>
      </c>
      <c r="I42" s="638"/>
      <c r="J42" s="638">
        <f>+J31+J38-J41</f>
        <v>29640.070086312786</v>
      </c>
      <c r="K42" s="638"/>
      <c r="L42" s="638">
        <f>+L31+L38-L41</f>
        <v>33934.591527302677</v>
      </c>
      <c r="M42" s="638"/>
      <c r="N42" s="638">
        <f>+N31+N38-N41</f>
        <v>21383.797294581076</v>
      </c>
      <c r="O42" s="638">
        <f>+O31+O38-O41</f>
        <v>14729.018548266598</v>
      </c>
      <c r="P42" s="638">
        <f>+P31+P38-P41</f>
        <v>6933.0183161357854</v>
      </c>
      <c r="Q42" s="636"/>
    </row>
    <row r="43" spans="1:18">
      <c r="B43" s="103" t="s">
        <v>724</v>
      </c>
      <c r="D43" s="638">
        <f>'[32]Div 9'!C48/1000</f>
        <v>7419.8234199999997</v>
      </c>
      <c r="E43" s="638">
        <f>'[32]Div 9'!D48/1000</f>
        <v>9671.5353699999996</v>
      </c>
      <c r="F43" s="638">
        <f>'[32]Div 9'!E48/1000</f>
        <v>9884.3428100000001</v>
      </c>
      <c r="G43" s="638">
        <f>'[32]Div 9'!F48/1000</f>
        <v>9516.4333000000006</v>
      </c>
      <c r="H43" s="638">
        <f>'[32]Div 9'!G48/1000</f>
        <v>9696.7549999999992</v>
      </c>
      <c r="I43" s="638"/>
      <c r="J43" s="638">
        <f>J42*E!$G$21</f>
        <v>7395.1974865350403</v>
      </c>
      <c r="K43" s="638"/>
      <c r="L43" s="638">
        <f>L42*E!$G$21</f>
        <v>8466.680586062017</v>
      </c>
      <c r="M43" s="638"/>
      <c r="N43" s="638">
        <f>N42*(ROUND(0.06+0.21*(1-0.06),5))-1463766/1000</f>
        <v>4040.4234236251691</v>
      </c>
      <c r="O43" s="638">
        <f t="shared" ref="O43:P43" si="4">O42*(ROUND(0.06+0.21*(1-0.06),5))-1463766/1000</f>
        <v>2327.4833743238228</v>
      </c>
      <c r="P43" s="638">
        <f t="shared" si="4"/>
        <v>320.79291457335125</v>
      </c>
      <c r="Q43" s="636"/>
    </row>
    <row r="44" spans="1:18"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</row>
    <row r="45" spans="1:18" ht="15.75" thickBot="1">
      <c r="A45" s="103" t="s">
        <v>172</v>
      </c>
      <c r="D45" s="639">
        <f>+D42-D43</f>
        <v>11787.685159999997</v>
      </c>
      <c r="E45" s="639">
        <f>+E42-E43</f>
        <v>16358.444670000003</v>
      </c>
      <c r="F45" s="639">
        <f>+F42-F43</f>
        <v>14376.937439999996</v>
      </c>
      <c r="G45" s="639">
        <f>+G42-G43</f>
        <v>19178.067389999978</v>
      </c>
      <c r="H45" s="639">
        <f>+H42-H43</f>
        <v>24455.336609999969</v>
      </c>
      <c r="I45" s="639"/>
      <c r="J45" s="639">
        <f>+J42-J43</f>
        <v>22244.872599777744</v>
      </c>
      <c r="K45" s="639"/>
      <c r="L45" s="639">
        <f>+L42-L43</f>
        <v>25467.910941240661</v>
      </c>
      <c r="M45" s="639"/>
      <c r="N45" s="639">
        <f>+N42-N43</f>
        <v>17343.373870955907</v>
      </c>
      <c r="O45" s="639">
        <f>+O42-O43</f>
        <v>12401.535173942775</v>
      </c>
      <c r="P45" s="639">
        <f>+P42-P43</f>
        <v>6612.2254015624339</v>
      </c>
      <c r="Q45" s="636"/>
    </row>
    <row r="46" spans="1:18" ht="15.75" thickTop="1">
      <c r="D46" s="428"/>
      <c r="E46" s="428"/>
      <c r="F46" s="428"/>
      <c r="G46" s="428"/>
      <c r="H46" s="428"/>
      <c r="I46" s="636"/>
      <c r="J46" s="428"/>
      <c r="K46" s="428"/>
      <c r="L46" s="428"/>
      <c r="M46" s="428"/>
      <c r="N46" s="428"/>
      <c r="O46" s="428"/>
      <c r="P46" s="428"/>
      <c r="Q46" s="428"/>
      <c r="R46" s="103" t="s">
        <v>323</v>
      </c>
    </row>
    <row r="47" spans="1:18">
      <c r="B47" s="955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</row>
    <row r="48" spans="1:18">
      <c r="B48" s="955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131"/>
    </row>
    <row r="49" spans="4:18"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131"/>
      <c r="R49" s="108"/>
    </row>
    <row r="50" spans="4:18"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131"/>
      <c r="R50" s="108"/>
    </row>
    <row r="51" spans="4:18">
      <c r="D51" s="636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</row>
    <row r="52" spans="4:18"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</row>
    <row r="53" spans="4:18"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108"/>
    </row>
    <row r="54" spans="4:18">
      <c r="D54" s="636"/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</row>
    <row r="55" spans="4:18"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108"/>
      <c r="O55" s="108"/>
      <c r="P55" s="636"/>
      <c r="Q55" s="636"/>
    </row>
    <row r="56" spans="4:18"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108"/>
      <c r="O56" s="108"/>
      <c r="P56" s="636"/>
      <c r="Q56" s="636"/>
    </row>
    <row r="57" spans="4:18"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</row>
    <row r="58" spans="4:18"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</row>
  </sheetData>
  <mergeCells count="6">
    <mergeCell ref="D10:H10"/>
    <mergeCell ref="A1:P1"/>
    <mergeCell ref="A2:P2"/>
    <mergeCell ref="A3:P3"/>
    <mergeCell ref="A4:P4"/>
    <mergeCell ref="A5:P5"/>
  </mergeCells>
  <phoneticPr fontId="22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  <ignoredErrors>
    <ignoredError sqref="O36" formula="1"/>
  </ignoredError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F45" sqref="F45"/>
      <selection pane="topRight" activeCell="F45" sqref="F45"/>
      <selection pane="bottomLeft" activeCell="F45" sqref="F45"/>
      <selection pane="bottomRight" sqref="A1:R1"/>
    </sheetView>
  </sheetViews>
  <sheetFormatPr defaultColWidth="7.109375" defaultRowHeight="15"/>
  <cols>
    <col min="1" max="1" width="4.44140625" style="103" customWidth="1"/>
    <col min="2" max="2" width="0" style="103" hidden="1" customWidth="1"/>
    <col min="3" max="3" width="12.33203125" style="103" customWidth="1"/>
    <col min="4" max="4" width="7.109375" style="103"/>
    <col min="5" max="5" width="4.44140625" style="103" customWidth="1"/>
    <col min="6" max="6" width="1.44140625" style="103" customWidth="1"/>
    <col min="7" max="7" width="13.33203125" style="103" bestFit="1" customWidth="1"/>
    <col min="8" max="8" width="12.88671875" style="103" customWidth="1"/>
    <col min="9" max="10" width="13.33203125" style="103" bestFit="1" customWidth="1"/>
    <col min="11" max="11" width="13.33203125" style="103" customWidth="1"/>
    <col min="12" max="12" width="1.44140625" style="103" customWidth="1"/>
    <col min="13" max="13" width="13.109375" style="103" bestFit="1" customWidth="1"/>
    <col min="14" max="14" width="1.44140625" style="103" customWidth="1"/>
    <col min="15" max="15" width="13.109375" style="103" bestFit="1" customWidth="1"/>
    <col min="16" max="16" width="1.44140625" style="103" customWidth="1"/>
    <col min="17" max="17" width="13.44140625" style="103" customWidth="1"/>
    <col min="18" max="19" width="13.5546875" style="103" customWidth="1"/>
    <col min="20" max="20" width="9.33203125" style="103" customWidth="1"/>
    <col min="21" max="22" width="11.44140625" style="103" bestFit="1" customWidth="1"/>
    <col min="23" max="16384" width="7.109375" style="103"/>
  </cols>
  <sheetData>
    <row r="1" spans="1:21">
      <c r="A1" s="1223" t="str">
        <f>'Table of Contents'!A1:C1</f>
        <v>Atmos Energy Corporation, Kentucky/Mid-States Division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  <c r="Q1" s="1223"/>
      <c r="R1" s="1223"/>
      <c r="S1" s="765"/>
    </row>
    <row r="2" spans="1:21">
      <c r="A2" s="1223" t="str">
        <f>'Table of Contents'!A2:C2</f>
        <v>Kentucky Jurisdiction Case No. 2018-00281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1223"/>
      <c r="R2" s="1223"/>
      <c r="S2" s="765"/>
    </row>
    <row r="3" spans="1:21">
      <c r="A3" s="1223" t="s">
        <v>313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765"/>
    </row>
    <row r="4" spans="1:21">
      <c r="A4" s="1223" t="str">
        <f>'Table of Contents'!A3:C3</f>
        <v>Base Period: Twelve Months Ended December 31, 2018</v>
      </c>
      <c r="B4" s="1223"/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M4" s="1223"/>
      <c r="N4" s="1223"/>
      <c r="O4" s="1223"/>
      <c r="P4" s="1223"/>
      <c r="Q4" s="1223"/>
      <c r="R4" s="1223"/>
      <c r="S4" s="765"/>
    </row>
    <row r="5" spans="1:21">
      <c r="A5" s="1223" t="str">
        <f>'Table of Contents'!A4:C4</f>
        <v>Forecasted Test Period: Twelve Months Ended March 31, 2020</v>
      </c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1223"/>
      <c r="Q5" s="1223"/>
      <c r="R5" s="1223"/>
      <c r="S5" s="765"/>
    </row>
    <row r="6" spans="1:21">
      <c r="T6" s="802"/>
      <c r="U6" s="802"/>
    </row>
    <row r="7" spans="1:21">
      <c r="A7" s="584" t="s">
        <v>680</v>
      </c>
      <c r="R7" s="103" t="s">
        <v>1440</v>
      </c>
      <c r="T7" s="802"/>
      <c r="U7" s="802"/>
    </row>
    <row r="8" spans="1:21">
      <c r="A8" s="584" t="s">
        <v>539</v>
      </c>
      <c r="Q8" s="584"/>
      <c r="R8" s="584" t="s">
        <v>1136</v>
      </c>
      <c r="T8" s="802"/>
      <c r="U8" s="802"/>
    </row>
    <row r="9" spans="1:21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51"/>
      <c r="R9" s="951" t="s">
        <v>1712</v>
      </c>
      <c r="S9" s="802"/>
      <c r="T9" s="802"/>
      <c r="U9" s="802"/>
    </row>
    <row r="10" spans="1:21">
      <c r="M10" s="121" t="s">
        <v>44</v>
      </c>
      <c r="O10" s="121" t="s">
        <v>43</v>
      </c>
      <c r="P10" s="121"/>
      <c r="T10" s="802"/>
      <c r="U10" s="802"/>
    </row>
    <row r="11" spans="1:21">
      <c r="A11" s="584" t="s">
        <v>93</v>
      </c>
      <c r="G11" s="1224" t="s">
        <v>1161</v>
      </c>
      <c r="H11" s="1224"/>
      <c r="I11" s="1224"/>
      <c r="J11" s="1224"/>
      <c r="K11" s="1224"/>
      <c r="M11" s="121" t="s">
        <v>538</v>
      </c>
      <c r="O11" s="121" t="s">
        <v>538</v>
      </c>
      <c r="P11" s="121"/>
      <c r="Q11" s="1224"/>
      <c r="R11" s="1224"/>
      <c r="S11" s="1224"/>
      <c r="T11" s="802"/>
      <c r="U11" s="802"/>
    </row>
    <row r="12" spans="1:21">
      <c r="A12" s="951" t="s">
        <v>99</v>
      </c>
      <c r="B12" s="930"/>
      <c r="C12" s="649" t="s">
        <v>985</v>
      </c>
      <c r="D12" s="930"/>
      <c r="E12" s="930"/>
      <c r="F12" s="930"/>
      <c r="G12" s="640" t="str">
        <f>I.1!D13</f>
        <v>2013</v>
      </c>
      <c r="H12" s="640" t="str">
        <f>I.1!E13</f>
        <v>2014</v>
      </c>
      <c r="I12" s="640" t="str">
        <f>I.1!F13</f>
        <v>2015</v>
      </c>
      <c r="J12" s="640" t="str">
        <f>I.1!G13</f>
        <v>2016</v>
      </c>
      <c r="K12" s="640" t="str">
        <f>I.1!H13</f>
        <v>2017</v>
      </c>
      <c r="L12" s="967"/>
      <c r="M12" s="965">
        <f>I.1!J13</f>
        <v>43465</v>
      </c>
      <c r="N12" s="966"/>
      <c r="O12" s="965">
        <f>I.1!L13</f>
        <v>43921</v>
      </c>
      <c r="P12" s="968"/>
      <c r="Q12" s="640">
        <f>I.1!N13</f>
        <v>2020</v>
      </c>
      <c r="R12" s="640" t="str">
        <f>I.1!O13</f>
        <v>2021</v>
      </c>
      <c r="S12" s="640" t="str">
        <f>I.1!P13</f>
        <v>2022</v>
      </c>
      <c r="T12" s="802"/>
      <c r="U12" s="802"/>
    </row>
    <row r="13" spans="1:21">
      <c r="G13" s="121"/>
      <c r="H13" s="121"/>
      <c r="I13" s="121"/>
      <c r="J13" s="121"/>
      <c r="K13" s="121"/>
      <c r="M13" s="121"/>
      <c r="O13" s="121"/>
      <c r="P13" s="121"/>
      <c r="Q13" s="121"/>
      <c r="R13" s="121"/>
      <c r="S13" s="121"/>
      <c r="T13" s="802"/>
      <c r="U13" s="802"/>
    </row>
    <row r="14" spans="1:21">
      <c r="T14" s="802"/>
      <c r="U14" s="802"/>
    </row>
    <row r="15" spans="1:21">
      <c r="A15" s="121" t="s">
        <v>366</v>
      </c>
      <c r="C15" s="584" t="s">
        <v>716</v>
      </c>
      <c r="M15" s="103" t="s">
        <v>323</v>
      </c>
      <c r="T15" s="802"/>
      <c r="U15" s="802"/>
    </row>
    <row r="16" spans="1:21">
      <c r="A16" s="121" t="s">
        <v>368</v>
      </c>
      <c r="C16" s="584" t="s">
        <v>130</v>
      </c>
      <c r="G16" s="572">
        <f>SUM('[32]gas rev'!C12:C13)</f>
        <v>96055210.370000005</v>
      </c>
      <c r="H16" s="572">
        <f>SUM('[32]gas rev'!D12:D13)</f>
        <v>115327134.47</v>
      </c>
      <c r="I16" s="572">
        <f>SUM('[32]gas rev'!E12:E13)</f>
        <v>97211019.390000001</v>
      </c>
      <c r="J16" s="572">
        <f>SUM('[32]gas rev'!F12:F13)</f>
        <v>85596831.810000002</v>
      </c>
      <c r="K16" s="572">
        <f>SUM('[32]gas rev'!G12:G13)</f>
        <v>94138421.609999999</v>
      </c>
      <c r="M16" s="572">
        <f>'C.2.1 B'!D15+'C.2.1 B'!D16</f>
        <v>99146045.262889609</v>
      </c>
      <c r="O16" s="572">
        <f>'C.2.1 F'!D15</f>
        <v>96519490.135870919</v>
      </c>
      <c r="Q16" s="572">
        <f>'[9]Summary of Revenue'!AI11</f>
        <v>96326562.817952901</v>
      </c>
      <c r="R16" s="572">
        <f>'[9]Summary of Revenue'!AJ11</f>
        <v>95527942.254613966</v>
      </c>
      <c r="S16" s="572">
        <f>'[9]Summary of Revenue'!AK11</f>
        <v>95391680.203140974</v>
      </c>
      <c r="T16" s="684"/>
      <c r="U16" s="802"/>
    </row>
    <row r="17" spans="1:22">
      <c r="A17" s="121" t="s">
        <v>370</v>
      </c>
      <c r="C17" s="584" t="s">
        <v>131</v>
      </c>
      <c r="D17" s="121"/>
      <c r="G17" s="108">
        <f>'[32]gas rev'!C14</f>
        <v>39938783.520000003</v>
      </c>
      <c r="H17" s="108">
        <f>'[32]gas rev'!D14</f>
        <v>49294803.939999998</v>
      </c>
      <c r="I17" s="108">
        <f>'[32]gas rev'!E14</f>
        <v>42476905.359999999</v>
      </c>
      <c r="J17" s="108">
        <f>'[32]gas rev'!F14</f>
        <v>34032004.469999999</v>
      </c>
      <c r="K17" s="108">
        <f>'[32]gas rev'!G14</f>
        <v>38222731.340000004</v>
      </c>
      <c r="M17" s="108">
        <f>'C.2.1 B'!D17+'C.2.1 B'!D19</f>
        <v>42884783.321491383</v>
      </c>
      <c r="O17" s="108">
        <f>'C.2.1 F'!D16</f>
        <v>41608020.101760417</v>
      </c>
      <c r="Q17" s="572">
        <f>'[9]Summary of Revenue'!AI12</f>
        <v>41428892.939616829</v>
      </c>
      <c r="R17" s="572">
        <f>'[9]Summary of Revenue'!AJ12</f>
        <v>40924733.05986508</v>
      </c>
      <c r="S17" s="572">
        <f>'[9]Summary of Revenue'!AK12</f>
        <v>40763656.345370151</v>
      </c>
      <c r="T17" s="684"/>
      <c r="U17" s="802"/>
    </row>
    <row r="18" spans="1:22">
      <c r="A18" s="121" t="s">
        <v>371</v>
      </c>
      <c r="C18" s="584" t="s">
        <v>132</v>
      </c>
      <c r="D18" s="121"/>
      <c r="G18" s="108">
        <f>'[32]gas rev'!C15</f>
        <v>4796885.17</v>
      </c>
      <c r="H18" s="108">
        <f>'[32]gas rev'!D15</f>
        <v>5845776.3600000003</v>
      </c>
      <c r="I18" s="108">
        <f>'[32]gas rev'!E15</f>
        <v>5705426.8300000001</v>
      </c>
      <c r="J18" s="108">
        <f>'[32]gas rev'!F15</f>
        <v>4441439.42</v>
      </c>
      <c r="K18" s="108">
        <f>'[32]gas rev'!G15</f>
        <v>6400149.6799999997</v>
      </c>
      <c r="M18" s="108">
        <f>'C.2.1 B'!D18+'C.2.1 B'!D20</f>
        <v>5847532.9983209362</v>
      </c>
      <c r="O18" s="108">
        <f>'C.2.1 F'!D17</f>
        <v>5370384.8363220226</v>
      </c>
      <c r="Q18" s="572">
        <f>'[9]Summary of Revenue'!AI13</f>
        <v>5338210.9192328397</v>
      </c>
      <c r="R18" s="572">
        <f>'[9]Summary of Revenue'!AJ13</f>
        <v>5242091.0101568168</v>
      </c>
      <c r="S18" s="572">
        <f>'[9]Summary of Revenue'!AK13</f>
        <v>5211955.517644221</v>
      </c>
      <c r="T18" s="684"/>
      <c r="U18" s="802"/>
    </row>
    <row r="19" spans="1:22">
      <c r="A19" s="121" t="s">
        <v>372</v>
      </c>
      <c r="C19" s="584" t="s">
        <v>163</v>
      </c>
      <c r="D19" s="121"/>
      <c r="G19" s="108">
        <f>'[32]gas rev'!C16</f>
        <v>8073794.1100000003</v>
      </c>
      <c r="H19" s="108">
        <f>'[32]gas rev'!D16</f>
        <v>9679607.4199999999</v>
      </c>
      <c r="I19" s="108">
        <f>'[32]gas rev'!E16</f>
        <v>7834566.2000000002</v>
      </c>
      <c r="J19" s="108">
        <f>'[32]gas rev'!F16</f>
        <v>5756387.6699999999</v>
      </c>
      <c r="K19" s="108">
        <f>'[32]gas rev'!G16</f>
        <v>6108524.0199999996</v>
      </c>
      <c r="M19" s="108">
        <f>'C.2.1 B'!D21+'C.2.1 B'!D22</f>
        <v>6942114.2309779609</v>
      </c>
      <c r="O19" s="108">
        <f>'C.2.1 F'!D18</f>
        <v>6749806.8088478921</v>
      </c>
      <c r="Q19" s="572">
        <f>'[9]Summary of Revenue'!AI14</f>
        <v>6720022.4535946194</v>
      </c>
      <c r="R19" s="572">
        <f>'[9]Summary of Revenue'!AJ14</f>
        <v>6626213.6871405225</v>
      </c>
      <c r="S19" s="572">
        <f>'[9]Summary of Revenue'!AK14</f>
        <v>6595812.9293247033</v>
      </c>
      <c r="T19" s="684"/>
      <c r="U19" s="802"/>
    </row>
    <row r="20" spans="1:22">
      <c r="A20" s="121" t="s">
        <v>373</v>
      </c>
      <c r="C20" s="584" t="s">
        <v>85</v>
      </c>
      <c r="G20" s="427"/>
      <c r="H20" s="427"/>
      <c r="I20" s="427"/>
      <c r="J20" s="427"/>
      <c r="K20" s="427"/>
      <c r="M20" s="427"/>
      <c r="N20" s="930"/>
      <c r="O20" s="109"/>
      <c r="Q20" s="109"/>
      <c r="R20" s="109"/>
      <c r="S20" s="109"/>
      <c r="T20" s="684"/>
      <c r="U20" s="802"/>
    </row>
    <row r="21" spans="1:22">
      <c r="G21" s="108"/>
      <c r="H21" s="108"/>
      <c r="I21" s="108"/>
      <c r="J21" s="108"/>
      <c r="K21" s="108"/>
      <c r="M21" s="108"/>
      <c r="O21" s="108"/>
      <c r="Q21" s="108"/>
      <c r="R21" s="108"/>
      <c r="S21" s="108"/>
      <c r="T21" s="684"/>
    </row>
    <row r="22" spans="1:22">
      <c r="A22" s="121" t="s">
        <v>374</v>
      </c>
      <c r="C22" s="584" t="s">
        <v>419</v>
      </c>
      <c r="G22" s="572">
        <f>SUM(G16:G20)</f>
        <v>148864673.17000002</v>
      </c>
      <c r="H22" s="572">
        <f>SUM(H16:H20)</f>
        <v>180147322.19</v>
      </c>
      <c r="I22" s="572">
        <f>SUM(I16:I20)</f>
        <v>153227917.78</v>
      </c>
      <c r="J22" s="572">
        <f>SUM(J16:J20)</f>
        <v>129826663.37</v>
      </c>
      <c r="K22" s="572">
        <f>SUM(K16:K20)</f>
        <v>144869826.65000001</v>
      </c>
      <c r="M22" s="572">
        <f>SUM(M16:M20)</f>
        <v>154820475.81367987</v>
      </c>
      <c r="N22" s="360"/>
      <c r="O22" s="572">
        <f>SUM(O16:O20)</f>
        <v>150247701.88280123</v>
      </c>
      <c r="Q22" s="572">
        <f>SUM(Q16:Q20)</f>
        <v>149813689.1303972</v>
      </c>
      <c r="R22" s="572">
        <f>SUM(R16:R20)</f>
        <v>148320980.01177639</v>
      </c>
      <c r="S22" s="572">
        <f>SUM(S16:S20)</f>
        <v>147963104.99548006</v>
      </c>
      <c r="T22" s="684"/>
      <c r="U22" s="802"/>
      <c r="V22" s="802"/>
    </row>
    <row r="23" spans="1:22">
      <c r="G23" s="108"/>
      <c r="H23" s="108"/>
      <c r="I23" s="108"/>
      <c r="J23" s="108"/>
      <c r="K23" s="108"/>
      <c r="M23" s="108"/>
      <c r="O23" s="108"/>
      <c r="Q23" s="108"/>
      <c r="R23" s="108"/>
      <c r="S23" s="108"/>
      <c r="T23" s="684"/>
    </row>
    <row r="24" spans="1:22">
      <c r="A24" s="121">
        <v>8</v>
      </c>
      <c r="C24" s="584" t="s">
        <v>164</v>
      </c>
      <c r="G24" s="108"/>
      <c r="H24" s="108"/>
      <c r="I24" s="108"/>
      <c r="J24" s="108"/>
      <c r="K24" s="108"/>
      <c r="M24" s="108"/>
      <c r="O24" s="108"/>
      <c r="Q24" s="108"/>
      <c r="R24" s="108"/>
      <c r="S24" s="108"/>
      <c r="T24" s="684"/>
      <c r="U24" s="802"/>
    </row>
    <row r="25" spans="1:22">
      <c r="A25" s="121" t="s">
        <v>377</v>
      </c>
      <c r="C25" s="584" t="s">
        <v>130</v>
      </c>
      <c r="D25" s="121" t="s">
        <v>323</v>
      </c>
      <c r="G25" s="628">
        <f>'[32]Gas Customers (2)'!H28</f>
        <v>153903.75</v>
      </c>
      <c r="H25" s="628">
        <f>'[32]Gas Customers (2)'!I28</f>
        <v>155702.08333333334</v>
      </c>
      <c r="I25" s="628">
        <f>'[32]Gas Customers (2)'!J28</f>
        <v>155280.75</v>
      </c>
      <c r="J25" s="628">
        <f>'[32]Gas Customers (2)'!K28</f>
        <v>155597.41666666666</v>
      </c>
      <c r="K25" s="628">
        <f>'[32]Gas Customers (2)'!L28</f>
        <v>156173.75</v>
      </c>
      <c r="M25" s="628">
        <f>'[9]Summary of Stats'!O11</f>
        <v>157306.58333333334</v>
      </c>
      <c r="N25" s="617"/>
      <c r="O25" s="628">
        <f>'[9]Summary of Stats'!AF11</f>
        <v>157712.83333333334</v>
      </c>
      <c r="Q25" s="628">
        <f>'[9]Summary of Stats'!AI11</f>
        <v>157875.33333333334</v>
      </c>
      <c r="R25" s="628">
        <f>'[9]Summary of Stats'!AJ11</f>
        <v>158200.33333333334</v>
      </c>
      <c r="S25" s="628">
        <f>'[9]Summary of Stats'!AK11</f>
        <v>158525.33333333334</v>
      </c>
      <c r="T25" s="684"/>
      <c r="U25" s="802"/>
    </row>
    <row r="26" spans="1:22">
      <c r="A26" s="121" t="s">
        <v>378</v>
      </c>
      <c r="C26" s="584" t="s">
        <v>131</v>
      </c>
      <c r="D26" s="121"/>
      <c r="G26" s="628">
        <f>'[32]Gas Customers (2)'!H42</f>
        <v>17318</v>
      </c>
      <c r="H26" s="628">
        <f>'[32]Gas Customers (2)'!I42</f>
        <v>17435.166666666668</v>
      </c>
      <c r="I26" s="628">
        <f>'[32]Gas Customers (2)'!J42</f>
        <v>17333.333333333332</v>
      </c>
      <c r="J26" s="628">
        <f>'[32]Gas Customers (2)'!K42</f>
        <v>17339</v>
      </c>
      <c r="K26" s="628">
        <f>'[32]Gas Customers (2)'!L42</f>
        <v>17353.666666666668</v>
      </c>
      <c r="M26" s="628">
        <f>'[9]Summary of Stats'!O12</f>
        <v>17445.75</v>
      </c>
      <c r="O26" s="628">
        <f>'[9]Summary of Stats'!AF12</f>
        <v>17445.75</v>
      </c>
      <c r="Q26" s="628">
        <f>'[9]Summary of Stats'!AI12</f>
        <v>17445.75</v>
      </c>
      <c r="R26" s="628">
        <f>'[9]Summary of Stats'!AJ12</f>
        <v>17445.75</v>
      </c>
      <c r="S26" s="628">
        <f>'[9]Summary of Stats'!AK12</f>
        <v>17445.75</v>
      </c>
      <c r="T26" s="684"/>
      <c r="U26" s="802"/>
    </row>
    <row r="27" spans="1:22">
      <c r="A27" s="121">
        <v>11</v>
      </c>
      <c r="C27" s="584" t="s">
        <v>132</v>
      </c>
      <c r="D27" s="121"/>
      <c r="G27" s="628">
        <f>'[32]Gas Customers (2)'!H56</f>
        <v>206.91666666666666</v>
      </c>
      <c r="H27" s="628">
        <f>'[32]Gas Customers (2)'!I56</f>
        <v>203.66666666666666</v>
      </c>
      <c r="I27" s="628">
        <f>'[32]Gas Customers (2)'!J56</f>
        <v>201.16666666666666</v>
      </c>
      <c r="J27" s="628">
        <f>'[32]Gas Customers (2)'!K56</f>
        <v>205.33333333333334</v>
      </c>
      <c r="K27" s="628">
        <f>'[32]Gas Customers (2)'!L56</f>
        <v>205.83333333333334</v>
      </c>
      <c r="M27" s="628">
        <f>'[9]Summary of Stats'!O13</f>
        <v>215.47328844946642</v>
      </c>
      <c r="O27" s="628">
        <f>'[9]Summary of Stats'!AF13</f>
        <v>215.47328844946642</v>
      </c>
      <c r="Q27" s="628">
        <f>'[9]Summary of Stats'!AI13</f>
        <v>215.47328844946642</v>
      </c>
      <c r="R27" s="628">
        <f>'[9]Summary of Stats'!AJ13</f>
        <v>215.47328844946642</v>
      </c>
      <c r="S27" s="628">
        <f>'[9]Summary of Stats'!AK13</f>
        <v>215.47328844946642</v>
      </c>
      <c r="T27" s="684"/>
      <c r="U27" s="802"/>
    </row>
    <row r="28" spans="1:22">
      <c r="A28" s="121">
        <v>12</v>
      </c>
      <c r="C28" s="584" t="s">
        <v>163</v>
      </c>
      <c r="D28" s="121"/>
      <c r="G28" s="628">
        <f>'[32]Gas Customers (2)'!H70</f>
        <v>1575.3333333333333</v>
      </c>
      <c r="H28" s="628">
        <f>'[32]Gas Customers (2)'!I70</f>
        <v>1576.1666666666667</v>
      </c>
      <c r="I28" s="628">
        <f>'[32]Gas Customers (2)'!J70</f>
        <v>1560.8333333333333</v>
      </c>
      <c r="J28" s="628">
        <f>'[32]Gas Customers (2)'!K70</f>
        <v>1550</v>
      </c>
      <c r="K28" s="628">
        <f>'[32]Gas Customers (2)'!L70</f>
        <v>1548.5833333333333</v>
      </c>
      <c r="M28" s="628">
        <f>'[9]Summary of Stats'!O14</f>
        <v>1534.5</v>
      </c>
      <c r="O28" s="628">
        <f>'[9]Summary of Stats'!AF14</f>
        <v>1534.5</v>
      </c>
      <c r="Q28" s="628">
        <f>'[9]Summary of Stats'!AI14</f>
        <v>1534.5</v>
      </c>
      <c r="R28" s="628">
        <f>'[9]Summary of Stats'!AJ14</f>
        <v>1534.5</v>
      </c>
      <c r="S28" s="628">
        <f>'[9]Summary of Stats'!AK14</f>
        <v>1534.5</v>
      </c>
      <c r="T28" s="684"/>
      <c r="U28" s="802"/>
    </row>
    <row r="29" spans="1:22">
      <c r="A29" s="765" t="s">
        <v>323</v>
      </c>
      <c r="G29" s="108"/>
      <c r="H29" s="108"/>
      <c r="I29" s="108"/>
      <c r="J29" s="108"/>
      <c r="K29" s="108"/>
      <c r="M29" s="108"/>
      <c r="O29" s="108"/>
      <c r="Q29" s="108"/>
      <c r="R29" s="108"/>
      <c r="S29" s="108"/>
      <c r="T29" s="108"/>
    </row>
    <row r="30" spans="1:22">
      <c r="A30" s="765">
        <v>13</v>
      </c>
      <c r="C30" s="584" t="s">
        <v>96</v>
      </c>
      <c r="D30" s="121"/>
      <c r="G30" s="628">
        <f>SUM(G25:G29)</f>
        <v>173004</v>
      </c>
      <c r="H30" s="628">
        <f>SUM(H25:H29)</f>
        <v>174917.08333333331</v>
      </c>
      <c r="I30" s="628">
        <f>SUM(I25:I29)</f>
        <v>174376.08333333334</v>
      </c>
      <c r="J30" s="628">
        <f>SUM(J25:J29)</f>
        <v>174691.75</v>
      </c>
      <c r="K30" s="628">
        <f>SUM(K25:K29)</f>
        <v>175281.83333333334</v>
      </c>
      <c r="M30" s="628">
        <f>SUM(M25:M29)</f>
        <v>176502.3066217828</v>
      </c>
      <c r="N30" s="617"/>
      <c r="O30" s="628">
        <f>SUM(O25:O29)</f>
        <v>176908.5566217828</v>
      </c>
      <c r="Q30" s="628">
        <f>SUM(Q25:Q29)</f>
        <v>177071.0566217828</v>
      </c>
      <c r="R30" s="628">
        <f>SUM(R25:R29)</f>
        <v>177396.0566217828</v>
      </c>
      <c r="S30" s="628">
        <f>SUM(S25:S29)</f>
        <v>177721.0566217828</v>
      </c>
      <c r="T30" s="108"/>
    </row>
    <row r="31" spans="1:22">
      <c r="G31" s="108"/>
      <c r="H31" s="108"/>
      <c r="I31" s="108"/>
      <c r="J31" s="108"/>
      <c r="K31" s="108"/>
      <c r="M31" s="108"/>
      <c r="O31" s="108"/>
      <c r="P31" s="108"/>
      <c r="Q31" s="108"/>
      <c r="R31" s="108"/>
      <c r="S31" s="108"/>
      <c r="T31" s="108"/>
    </row>
    <row r="32" spans="1:22">
      <c r="A32" s="121">
        <v>14</v>
      </c>
      <c r="C32" s="584" t="s">
        <v>133</v>
      </c>
      <c r="G32" s="108"/>
      <c r="H32" s="108"/>
      <c r="I32" s="108"/>
      <c r="J32" s="108"/>
      <c r="K32" s="108"/>
      <c r="M32" s="108"/>
      <c r="O32" s="108"/>
      <c r="P32" s="108"/>
      <c r="Q32" s="108"/>
      <c r="R32" s="108"/>
      <c r="S32" s="108"/>
      <c r="T32" s="108"/>
    </row>
    <row r="33" spans="1:20">
      <c r="A33" s="121">
        <v>15</v>
      </c>
      <c r="C33" s="584" t="s">
        <v>130</v>
      </c>
      <c r="G33" s="572">
        <f t="shared" ref="G33:J36" si="0">(G16/G25)</f>
        <v>624.12521052930811</v>
      </c>
      <c r="H33" s="572">
        <f t="shared" si="0"/>
        <v>740.69101710799202</v>
      </c>
      <c r="I33" s="572">
        <f t="shared" si="0"/>
        <v>626.03393781907937</v>
      </c>
      <c r="J33" s="572">
        <f t="shared" si="0"/>
        <v>550.11730685331645</v>
      </c>
      <c r="K33" s="572">
        <f t="shared" ref="K33" si="1">(K16/K25)</f>
        <v>602.78005497082574</v>
      </c>
      <c r="L33" s="360"/>
      <c r="M33" s="572">
        <f>(M16/M25)</f>
        <v>630.27270163765934</v>
      </c>
      <c r="N33" s="360"/>
      <c r="O33" s="572">
        <f>(O16/O25)</f>
        <v>611.99515661399937</v>
      </c>
      <c r="P33" s="572"/>
      <c r="Q33" s="572">
        <f t="shared" ref="Q33:R36" si="2">(Q16/Q25)</f>
        <v>610.14321100163147</v>
      </c>
      <c r="R33" s="572">
        <f t="shared" si="2"/>
        <v>603.84159907762921</v>
      </c>
      <c r="S33" s="572">
        <f t="shared" ref="S33" si="3">(S16/S25)</f>
        <v>601.74407583524589</v>
      </c>
      <c r="T33" s="108"/>
    </row>
    <row r="34" spans="1:20">
      <c r="A34" s="121">
        <v>16</v>
      </c>
      <c r="C34" s="584" t="s">
        <v>131</v>
      </c>
      <c r="G34" s="108">
        <f t="shared" si="0"/>
        <v>2306.2006883011895</v>
      </c>
      <c r="H34" s="108">
        <f t="shared" si="0"/>
        <v>2827.3204886675394</v>
      </c>
      <c r="I34" s="108">
        <f t="shared" si="0"/>
        <v>2450.590693846154</v>
      </c>
      <c r="J34" s="108">
        <f t="shared" si="0"/>
        <v>1962.7432072207162</v>
      </c>
      <c r="K34" s="108">
        <f t="shared" ref="K34" si="4">(K17/K26)</f>
        <v>2202.5737888246481</v>
      </c>
      <c r="M34" s="108">
        <f>(M17/M26)</f>
        <v>2458.17940309195</v>
      </c>
      <c r="O34" s="108">
        <f>(O17/O26)</f>
        <v>2384.9946320313211</v>
      </c>
      <c r="P34" s="108"/>
      <c r="Q34" s="108">
        <f t="shared" si="2"/>
        <v>2374.726964424965</v>
      </c>
      <c r="R34" s="108">
        <f t="shared" si="2"/>
        <v>2345.8282424008758</v>
      </c>
      <c r="S34" s="108">
        <f t="shared" ref="S34" si="5">(S17/S26)</f>
        <v>2336.595236396839</v>
      </c>
      <c r="T34" s="108"/>
    </row>
    <row r="35" spans="1:20">
      <c r="A35" s="121">
        <v>17</v>
      </c>
      <c r="C35" s="584" t="s">
        <v>132</v>
      </c>
      <c r="G35" s="108">
        <f t="shared" si="0"/>
        <v>23182.691115585985</v>
      </c>
      <c r="H35" s="108">
        <f t="shared" si="0"/>
        <v>28702.66625204583</v>
      </c>
      <c r="I35" s="108">
        <f t="shared" si="0"/>
        <v>28361.69095277548</v>
      </c>
      <c r="J35" s="108">
        <f t="shared" si="0"/>
        <v>21630.386785714283</v>
      </c>
      <c r="K35" s="108">
        <f t="shared" ref="K35" si="6">(K18/K27)</f>
        <v>31093.844599190281</v>
      </c>
      <c r="M35" s="108">
        <f>(M18/M27)</f>
        <v>27138.087697085113</v>
      </c>
      <c r="O35" s="108">
        <f>(O18/O27)</f>
        <v>24923.668613251357</v>
      </c>
      <c r="P35" s="108"/>
      <c r="Q35" s="108">
        <f t="shared" si="2"/>
        <v>24774.351185923337</v>
      </c>
      <c r="R35" s="108">
        <f t="shared" si="2"/>
        <v>24328.263832044366</v>
      </c>
      <c r="S35" s="108">
        <f t="shared" ref="S35" si="7">(S18/S27)</f>
        <v>24188.406624083931</v>
      </c>
      <c r="T35" s="108"/>
    </row>
    <row r="36" spans="1:20">
      <c r="A36" s="121">
        <v>18</v>
      </c>
      <c r="C36" s="584" t="s">
        <v>163</v>
      </c>
      <c r="G36" s="108">
        <f t="shared" si="0"/>
        <v>5125.1337981379611</v>
      </c>
      <c r="H36" s="108">
        <f t="shared" si="0"/>
        <v>6141.2334270910433</v>
      </c>
      <c r="I36" s="108">
        <f t="shared" si="0"/>
        <v>5019.4764762413242</v>
      </c>
      <c r="J36" s="108">
        <f t="shared" si="0"/>
        <v>3713.7984967741936</v>
      </c>
      <c r="K36" s="108">
        <f t="shared" ref="K36" si="8">(K19/K28)</f>
        <v>3944.588507775924</v>
      </c>
      <c r="M36" s="108">
        <f>(M19/M28)</f>
        <v>4524.0236109338293</v>
      </c>
      <c r="O36" s="108">
        <f>(O19/O28)</f>
        <v>4398.7010810347947</v>
      </c>
      <c r="P36" s="108"/>
      <c r="Q36" s="108">
        <f t="shared" si="2"/>
        <v>4379.2912698563832</v>
      </c>
      <c r="R36" s="108">
        <f t="shared" si="2"/>
        <v>4318.1581538875998</v>
      </c>
      <c r="S36" s="108">
        <f t="shared" ref="S36" si="9">(S19/S28)</f>
        <v>4298.3466466762484</v>
      </c>
      <c r="T36" s="108"/>
    </row>
    <row r="37" spans="1:20">
      <c r="H37" s="108"/>
      <c r="I37" s="108"/>
      <c r="J37" s="108"/>
      <c r="K37" s="108"/>
      <c r="M37" s="108"/>
    </row>
    <row r="38" spans="1:20">
      <c r="A38" s="584"/>
      <c r="C38" s="584" t="s">
        <v>1232</v>
      </c>
      <c r="G38" s="108"/>
      <c r="H38" s="108"/>
      <c r="I38" s="108"/>
      <c r="J38" s="108"/>
      <c r="K38" s="108"/>
      <c r="M38" s="108"/>
      <c r="O38" s="108"/>
      <c r="P38" s="108"/>
      <c r="Q38" s="108"/>
      <c r="R38" s="108"/>
      <c r="S38" s="108"/>
      <c r="T38" s="108"/>
    </row>
    <row r="39" spans="1:20">
      <c r="C39" s="584"/>
      <c r="G39" s="108"/>
      <c r="H39" s="108"/>
      <c r="I39" s="108"/>
      <c r="J39" s="108"/>
      <c r="K39" s="108"/>
      <c r="M39" s="108"/>
      <c r="O39" s="108"/>
      <c r="P39" s="108"/>
      <c r="Q39" s="108"/>
      <c r="R39" s="108"/>
      <c r="S39" s="108"/>
      <c r="T39" s="108"/>
    </row>
    <row r="40" spans="1:20">
      <c r="R40" s="108"/>
      <c r="S40" s="108"/>
      <c r="T40" s="108"/>
    </row>
    <row r="42" spans="1:20">
      <c r="R42" s="108"/>
      <c r="S42" s="108"/>
      <c r="T42" s="108"/>
    </row>
    <row r="43" spans="1:20">
      <c r="R43" s="108"/>
      <c r="S43" s="108"/>
      <c r="T43" s="108"/>
    </row>
    <row r="71" spans="9:11">
      <c r="I71" s="108"/>
      <c r="J71" s="108"/>
      <c r="K71" s="108"/>
    </row>
    <row r="72" spans="9:11">
      <c r="I72" s="108"/>
      <c r="J72" s="108"/>
      <c r="K72" s="108"/>
    </row>
    <row r="73" spans="9:11">
      <c r="I73" s="108"/>
      <c r="J73" s="108"/>
      <c r="K73" s="108"/>
    </row>
    <row r="74" spans="9:11">
      <c r="I74" s="108"/>
      <c r="J74" s="108"/>
      <c r="K74" s="108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2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T74"/>
  <sheetViews>
    <sheetView view="pageBreakPreview" zoomScale="80" zoomScaleNormal="90" zoomScaleSheetLayoutView="80" workbookViewId="0">
      <pane xSplit="6" ySplit="13" topLeftCell="G14" activePane="bottomRight" state="frozen"/>
      <selection activeCell="F45" sqref="F45"/>
      <selection pane="topRight" activeCell="F45" sqref="F45"/>
      <selection pane="bottomLeft" activeCell="F45" sqref="F45"/>
      <selection pane="bottomRight" sqref="A1:R1"/>
    </sheetView>
  </sheetViews>
  <sheetFormatPr defaultColWidth="7.109375" defaultRowHeight="15"/>
  <cols>
    <col min="1" max="1" width="4" style="96" customWidth="1"/>
    <col min="2" max="2" width="0" style="96" hidden="1" customWidth="1"/>
    <col min="3" max="3" width="16.44140625" style="96" customWidth="1"/>
    <col min="4" max="4" width="5" style="96" customWidth="1"/>
    <col min="5" max="5" width="3.21875" style="96" customWidth="1"/>
    <col min="6" max="6" width="1.44140625" style="96" customWidth="1"/>
    <col min="7" max="8" width="11.44140625" style="96" customWidth="1"/>
    <col min="9" max="9" width="12.88671875" style="96" customWidth="1"/>
    <col min="10" max="11" width="11.44140625" style="96" customWidth="1"/>
    <col min="12" max="12" width="1.44140625" style="96" customWidth="1"/>
    <col min="13" max="13" width="12.109375" style="96" customWidth="1"/>
    <col min="14" max="14" width="1.44140625" style="96" customWidth="1"/>
    <col min="15" max="15" width="12.88671875" style="96" customWidth="1"/>
    <col min="16" max="16" width="1.5546875" style="96" customWidth="1"/>
    <col min="17" max="17" width="12.33203125" style="96" customWidth="1"/>
    <col min="18" max="19" width="12.88671875" style="96" customWidth="1"/>
    <col min="20" max="20" width="9.33203125" style="96" customWidth="1"/>
    <col min="21" max="16384" width="7.109375" style="96"/>
  </cols>
  <sheetData>
    <row r="1" spans="1:20">
      <c r="A1" s="1226" t="str">
        <f>'Table of Contents'!A1:C1</f>
        <v>Atmos Energy Corporation, Kentucky/Mid-States Division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853"/>
    </row>
    <row r="2" spans="1:20">
      <c r="A2" s="1226" t="str">
        <f>'Table of Contents'!A2:C2</f>
        <v>Kentucky Jurisdiction Case No. 2018-00281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26"/>
      <c r="R2" s="1226"/>
      <c r="S2" s="853"/>
    </row>
    <row r="3" spans="1:20">
      <c r="A3" s="1226" t="s">
        <v>1135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226"/>
      <c r="R3" s="1226"/>
      <c r="S3" s="853"/>
    </row>
    <row r="4" spans="1:20">
      <c r="A4" s="1226" t="str">
        <f>'Table of Contents'!A3:C3</f>
        <v>Base Period: Twelve Months Ended December 31, 2018</v>
      </c>
      <c r="B4" s="1226"/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26"/>
      <c r="R4" s="1226"/>
      <c r="S4" s="853"/>
    </row>
    <row r="5" spans="1:20">
      <c r="A5" s="1226" t="str">
        <f>'Table of Contents'!A4:C4</f>
        <v>Forecasted Test Period: Twelve Months Ended March 31, 2020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853"/>
    </row>
    <row r="7" spans="1:20">
      <c r="A7" s="695" t="s">
        <v>680</v>
      </c>
      <c r="R7" s="96" t="s">
        <v>1441</v>
      </c>
    </row>
    <row r="8" spans="1:20">
      <c r="A8" s="695" t="s">
        <v>539</v>
      </c>
      <c r="R8" s="695" t="s">
        <v>1136</v>
      </c>
    </row>
    <row r="9" spans="1:20">
      <c r="A9" s="969" t="s">
        <v>1133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969" t="str">
        <f>I.2!R9</f>
        <v>Witness: Gillham, Densman</v>
      </c>
      <c r="S9" s="107"/>
    </row>
    <row r="10" spans="1:20">
      <c r="M10" s="850" t="s">
        <v>44</v>
      </c>
      <c r="O10" s="850" t="s">
        <v>43</v>
      </c>
      <c r="P10" s="850"/>
    </row>
    <row r="11" spans="1:20">
      <c r="A11" s="695" t="s">
        <v>93</v>
      </c>
      <c r="G11" s="970"/>
      <c r="H11" s="971"/>
      <c r="I11" s="971" t="s">
        <v>1161</v>
      </c>
      <c r="J11" s="972"/>
      <c r="K11" s="972"/>
      <c r="M11" s="850" t="s">
        <v>538</v>
      </c>
      <c r="O11" s="850" t="s">
        <v>538</v>
      </c>
      <c r="P11" s="850"/>
      <c r="Q11" s="1225"/>
      <c r="R11" s="1225"/>
      <c r="S11" s="1225"/>
    </row>
    <row r="12" spans="1:20">
      <c r="A12" s="969" t="s">
        <v>56</v>
      </c>
      <c r="B12" s="641"/>
      <c r="C12" s="973" t="s">
        <v>985</v>
      </c>
      <c r="D12" s="641"/>
      <c r="E12" s="641"/>
      <c r="F12" s="641"/>
      <c r="G12" s="974" t="str">
        <f>I.1!D13</f>
        <v>2013</v>
      </c>
      <c r="H12" s="974" t="str">
        <f>I.1!E13</f>
        <v>2014</v>
      </c>
      <c r="I12" s="974" t="str">
        <f>I.1!F13</f>
        <v>2015</v>
      </c>
      <c r="J12" s="974" t="str">
        <f>I.1!G13</f>
        <v>2016</v>
      </c>
      <c r="K12" s="974" t="str">
        <f>I.1!H13</f>
        <v>2017</v>
      </c>
      <c r="L12" s="975"/>
      <c r="M12" s="976">
        <f>I.1!J13</f>
        <v>43465</v>
      </c>
      <c r="N12" s="977"/>
      <c r="O12" s="976">
        <f>I.1!L13</f>
        <v>43921</v>
      </c>
      <c r="P12" s="978"/>
      <c r="Q12" s="974">
        <f>I.2!Q12</f>
        <v>2020</v>
      </c>
      <c r="R12" s="974" t="str">
        <f>I.2!R12</f>
        <v>2021</v>
      </c>
      <c r="S12" s="974" t="str">
        <f>I.2!S12</f>
        <v>2022</v>
      </c>
    </row>
    <row r="13" spans="1:20">
      <c r="G13" s="850" t="s">
        <v>564</v>
      </c>
      <c r="H13" s="850" t="s">
        <v>564</v>
      </c>
      <c r="I13" s="850" t="s">
        <v>564</v>
      </c>
      <c r="J13" s="850" t="s">
        <v>564</v>
      </c>
      <c r="K13" s="850"/>
      <c r="M13" s="850" t="s">
        <v>564</v>
      </c>
      <c r="O13" s="850" t="s">
        <v>564</v>
      </c>
      <c r="P13" s="850"/>
      <c r="Q13" s="850" t="s">
        <v>564</v>
      </c>
      <c r="R13" s="850" t="s">
        <v>564</v>
      </c>
      <c r="S13" s="850"/>
    </row>
    <row r="15" spans="1:20">
      <c r="A15" s="850">
        <v>1</v>
      </c>
      <c r="C15" s="695" t="s">
        <v>340</v>
      </c>
      <c r="M15" s="96" t="s">
        <v>323</v>
      </c>
      <c r="T15" s="86"/>
    </row>
    <row r="16" spans="1:20">
      <c r="A16" s="850">
        <v>2</v>
      </c>
      <c r="C16" s="695" t="s">
        <v>130</v>
      </c>
      <c r="G16" s="86">
        <f>[32]vols!C13</f>
        <v>10662876.41</v>
      </c>
      <c r="H16" s="86">
        <f>[32]vols!D13</f>
        <v>11757006.99</v>
      </c>
      <c r="I16" s="86">
        <f>[32]vols!E13</f>
        <v>10133137.57</v>
      </c>
      <c r="J16" s="86">
        <f>[32]vols!F13</f>
        <v>8859272.2200000007</v>
      </c>
      <c r="K16" s="86">
        <f>[32]vols!G13</f>
        <v>8360876.4699999997</v>
      </c>
      <c r="M16" s="86">
        <f>'[9]Summary of Stats'!O17</f>
        <v>10051263.139931787</v>
      </c>
      <c r="O16" s="86">
        <f>'[9]Summary of Stats'!AF17</f>
        <v>10083093.116257895</v>
      </c>
      <c r="Q16" s="86">
        <f>'[9]Summary of Stats'!AI17</f>
        <v>10087188.699502191</v>
      </c>
      <c r="R16" s="86">
        <f>'[9]Summary of Stats'!AJ17</f>
        <v>10107961.31119078</v>
      </c>
      <c r="S16" s="86">
        <f>'[9]Summary of Stats'!AK17</f>
        <v>10128734.171779366</v>
      </c>
      <c r="T16" s="87"/>
    </row>
    <row r="17" spans="1:20">
      <c r="A17" s="850">
        <v>3</v>
      </c>
      <c r="C17" s="695" t="s">
        <v>131</v>
      </c>
      <c r="D17" s="850"/>
      <c r="G17" s="86">
        <f>[32]vols!C14</f>
        <v>5112547.93</v>
      </c>
      <c r="H17" s="86">
        <f>[32]vols!D14</f>
        <v>5657641.1699999999</v>
      </c>
      <c r="I17" s="86">
        <f>[32]vols!E14</f>
        <v>4981322.42</v>
      </c>
      <c r="J17" s="86">
        <f>[32]vols!F14</f>
        <v>4436287.6000000006</v>
      </c>
      <c r="K17" s="86">
        <f>[32]vols!G14</f>
        <v>4415168.33</v>
      </c>
      <c r="M17" s="86">
        <f>'[9]Summary of Stats'!O18</f>
        <v>5216701.24</v>
      </c>
      <c r="O17" s="86">
        <f>'[9]Summary of Stats'!AF18</f>
        <v>5216701.24</v>
      </c>
      <c r="Q17" s="86">
        <f>'[9]Summary of Stats'!AI18</f>
        <v>5216701.2400000012</v>
      </c>
      <c r="R17" s="86">
        <f>'[9]Summary of Stats'!AJ18</f>
        <v>5216701.2400000012</v>
      </c>
      <c r="S17" s="86">
        <f>'[9]Summary of Stats'!AK18</f>
        <v>5216701.2400000012</v>
      </c>
      <c r="T17" s="87"/>
    </row>
    <row r="18" spans="1:20">
      <c r="A18" s="850">
        <v>4</v>
      </c>
      <c r="C18" s="695" t="s">
        <v>132</v>
      </c>
      <c r="D18" s="850"/>
      <c r="G18" s="86">
        <f>[32]vols!C15</f>
        <v>807005.98999999987</v>
      </c>
      <c r="H18" s="86">
        <f>[32]vols!D15</f>
        <v>780038.61999999976</v>
      </c>
      <c r="I18" s="86">
        <f>[32]vols!E15</f>
        <v>706192.47</v>
      </c>
      <c r="J18" s="86">
        <f>[32]vols!F15</f>
        <v>1021717.6900000001</v>
      </c>
      <c r="K18" s="86">
        <f>[32]vols!G15</f>
        <v>1517001.09</v>
      </c>
      <c r="M18" s="86">
        <f>'[9]Summary of Stats'!O19</f>
        <v>991584.79589999979</v>
      </c>
      <c r="O18" s="86">
        <f>'[9]Summary of Stats'!AF19</f>
        <v>991584.79590000003</v>
      </c>
      <c r="Q18" s="86">
        <f>'[9]Summary of Stats'!AI19</f>
        <v>991584.79590000003</v>
      </c>
      <c r="R18" s="86">
        <f>'[9]Summary of Stats'!AJ19</f>
        <v>991584.79590000003</v>
      </c>
      <c r="S18" s="86">
        <f>'[9]Summary of Stats'!AK19</f>
        <v>991584.79590000003</v>
      </c>
      <c r="T18" s="87"/>
    </row>
    <row r="19" spans="1:20">
      <c r="A19" s="850">
        <v>5</v>
      </c>
      <c r="C19" s="695" t="s">
        <v>163</v>
      </c>
      <c r="D19" s="850"/>
      <c r="G19" s="86">
        <f>[32]vols!C16</f>
        <v>1185264.3900000001</v>
      </c>
      <c r="H19" s="86">
        <f>[32]vols!D16</f>
        <v>1241309.8799999999</v>
      </c>
      <c r="I19" s="86">
        <f>[32]vols!E16</f>
        <v>1055743.3699999999</v>
      </c>
      <c r="J19" s="86">
        <f>[32]vols!F16</f>
        <v>896168.19</v>
      </c>
      <c r="K19" s="86">
        <f>[32]vols!G16</f>
        <v>824971.11999999988</v>
      </c>
      <c r="M19" s="86">
        <f>'[9]Summary of Stats'!O20</f>
        <v>962458.7</v>
      </c>
      <c r="O19" s="86">
        <f>'[9]Summary of Stats'!AF20</f>
        <v>962458.7</v>
      </c>
      <c r="Q19" s="86">
        <f>'[9]Summary of Stats'!AI20</f>
        <v>962458.70000000007</v>
      </c>
      <c r="R19" s="86">
        <f>'[9]Summary of Stats'!AJ20</f>
        <v>962458.70000000007</v>
      </c>
      <c r="S19" s="86">
        <f>'[9]Summary of Stats'!AK20</f>
        <v>962458.70000000007</v>
      </c>
      <c r="T19" s="87"/>
    </row>
    <row r="20" spans="1:20">
      <c r="A20" s="850">
        <v>6</v>
      </c>
      <c r="C20" s="695" t="s">
        <v>85</v>
      </c>
      <c r="G20" s="462"/>
      <c r="H20" s="462"/>
      <c r="I20" s="462"/>
      <c r="J20" s="462"/>
      <c r="K20" s="462"/>
      <c r="L20" s="641"/>
      <c r="M20" s="87"/>
      <c r="O20" s="87"/>
      <c r="Q20" s="970"/>
      <c r="R20" s="462"/>
      <c r="S20" s="462"/>
      <c r="T20" s="86"/>
    </row>
    <row r="21" spans="1:20">
      <c r="A21" s="850">
        <v>7</v>
      </c>
      <c r="G21" s="734"/>
      <c r="H21" s="734"/>
      <c r="I21" s="734"/>
      <c r="J21" s="734"/>
      <c r="K21" s="734"/>
      <c r="M21" s="734"/>
      <c r="O21" s="734"/>
      <c r="Q21" s="734"/>
      <c r="R21" s="734"/>
      <c r="S21" s="734"/>
      <c r="T21" s="86"/>
    </row>
    <row r="22" spans="1:20">
      <c r="A22" s="850">
        <v>8</v>
      </c>
      <c r="C22" s="695" t="s">
        <v>419</v>
      </c>
      <c r="G22" s="86">
        <f>SUM(G16:G20)</f>
        <v>17767694.719999999</v>
      </c>
      <c r="H22" s="86">
        <f>SUM(H16:H20)</f>
        <v>19435996.66</v>
      </c>
      <c r="I22" s="86">
        <f>SUM(I16:I20)</f>
        <v>16876395.830000002</v>
      </c>
      <c r="J22" s="86">
        <f>SUM(J16:J20)</f>
        <v>15213445.699999999</v>
      </c>
      <c r="K22" s="86">
        <f>SUM(K16:K20)</f>
        <v>15118017.01</v>
      </c>
      <c r="M22" s="86">
        <f>SUM(M16:M20)</f>
        <v>17222007.875831787</v>
      </c>
      <c r="O22" s="86">
        <f>SUM(O16:O20)</f>
        <v>17253837.852157895</v>
      </c>
      <c r="Q22" s="86">
        <f>SUM(Q16:Q20)</f>
        <v>17257933.435402192</v>
      </c>
      <c r="R22" s="86">
        <f>SUM(R16:R20)</f>
        <v>17278706.047090784</v>
      </c>
      <c r="S22" s="86">
        <f>SUM(S16:S20)</f>
        <v>17299478.907679368</v>
      </c>
      <c r="T22" s="86"/>
    </row>
    <row r="23" spans="1:20">
      <c r="A23" s="850">
        <v>9</v>
      </c>
      <c r="G23" s="86"/>
      <c r="H23" s="86"/>
      <c r="I23" s="86"/>
      <c r="J23" s="86"/>
      <c r="K23" s="86"/>
      <c r="M23" s="86"/>
      <c r="O23" s="86"/>
      <c r="Q23" s="86"/>
      <c r="R23" s="86"/>
      <c r="S23" s="86"/>
      <c r="T23" s="86"/>
    </row>
    <row r="24" spans="1:20">
      <c r="A24" s="850">
        <v>10</v>
      </c>
      <c r="C24" s="695" t="s">
        <v>164</v>
      </c>
      <c r="G24" s="86"/>
      <c r="H24" s="86"/>
      <c r="I24" s="86"/>
      <c r="J24" s="86"/>
      <c r="K24" s="86"/>
      <c r="M24" s="86"/>
      <c r="O24" s="86"/>
      <c r="Q24" s="86"/>
      <c r="R24" s="86"/>
      <c r="S24" s="86"/>
      <c r="T24" s="86"/>
    </row>
    <row r="25" spans="1:20">
      <c r="A25" s="850">
        <v>11</v>
      </c>
      <c r="C25" s="695" t="s">
        <v>130</v>
      </c>
      <c r="D25" s="850" t="s">
        <v>323</v>
      </c>
      <c r="G25" s="86">
        <f>I.2!G25</f>
        <v>153903.75</v>
      </c>
      <c r="H25" s="86">
        <f>I.2!H25</f>
        <v>155702.08333333334</v>
      </c>
      <c r="I25" s="86">
        <f>I.2!I25</f>
        <v>155280.75</v>
      </c>
      <c r="J25" s="86">
        <f>I.2!J25</f>
        <v>155597.41666666666</v>
      </c>
      <c r="K25" s="86">
        <f>I.2!K25</f>
        <v>156173.75</v>
      </c>
      <c r="M25" s="86">
        <f>I.2!M25</f>
        <v>157306.58333333334</v>
      </c>
      <c r="O25" s="86">
        <f>I.2!O25</f>
        <v>157712.83333333334</v>
      </c>
      <c r="Q25" s="86">
        <f>I.2!Q25</f>
        <v>157875.33333333334</v>
      </c>
      <c r="R25" s="86">
        <f>I.2!R25</f>
        <v>158200.33333333334</v>
      </c>
      <c r="S25" s="86">
        <f>I.2!S25</f>
        <v>158525.33333333334</v>
      </c>
      <c r="T25" s="86"/>
    </row>
    <row r="26" spans="1:20">
      <c r="A26" s="850">
        <v>12</v>
      </c>
      <c r="C26" s="695" t="s">
        <v>131</v>
      </c>
      <c r="D26" s="850"/>
      <c r="G26" s="86">
        <f>I.2!G26</f>
        <v>17318</v>
      </c>
      <c r="H26" s="86">
        <f>I.2!H26</f>
        <v>17435.166666666668</v>
      </c>
      <c r="I26" s="86">
        <f>I.2!I26</f>
        <v>17333.333333333332</v>
      </c>
      <c r="J26" s="86">
        <f>I.2!J26</f>
        <v>17339</v>
      </c>
      <c r="K26" s="86">
        <f>I.2!K26</f>
        <v>17353.666666666668</v>
      </c>
      <c r="M26" s="86">
        <f>I.2!M26</f>
        <v>17445.75</v>
      </c>
      <c r="O26" s="86">
        <f>I.2!O26</f>
        <v>17445.75</v>
      </c>
      <c r="Q26" s="86">
        <f>I.2!Q26</f>
        <v>17445.75</v>
      </c>
      <c r="R26" s="86">
        <f>I.2!R26</f>
        <v>17445.75</v>
      </c>
      <c r="S26" s="86">
        <f>I.2!S26</f>
        <v>17445.75</v>
      </c>
      <c r="T26" s="86"/>
    </row>
    <row r="27" spans="1:20">
      <c r="A27" s="850">
        <v>13</v>
      </c>
      <c r="C27" s="695" t="s">
        <v>132</v>
      </c>
      <c r="D27" s="850"/>
      <c r="G27" s="86">
        <f>I.2!G27</f>
        <v>206.91666666666666</v>
      </c>
      <c r="H27" s="86">
        <f>I.2!H27</f>
        <v>203.66666666666666</v>
      </c>
      <c r="I27" s="86">
        <f>I.2!I27</f>
        <v>201.16666666666666</v>
      </c>
      <c r="J27" s="86">
        <f>I.2!J27</f>
        <v>205.33333333333334</v>
      </c>
      <c r="K27" s="86">
        <f>I.2!K27</f>
        <v>205.83333333333334</v>
      </c>
      <c r="M27" s="86">
        <f>I.2!M27</f>
        <v>215.47328844946642</v>
      </c>
      <c r="O27" s="86">
        <f>I.2!O27</f>
        <v>215.47328844946642</v>
      </c>
      <c r="Q27" s="86">
        <f>I.2!Q27</f>
        <v>215.47328844946642</v>
      </c>
      <c r="R27" s="86">
        <f>I.2!R27</f>
        <v>215.47328844946642</v>
      </c>
      <c r="S27" s="86">
        <f>I.2!S27</f>
        <v>215.47328844946642</v>
      </c>
      <c r="T27" s="86"/>
    </row>
    <row r="28" spans="1:20">
      <c r="A28" s="850">
        <v>14</v>
      </c>
      <c r="C28" s="695" t="s">
        <v>163</v>
      </c>
      <c r="D28" s="850"/>
      <c r="G28" s="87">
        <f>I.2!G28</f>
        <v>1575.3333333333333</v>
      </c>
      <c r="H28" s="87">
        <f>I.2!H28</f>
        <v>1576.1666666666667</v>
      </c>
      <c r="I28" s="87">
        <f>I.2!I28</f>
        <v>1560.8333333333333</v>
      </c>
      <c r="J28" s="87">
        <f>I.2!J28</f>
        <v>1550</v>
      </c>
      <c r="K28" s="87">
        <f>I.2!K28</f>
        <v>1548.5833333333333</v>
      </c>
      <c r="M28" s="87">
        <f>I.2!M28</f>
        <v>1534.5</v>
      </c>
      <c r="O28" s="87">
        <f>I.2!O28</f>
        <v>1534.5</v>
      </c>
      <c r="Q28" s="462">
        <f>I.2!Q28</f>
        <v>1534.5</v>
      </c>
      <c r="R28" s="462">
        <f>I.2!R28</f>
        <v>1534.5</v>
      </c>
      <c r="S28" s="462">
        <f>I.2!S28</f>
        <v>1534.5</v>
      </c>
      <c r="T28" s="86"/>
    </row>
    <row r="29" spans="1:20">
      <c r="A29" s="850">
        <v>15</v>
      </c>
      <c r="G29" s="734"/>
      <c r="H29" s="734"/>
      <c r="I29" s="734"/>
      <c r="J29" s="734"/>
      <c r="K29" s="734"/>
      <c r="M29" s="734"/>
      <c r="O29" s="734"/>
      <c r="Q29" s="734"/>
      <c r="R29" s="734"/>
      <c r="S29" s="734"/>
      <c r="T29" s="86"/>
    </row>
    <row r="30" spans="1:20">
      <c r="A30" s="850">
        <v>16</v>
      </c>
      <c r="C30" s="695" t="s">
        <v>96</v>
      </c>
      <c r="D30" s="850"/>
      <c r="G30" s="86">
        <f>SUM(G25:G29)</f>
        <v>173004</v>
      </c>
      <c r="H30" s="86">
        <f>SUM(H25:H29)</f>
        <v>174917.08333333331</v>
      </c>
      <c r="I30" s="86">
        <f>SUM(I25:I29)</f>
        <v>174376.08333333334</v>
      </c>
      <c r="J30" s="86">
        <f>SUM(J25:J29)</f>
        <v>174691.75</v>
      </c>
      <c r="K30" s="86">
        <f>SUM(K25:K29)</f>
        <v>175281.83333333334</v>
      </c>
      <c r="M30" s="86">
        <f>SUM(M25:M29)</f>
        <v>176502.3066217828</v>
      </c>
      <c r="O30" s="86">
        <f>SUM(O25:O29)</f>
        <v>176908.5566217828</v>
      </c>
      <c r="Q30" s="86">
        <f>SUM(Q25:Q29)</f>
        <v>177071.0566217828</v>
      </c>
      <c r="R30" s="86">
        <f>SUM(R25:R29)</f>
        <v>177396.0566217828</v>
      </c>
      <c r="S30" s="86">
        <f>SUM(S25:S29)</f>
        <v>177721.0566217828</v>
      </c>
      <c r="T30" s="86"/>
    </row>
    <row r="31" spans="1:20">
      <c r="A31" s="850">
        <v>17</v>
      </c>
      <c r="G31" s="86"/>
      <c r="H31" s="86"/>
      <c r="I31" s="86"/>
      <c r="J31" s="86"/>
      <c r="K31" s="86"/>
      <c r="M31" s="86"/>
      <c r="O31" s="86"/>
      <c r="Q31" s="86"/>
      <c r="R31" s="86"/>
      <c r="S31" s="86"/>
      <c r="T31" s="86"/>
    </row>
    <row r="32" spans="1:20">
      <c r="A32" s="850">
        <v>18</v>
      </c>
      <c r="C32" s="695" t="s">
        <v>341</v>
      </c>
      <c r="G32" s="86"/>
      <c r="H32" s="86"/>
      <c r="I32" s="86"/>
      <c r="J32" s="86"/>
      <c r="K32" s="86"/>
      <c r="M32" s="86"/>
      <c r="O32" s="86"/>
      <c r="Q32" s="86"/>
      <c r="R32" s="86"/>
      <c r="S32" s="86"/>
      <c r="T32" s="86"/>
    </row>
    <row r="33" spans="1:20">
      <c r="A33" s="850">
        <v>19</v>
      </c>
      <c r="C33" s="695" t="s">
        <v>130</v>
      </c>
      <c r="G33" s="86">
        <f t="shared" ref="G33:J36" si="0">(G16/G25)</f>
        <v>69.282758932124793</v>
      </c>
      <c r="H33" s="86">
        <f t="shared" si="0"/>
        <v>75.509631845003142</v>
      </c>
      <c r="I33" s="86">
        <f t="shared" si="0"/>
        <v>65.256881938038035</v>
      </c>
      <c r="J33" s="86">
        <f t="shared" si="0"/>
        <v>56.937142079801035</v>
      </c>
      <c r="K33" s="86">
        <f t="shared" ref="K33" si="1">(K16/K25)</f>
        <v>53.535734846605145</v>
      </c>
      <c r="M33" s="86">
        <f>(M16/M25)</f>
        <v>63.8960107513944</v>
      </c>
      <c r="O33" s="86">
        <f>(O16/O25)</f>
        <v>63.93324438567921</v>
      </c>
      <c r="Q33" s="86">
        <f t="shared" ref="Q33:R36" si="2">(Q16/Q25)</f>
        <v>63.893380216682722</v>
      </c>
      <c r="R33" s="86">
        <f t="shared" si="2"/>
        <v>63.893426127573136</v>
      </c>
      <c r="S33" s="86">
        <f t="shared" ref="S33" si="3">(S16/S25)</f>
        <v>63.893473420311572</v>
      </c>
      <c r="T33" s="86"/>
    </row>
    <row r="34" spans="1:20">
      <c r="A34" s="850">
        <v>20</v>
      </c>
      <c r="C34" s="695" t="s">
        <v>131</v>
      </c>
      <c r="G34" s="86">
        <f t="shared" si="0"/>
        <v>295.21584074373482</v>
      </c>
      <c r="H34" s="86">
        <f t="shared" si="0"/>
        <v>324.49596141897121</v>
      </c>
      <c r="I34" s="86">
        <f t="shared" si="0"/>
        <v>287.38398576923078</v>
      </c>
      <c r="J34" s="86">
        <f t="shared" si="0"/>
        <v>255.85602399215645</v>
      </c>
      <c r="K34" s="86">
        <f t="shared" ref="K34" si="4">(K17/K26)</f>
        <v>254.4227923013388</v>
      </c>
      <c r="M34" s="86">
        <f>(M17/M26)</f>
        <v>299.02418869925339</v>
      </c>
      <c r="O34" s="86">
        <f>(O17/O26)</f>
        <v>299.02418869925339</v>
      </c>
      <c r="Q34" s="86">
        <f t="shared" si="2"/>
        <v>299.02418869925344</v>
      </c>
      <c r="R34" s="86">
        <f t="shared" si="2"/>
        <v>299.02418869925344</v>
      </c>
      <c r="S34" s="86">
        <f t="shared" ref="S34" si="5">(S17/S26)</f>
        <v>299.02418869925344</v>
      </c>
      <c r="T34" s="86"/>
    </row>
    <row r="35" spans="1:20">
      <c r="A35" s="850">
        <v>21</v>
      </c>
      <c r="C35" s="695" t="s">
        <v>132</v>
      </c>
      <c r="G35" s="86">
        <f t="shared" si="0"/>
        <v>3900.1497704389849</v>
      </c>
      <c r="H35" s="86">
        <f t="shared" si="0"/>
        <v>3829.9768576104734</v>
      </c>
      <c r="I35" s="86">
        <f t="shared" si="0"/>
        <v>3510.4845236122619</v>
      </c>
      <c r="J35" s="86">
        <f t="shared" si="0"/>
        <v>4975.8978409090914</v>
      </c>
      <c r="K35" s="86">
        <f t="shared" ref="K35" si="6">(K18/K27)</f>
        <v>7370.0457813765179</v>
      </c>
      <c r="M35" s="86">
        <f>(M18/M27)</f>
        <v>4601.8919701619989</v>
      </c>
      <c r="O35" s="86">
        <f>(O18/O27)</f>
        <v>4601.8919701620007</v>
      </c>
      <c r="Q35" s="86">
        <f t="shared" si="2"/>
        <v>4601.8919701620007</v>
      </c>
      <c r="R35" s="86">
        <f t="shared" si="2"/>
        <v>4601.8919701620007</v>
      </c>
      <c r="S35" s="86">
        <f t="shared" ref="S35" si="7">(S18/S27)</f>
        <v>4601.8919701620007</v>
      </c>
      <c r="T35" s="86"/>
    </row>
    <row r="36" spans="1:20">
      <c r="A36" s="850">
        <v>22</v>
      </c>
      <c r="C36" s="695" t="s">
        <v>163</v>
      </c>
      <c r="G36" s="86">
        <f t="shared" si="0"/>
        <v>752.38958315700393</v>
      </c>
      <c r="H36" s="86">
        <f t="shared" si="0"/>
        <v>787.54988685629678</v>
      </c>
      <c r="I36" s="86">
        <f t="shared" si="0"/>
        <v>676.39724719701007</v>
      </c>
      <c r="J36" s="86">
        <f t="shared" si="0"/>
        <v>578.17302580645162</v>
      </c>
      <c r="K36" s="86">
        <f t="shared" ref="K36" si="8">(K19/K28)</f>
        <v>532.72633266964419</v>
      </c>
      <c r="M36" s="86">
        <f>(M19/M28)</f>
        <v>627.21322906484193</v>
      </c>
      <c r="O36" s="86">
        <f>(O19/O28)</f>
        <v>627.21322906484193</v>
      </c>
      <c r="Q36" s="86">
        <f t="shared" si="2"/>
        <v>627.21322906484204</v>
      </c>
      <c r="R36" s="86">
        <f t="shared" si="2"/>
        <v>627.21322906484204</v>
      </c>
      <c r="S36" s="86">
        <f t="shared" ref="S36" si="9">(S19/S28)</f>
        <v>627.21322906484204</v>
      </c>
      <c r="T36" s="86"/>
    </row>
    <row r="37" spans="1:20">
      <c r="H37" s="86"/>
      <c r="I37" s="86"/>
      <c r="J37" s="86"/>
      <c r="K37" s="86"/>
      <c r="M37" s="86"/>
      <c r="T37" s="86"/>
    </row>
    <row r="38" spans="1:20">
      <c r="A38" s="695"/>
      <c r="C38" s="695"/>
      <c r="G38" s="86"/>
      <c r="H38" s="86"/>
      <c r="I38" s="86"/>
      <c r="J38" s="86"/>
      <c r="K38" s="86"/>
      <c r="M38" s="86"/>
      <c r="O38" s="86"/>
      <c r="Q38" s="86"/>
      <c r="R38" s="86"/>
      <c r="S38" s="86"/>
      <c r="T38" s="86"/>
    </row>
    <row r="39" spans="1:20">
      <c r="R39" s="86"/>
      <c r="S39" s="86"/>
      <c r="T39" s="86"/>
    </row>
    <row r="40" spans="1:20">
      <c r="R40" s="86"/>
      <c r="S40" s="86"/>
      <c r="T40" s="86"/>
    </row>
    <row r="42" spans="1:20">
      <c r="R42" s="86"/>
      <c r="S42" s="86"/>
      <c r="T42" s="86"/>
    </row>
    <row r="43" spans="1:20">
      <c r="R43" s="86"/>
      <c r="S43" s="86"/>
      <c r="T43" s="86"/>
    </row>
    <row r="48" spans="1:20">
      <c r="I48" s="86"/>
      <c r="J48" s="86"/>
      <c r="K48" s="86"/>
    </row>
    <row r="49" spans="9:11">
      <c r="I49" s="86"/>
      <c r="J49" s="86"/>
      <c r="K49" s="86"/>
    </row>
    <row r="50" spans="9:11">
      <c r="I50" s="86"/>
      <c r="J50" s="86"/>
      <c r="K50" s="86"/>
    </row>
    <row r="51" spans="9:11">
      <c r="I51" s="86"/>
      <c r="J51" s="86"/>
      <c r="K51" s="86"/>
    </row>
    <row r="52" spans="9:11">
      <c r="I52" s="86"/>
      <c r="J52" s="86"/>
      <c r="K52" s="86"/>
    </row>
    <row r="53" spans="9:11">
      <c r="I53" s="86"/>
      <c r="J53" s="86"/>
      <c r="K53" s="86"/>
    </row>
    <row r="54" spans="9:11">
      <c r="I54" s="86"/>
      <c r="J54" s="86"/>
      <c r="K54" s="86"/>
    </row>
    <row r="55" spans="9:11">
      <c r="I55" s="86"/>
      <c r="J55" s="86"/>
      <c r="K55" s="86"/>
    </row>
    <row r="56" spans="9:11">
      <c r="I56" s="86"/>
      <c r="J56" s="86"/>
      <c r="K56" s="86"/>
    </row>
    <row r="57" spans="9:11">
      <c r="I57" s="86"/>
      <c r="J57" s="86"/>
      <c r="K57" s="86"/>
    </row>
    <row r="58" spans="9:11">
      <c r="I58" s="86"/>
      <c r="J58" s="86"/>
      <c r="K58" s="86"/>
    </row>
    <row r="59" spans="9:11">
      <c r="I59" s="86"/>
      <c r="J59" s="86"/>
      <c r="K59" s="86"/>
    </row>
    <row r="60" spans="9:11">
      <c r="I60" s="86"/>
      <c r="J60" s="86"/>
      <c r="K60" s="86"/>
    </row>
    <row r="61" spans="9:11">
      <c r="I61" s="86"/>
      <c r="J61" s="86"/>
      <c r="K61" s="86"/>
    </row>
    <row r="62" spans="9:11">
      <c r="I62" s="86"/>
      <c r="J62" s="86"/>
      <c r="K62" s="86"/>
    </row>
    <row r="63" spans="9:11">
      <c r="I63" s="86"/>
      <c r="J63" s="86"/>
      <c r="K63" s="86"/>
    </row>
    <row r="64" spans="9:11">
      <c r="I64" s="86"/>
      <c r="J64" s="86"/>
      <c r="K64" s="86"/>
    </row>
    <row r="65" spans="9:11">
      <c r="I65" s="86"/>
      <c r="J65" s="86"/>
      <c r="K65" s="86"/>
    </row>
    <row r="66" spans="9:11">
      <c r="I66" s="86"/>
      <c r="J66" s="86"/>
      <c r="K66" s="86"/>
    </row>
    <row r="67" spans="9:11">
      <c r="I67" s="86"/>
      <c r="J67" s="86"/>
      <c r="K67" s="86"/>
    </row>
    <row r="68" spans="9:11">
      <c r="I68" s="86"/>
      <c r="J68" s="86"/>
      <c r="K68" s="86"/>
    </row>
    <row r="69" spans="9:11">
      <c r="I69" s="86"/>
      <c r="J69" s="86"/>
      <c r="K69" s="86"/>
    </row>
    <row r="70" spans="9:11">
      <c r="I70" s="86"/>
      <c r="J70" s="86"/>
      <c r="K70" s="86"/>
    </row>
    <row r="71" spans="9:11">
      <c r="I71" s="86"/>
      <c r="J71" s="86"/>
      <c r="K71" s="86"/>
    </row>
    <row r="72" spans="9:11">
      <c r="I72" s="86"/>
      <c r="J72" s="86"/>
      <c r="K72" s="86"/>
    </row>
    <row r="73" spans="9:11">
      <c r="I73" s="86"/>
      <c r="J73" s="86"/>
      <c r="K73" s="86"/>
    </row>
    <row r="74" spans="9:11">
      <c r="I74" s="86"/>
      <c r="J74" s="86"/>
      <c r="K74" s="86"/>
    </row>
  </sheetData>
  <mergeCells count="6">
    <mergeCell ref="Q11:S11"/>
    <mergeCell ref="A1:R1"/>
    <mergeCell ref="A2:R2"/>
    <mergeCell ref="A3:R3"/>
    <mergeCell ref="A4:R4"/>
    <mergeCell ref="A5:R5"/>
  </mergeCells>
  <phoneticPr fontId="22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80" zoomScaleNormal="90" zoomScaleSheetLayoutView="80" workbookViewId="0">
      <selection activeCell="K27" sqref="K27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</row>
    <row r="2" spans="1:22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</row>
    <row r="3" spans="1:22">
      <c r="A3" s="1210" t="s">
        <v>2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</row>
    <row r="4" spans="1:22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</row>
    <row r="5" spans="1:22">
      <c r="A5" s="706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</row>
    <row r="6" spans="1:22">
      <c r="M6" s="1" t="s">
        <v>1414</v>
      </c>
    </row>
    <row r="7" spans="1:22">
      <c r="A7" s="4" t="s">
        <v>379</v>
      </c>
      <c r="M7" s="489" t="s">
        <v>776</v>
      </c>
    </row>
    <row r="8" spans="1:22">
      <c r="A8" s="66" t="s">
        <v>615</v>
      </c>
      <c r="M8" s="489" t="s">
        <v>853</v>
      </c>
    </row>
    <row r="9" spans="1:22">
      <c r="A9" s="5" t="s">
        <v>365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90" t="s">
        <v>1605</v>
      </c>
    </row>
    <row r="10" spans="1:22">
      <c r="L10" s="15"/>
      <c r="M10" s="15"/>
      <c r="N10" s="15"/>
      <c r="S10" s="15"/>
      <c r="T10" s="15"/>
      <c r="U10" s="15"/>
      <c r="V10" s="15"/>
    </row>
    <row r="11" spans="1:22">
      <c r="A11" s="2" t="s">
        <v>93</v>
      </c>
      <c r="E11" s="2" t="s">
        <v>95</v>
      </c>
      <c r="I11" s="2" t="s">
        <v>103</v>
      </c>
      <c r="M11" s="2" t="s">
        <v>348</v>
      </c>
    </row>
    <row r="12" spans="1:22">
      <c r="A12" s="9" t="s">
        <v>99</v>
      </c>
      <c r="B12" s="6"/>
      <c r="C12" s="5" t="s">
        <v>347</v>
      </c>
      <c r="D12" s="6"/>
      <c r="E12" s="9" t="s">
        <v>101</v>
      </c>
      <c r="F12" s="6"/>
      <c r="G12" s="9" t="s">
        <v>104</v>
      </c>
      <c r="H12" s="6"/>
      <c r="I12" s="9" t="s">
        <v>41</v>
      </c>
      <c r="J12" s="6"/>
      <c r="K12" s="9" t="s">
        <v>1157</v>
      </c>
      <c r="L12" s="6"/>
      <c r="M12" s="9" t="s">
        <v>0</v>
      </c>
    </row>
    <row r="13" spans="1:22">
      <c r="E13" s="2" t="s">
        <v>1081</v>
      </c>
      <c r="G13" s="2" t="s">
        <v>1082</v>
      </c>
      <c r="I13" s="2" t="s">
        <v>1083</v>
      </c>
      <c r="K13" s="2" t="s">
        <v>15</v>
      </c>
      <c r="M13" s="2" t="s">
        <v>38</v>
      </c>
    </row>
    <row r="14" spans="1:22">
      <c r="G14" s="2" t="s">
        <v>623</v>
      </c>
      <c r="I14" s="785" t="s">
        <v>149</v>
      </c>
      <c r="K14" s="2" t="s">
        <v>149</v>
      </c>
      <c r="M14" s="2" t="s">
        <v>149</v>
      </c>
    </row>
    <row r="16" spans="1:22">
      <c r="G16" s="10"/>
      <c r="K16" s="3"/>
      <c r="O16" s="10"/>
      <c r="S16" s="3"/>
    </row>
    <row r="17" spans="1:21" ht="15.75">
      <c r="C17" s="196" t="s">
        <v>1477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785">
        <v>6</v>
      </c>
      <c r="C19" s="4" t="s">
        <v>272</v>
      </c>
      <c r="E19" s="21" t="s">
        <v>276</v>
      </c>
      <c r="F19" s="10"/>
      <c r="G19" s="469">
        <f>+J.1!H17</f>
        <v>281542.43134917947</v>
      </c>
      <c r="H19" s="10"/>
      <c r="I19" s="11">
        <f>+G19/G27</f>
        <v>3.471530440188967E-2</v>
      </c>
      <c r="J19" s="10"/>
      <c r="K19" s="44">
        <f>+J.1!L17</f>
        <v>2.4009451468612653E-2</v>
      </c>
      <c r="L19" s="10"/>
      <c r="M19" s="44">
        <f>ROUND(I19*K19,4)</f>
        <v>8.0000000000000004E-4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44"/>
      <c r="L20" s="10"/>
      <c r="M20" s="44"/>
    </row>
    <row r="21" spans="1:21">
      <c r="A21" s="785">
        <v>7</v>
      </c>
      <c r="C21" s="4" t="s">
        <v>273</v>
      </c>
      <c r="E21" s="21" t="s">
        <v>276</v>
      </c>
      <c r="F21" s="10"/>
      <c r="G21" s="73">
        <f>'[33]Consolidated Balance Detail'!$D$23*0.001</f>
        <v>3068314.7028199998</v>
      </c>
      <c r="H21" s="10"/>
      <c r="I21" s="11">
        <f>+G21/G27</f>
        <v>0.37833543739303355</v>
      </c>
      <c r="J21" s="10"/>
      <c r="K21" s="44">
        <f>'[33]LTD rate'!$Q$37</f>
        <v>5.2157448386390269E-2</v>
      </c>
      <c r="L21" s="10"/>
      <c r="M21" s="44">
        <f>ROUND(I21*K21,4)</f>
        <v>1.9699999999999999E-2</v>
      </c>
    </row>
    <row r="22" spans="1:21">
      <c r="E22" s="10"/>
      <c r="F22" s="10"/>
      <c r="G22" s="10"/>
      <c r="H22" s="10"/>
      <c r="I22" s="10"/>
      <c r="J22" s="10"/>
      <c r="K22" s="44"/>
      <c r="L22" s="10"/>
      <c r="M22" s="44"/>
    </row>
    <row r="23" spans="1:21">
      <c r="A23" s="785">
        <v>8</v>
      </c>
      <c r="C23" s="4" t="s">
        <v>274</v>
      </c>
      <c r="E23" s="21" t="s">
        <v>277</v>
      </c>
      <c r="F23" s="10"/>
      <c r="G23" s="10">
        <f>+J.1!H23</f>
        <v>0</v>
      </c>
      <c r="H23" s="10"/>
      <c r="I23" s="11">
        <f>+G23/G27</f>
        <v>0</v>
      </c>
      <c r="J23" s="10"/>
      <c r="K23" s="44">
        <f>+J.1!L23</f>
        <v>0</v>
      </c>
      <c r="L23" s="10"/>
      <c r="M23" s="44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44"/>
      <c r="L24" s="10"/>
      <c r="M24" s="44"/>
    </row>
    <row r="25" spans="1:21">
      <c r="A25" s="785">
        <v>9</v>
      </c>
      <c r="C25" s="4" t="s">
        <v>275</v>
      </c>
      <c r="E25" s="10"/>
      <c r="F25" s="10"/>
      <c r="G25" s="573">
        <f>+J.1!H25</f>
        <v>4760180.6776799997</v>
      </c>
      <c r="H25" s="10"/>
      <c r="I25" s="23">
        <f>+G25/G27</f>
        <v>0.58694925820507682</v>
      </c>
      <c r="J25" s="10"/>
      <c r="K25" s="44">
        <f>+J.1!L25</f>
        <v>0.104</v>
      </c>
      <c r="L25" s="10"/>
      <c r="M25" s="45">
        <f>ROUND(I25*K25,4)</f>
        <v>6.0999999999999999E-2</v>
      </c>
    </row>
    <row r="26" spans="1:21">
      <c r="G26" s="10"/>
      <c r="K26" s="3"/>
    </row>
    <row r="27" spans="1:21" ht="15.75" thickBot="1">
      <c r="A27" s="2">
        <v>10</v>
      </c>
      <c r="C27" s="4" t="s">
        <v>400</v>
      </c>
      <c r="G27" s="323">
        <f>SUM(G19:G25)</f>
        <v>8110037.8118491787</v>
      </c>
      <c r="I27" s="18">
        <f>SUM(I19:I25)</f>
        <v>1</v>
      </c>
      <c r="K27" s="11"/>
      <c r="M27" s="47">
        <f>(+M19+M21+M23+M25)</f>
        <v>8.1499999999999989E-2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67" right="0.75" top="0.75" bottom="1.26" header="0.5" footer="0.5"/>
  <pageSetup scale="95" orientation="landscape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80" zoomScaleNormal="80" zoomScaleSheetLayoutView="80" workbookViewId="0">
      <pane xSplit="5" ySplit="15" topLeftCell="F25" activePane="bottomRight" state="frozen"/>
      <selection activeCell="B6" sqref="B6"/>
      <selection pane="topRight" activeCell="B6" sqref="B6"/>
      <selection pane="bottomLeft" activeCell="B6" sqref="B6"/>
      <selection pane="bottomRight" activeCell="R44" sqref="R44"/>
    </sheetView>
  </sheetViews>
  <sheetFormatPr defaultColWidth="10.109375" defaultRowHeight="15"/>
  <cols>
    <col min="1" max="1" width="3.77734375" style="103" customWidth="1"/>
    <col min="2" max="2" width="2.44140625" style="103" customWidth="1"/>
    <col min="3" max="3" width="13" style="103" customWidth="1"/>
    <col min="4" max="4" width="2.109375" style="103" customWidth="1"/>
    <col min="5" max="5" width="2.44140625" style="103" customWidth="1"/>
    <col min="6" max="6" width="6.77734375" style="103" customWidth="1"/>
    <col min="7" max="7" width="2.44140625" style="103" customWidth="1"/>
    <col min="8" max="8" width="14" style="103" customWidth="1"/>
    <col min="9" max="9" width="2.44140625" style="103" customWidth="1"/>
    <col min="10" max="10" width="8.33203125" style="103" customWidth="1"/>
    <col min="11" max="11" width="2.44140625" style="103" customWidth="1"/>
    <col min="12" max="12" width="8" style="103" customWidth="1"/>
    <col min="13" max="13" width="2.44140625" style="103" customWidth="1"/>
    <col min="14" max="14" width="8.6640625" style="103" customWidth="1"/>
    <col min="15" max="15" width="2.44140625" style="103" customWidth="1"/>
    <col min="16" max="16" width="13.6640625" style="103" customWidth="1"/>
    <col min="17" max="17" width="2.44140625" style="103" customWidth="1"/>
    <col min="18" max="18" width="11.33203125" style="103" customWidth="1"/>
    <col min="19" max="19" width="1.88671875" style="103" customWidth="1"/>
    <col min="20" max="20" width="9.33203125" style="103" customWidth="1"/>
    <col min="21" max="21" width="2.44140625" style="103" customWidth="1"/>
    <col min="22" max="22" width="8.44140625" style="103" customWidth="1"/>
    <col min="23" max="23" width="6.77734375" style="103" bestFit="1" customWidth="1"/>
    <col min="24" max="24" width="9.44140625" style="103" bestFit="1" customWidth="1"/>
    <col min="25" max="16384" width="10.109375" style="103"/>
  </cols>
  <sheetData>
    <row r="1" spans="1:23">
      <c r="A1" s="1223" t="str">
        <f>'Table of Contents'!A1:C1</f>
        <v>Atmos Energy Corporation, Kentucky/Mid-States Division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  <c r="Q1" s="1223"/>
      <c r="R1" s="1223"/>
      <c r="S1" s="1223"/>
      <c r="T1" s="1223"/>
      <c r="U1" s="1223"/>
      <c r="V1" s="1223"/>
    </row>
    <row r="2" spans="1:23">
      <c r="A2" s="1223" t="str">
        <f>'Table of Contents'!A2:C2</f>
        <v>Kentucky Jurisdiction Case No. 2018-00281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1223"/>
      <c r="R2" s="1223"/>
      <c r="S2" s="1223"/>
      <c r="T2" s="1223"/>
      <c r="U2" s="1223"/>
      <c r="V2" s="1223"/>
    </row>
    <row r="3" spans="1:23">
      <c r="A3" s="1223" t="s">
        <v>1476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1223"/>
      <c r="T3" s="1223"/>
      <c r="U3" s="1223"/>
      <c r="V3" s="1223"/>
    </row>
    <row r="4" spans="1:23">
      <c r="A4" s="1223" t="str">
        <f>'Table of Contents'!A3:C3</f>
        <v>Base Period: Twelve Months Ended December 31, 2018</v>
      </c>
      <c r="B4" s="1223"/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M4" s="1223"/>
      <c r="N4" s="1223"/>
      <c r="O4" s="1223"/>
      <c r="P4" s="1223"/>
      <c r="Q4" s="1223"/>
      <c r="R4" s="1223"/>
      <c r="S4" s="1223"/>
      <c r="T4" s="1223"/>
      <c r="U4" s="1223"/>
      <c r="V4" s="1223"/>
    </row>
    <row r="5" spans="1:23">
      <c r="A5" s="1223" t="str">
        <f>'Table of Contents'!A4:C4</f>
        <v>Forecasted Test Period: Twelve Months Ended March 31, 2020</v>
      </c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1223"/>
      <c r="Q5" s="1223"/>
      <c r="R5" s="1223"/>
      <c r="S5" s="1223"/>
      <c r="T5" s="1223"/>
      <c r="U5" s="1223"/>
      <c r="V5" s="1223"/>
    </row>
    <row r="6" spans="1:23">
      <c r="L6" s="121"/>
    </row>
    <row r="8" spans="1:23">
      <c r="A8" s="584" t="s">
        <v>198</v>
      </c>
      <c r="V8" s="950" t="s">
        <v>1414</v>
      </c>
    </row>
    <row r="9" spans="1:23">
      <c r="A9" s="584" t="s">
        <v>615</v>
      </c>
      <c r="T9" s="584"/>
      <c r="V9" s="922" t="s">
        <v>776</v>
      </c>
    </row>
    <row r="10" spans="1:23" ht="16.5" thickBot="1">
      <c r="A10" s="951" t="s">
        <v>365</v>
      </c>
      <c r="B10" s="930"/>
      <c r="C10" s="930"/>
      <c r="D10" s="930"/>
      <c r="E10" s="930"/>
      <c r="F10" s="930"/>
      <c r="G10" s="930"/>
      <c r="H10" s="802"/>
      <c r="I10" s="802"/>
      <c r="J10" s="802"/>
      <c r="K10" s="802"/>
      <c r="L10" s="802"/>
      <c r="M10" s="802"/>
      <c r="N10" s="989" t="s">
        <v>503</v>
      </c>
      <c r="O10" s="990"/>
      <c r="P10" s="990"/>
      <c r="Q10" s="802"/>
      <c r="R10" s="802"/>
      <c r="S10" s="802"/>
      <c r="T10" s="951"/>
      <c r="U10" s="802"/>
      <c r="V10" s="982" t="str">
        <f>'J-1 Base'!$M$9</f>
        <v>Witness:  Christian</v>
      </c>
      <c r="W10" s="930"/>
    </row>
    <row r="11" spans="1:23" ht="15.75">
      <c r="H11" s="991" t="s">
        <v>324</v>
      </c>
      <c r="I11" s="992"/>
      <c r="J11" s="992"/>
      <c r="K11" s="992"/>
      <c r="L11" s="992"/>
      <c r="M11" s="992"/>
      <c r="N11" s="993"/>
      <c r="P11" s="991" t="s">
        <v>325</v>
      </c>
      <c r="Q11" s="992"/>
      <c r="R11" s="992"/>
      <c r="S11" s="992"/>
      <c r="T11" s="992"/>
      <c r="U11" s="992"/>
      <c r="V11" s="993"/>
      <c r="W11" s="988"/>
    </row>
    <row r="12" spans="1:23">
      <c r="A12" s="121" t="s">
        <v>93</v>
      </c>
      <c r="F12" s="121" t="s">
        <v>95</v>
      </c>
      <c r="H12" s="994"/>
      <c r="I12" s="802"/>
      <c r="J12" s="429" t="s">
        <v>103</v>
      </c>
      <c r="K12" s="802"/>
      <c r="L12" s="802"/>
      <c r="M12" s="802"/>
      <c r="N12" s="995" t="s">
        <v>348</v>
      </c>
      <c r="P12" s="994"/>
      <c r="Q12" s="802"/>
      <c r="R12" s="429" t="s">
        <v>103</v>
      </c>
      <c r="S12" s="802"/>
      <c r="T12" s="802"/>
      <c r="U12" s="802"/>
      <c r="V12" s="995" t="s">
        <v>348</v>
      </c>
    </row>
    <row r="13" spans="1:23" ht="15.75" thickBot="1">
      <c r="A13" s="649" t="s">
        <v>99</v>
      </c>
      <c r="B13" s="930"/>
      <c r="C13" s="951" t="s">
        <v>347</v>
      </c>
      <c r="D13" s="930"/>
      <c r="E13" s="930"/>
      <c r="F13" s="649" t="s">
        <v>101</v>
      </c>
      <c r="G13" s="930"/>
      <c r="H13" s="996" t="s">
        <v>104</v>
      </c>
      <c r="I13" s="997"/>
      <c r="J13" s="998" t="s">
        <v>41</v>
      </c>
      <c r="K13" s="997"/>
      <c r="L13" s="998" t="s">
        <v>1157</v>
      </c>
      <c r="M13" s="997"/>
      <c r="N13" s="999" t="s">
        <v>0</v>
      </c>
      <c r="O13" s="802"/>
      <c r="P13" s="996" t="s">
        <v>104</v>
      </c>
      <c r="Q13" s="997"/>
      <c r="R13" s="998" t="s">
        <v>41</v>
      </c>
      <c r="S13" s="997"/>
      <c r="T13" s="998" t="s">
        <v>1157</v>
      </c>
      <c r="U13" s="997"/>
      <c r="V13" s="999" t="s">
        <v>0</v>
      </c>
      <c r="W13" s="930"/>
    </row>
    <row r="14" spans="1:23">
      <c r="F14" s="121" t="s">
        <v>1081</v>
      </c>
      <c r="H14" s="121" t="s">
        <v>1082</v>
      </c>
      <c r="J14" s="121" t="s">
        <v>1083</v>
      </c>
      <c r="L14" s="121" t="s">
        <v>15</v>
      </c>
      <c r="N14" s="121" t="s">
        <v>38</v>
      </c>
      <c r="O14" s="802"/>
      <c r="P14" s="121" t="s">
        <v>322</v>
      </c>
      <c r="R14" s="121" t="s">
        <v>39</v>
      </c>
      <c r="T14" s="121" t="s">
        <v>621</v>
      </c>
      <c r="V14" s="121" t="s">
        <v>622</v>
      </c>
    </row>
    <row r="15" spans="1:23">
      <c r="H15" s="121" t="s">
        <v>623</v>
      </c>
      <c r="J15" s="121" t="s">
        <v>149</v>
      </c>
      <c r="L15" s="121" t="s">
        <v>149</v>
      </c>
      <c r="N15" s="121" t="s">
        <v>149</v>
      </c>
      <c r="P15" s="121" t="s">
        <v>623</v>
      </c>
      <c r="R15" s="121" t="s">
        <v>149</v>
      </c>
      <c r="T15" s="121" t="s">
        <v>149</v>
      </c>
      <c r="V15" s="121" t="s">
        <v>149</v>
      </c>
    </row>
    <row r="17" spans="1:24">
      <c r="A17" s="121" t="s">
        <v>366</v>
      </c>
      <c r="C17" s="584" t="s">
        <v>272</v>
      </c>
      <c r="F17" s="108"/>
      <c r="G17" s="108"/>
      <c r="H17" s="108">
        <f>+'J-2 B'!F20</f>
        <v>281542.43134917947</v>
      </c>
      <c r="I17" s="108"/>
      <c r="J17" s="577">
        <f>ROUND(H17/$H$29,4)</f>
        <v>3.4700000000000002E-2</v>
      </c>
      <c r="K17" s="108"/>
      <c r="L17" s="1000">
        <f>+'J-2 B'!L20</f>
        <v>2.4009451468612653E-2</v>
      </c>
      <c r="M17" s="108"/>
      <c r="N17" s="1000">
        <f>ROUND(+J17*L17,4)</f>
        <v>8.0000000000000004E-4</v>
      </c>
      <c r="O17" s="108"/>
      <c r="P17" s="108">
        <f>+'J-2 F'!F20</f>
        <v>281542.43134917947</v>
      </c>
      <c r="Q17" s="108"/>
      <c r="R17" s="577">
        <f>ROUND(P17/$P$29,4)</f>
        <v>3.44E-2</v>
      </c>
      <c r="S17" s="108"/>
      <c r="T17" s="1000">
        <f>ROUND(+'J-2 F'!L20,4)</f>
        <v>2.4E-2</v>
      </c>
      <c r="U17" s="577"/>
      <c r="V17" s="1000">
        <f>ROUND(R17*T17,4)</f>
        <v>8.0000000000000004E-4</v>
      </c>
      <c r="W17" s="424"/>
      <c r="X17" s="424"/>
    </row>
    <row r="18" spans="1:24">
      <c r="F18" s="108"/>
      <c r="G18" s="108"/>
      <c r="H18" s="108"/>
      <c r="I18" s="108"/>
      <c r="J18" s="108"/>
      <c r="K18" s="108"/>
      <c r="L18" s="1000"/>
      <c r="M18" s="108"/>
      <c r="N18" s="1000"/>
      <c r="O18" s="108"/>
      <c r="P18" s="108"/>
      <c r="Q18" s="108"/>
      <c r="R18" s="577"/>
      <c r="S18" s="108"/>
      <c r="T18" s="1000"/>
      <c r="U18" s="577"/>
      <c r="V18" s="1000"/>
      <c r="W18" s="424"/>
    </row>
    <row r="19" spans="1:24">
      <c r="A19" s="121" t="s">
        <v>368</v>
      </c>
      <c r="C19" s="584" t="s">
        <v>273</v>
      </c>
      <c r="F19" s="108"/>
      <c r="G19" s="108"/>
      <c r="H19" s="109">
        <f>'J-1 Base'!G21</f>
        <v>3068314.7028199998</v>
      </c>
      <c r="I19" s="108"/>
      <c r="J19" s="1001">
        <f>ROUND(H19/$H$29,5)</f>
        <v>0.37834000000000001</v>
      </c>
      <c r="K19" s="108"/>
      <c r="L19" s="1000">
        <f>'J-1 Base'!K21</f>
        <v>5.2157448386390269E-2</v>
      </c>
      <c r="M19" s="108"/>
      <c r="N19" s="1187">
        <f>ROUND(+J19*L19,4)</f>
        <v>1.9699999999999999E-2</v>
      </c>
      <c r="O19" s="108"/>
      <c r="P19" s="109">
        <f>+'J-3 F'!E33*0.001</f>
        <v>3131314.7028200002</v>
      </c>
      <c r="Q19" s="108"/>
      <c r="R19" s="1001">
        <f>ROUND(P19/$P$29,4)</f>
        <v>0.3831</v>
      </c>
      <c r="S19" s="108"/>
      <c r="T19" s="1000">
        <f>ROUND('J-3 F'!K33,4)</f>
        <v>4.7199999999999999E-2</v>
      </c>
      <c r="U19" s="577"/>
      <c r="V19" s="1002">
        <f>+R19*T19</f>
        <v>1.8082319999999999E-2</v>
      </c>
      <c r="W19" s="424"/>
      <c r="X19" s="424"/>
    </row>
    <row r="20" spans="1:24">
      <c r="F20" s="108"/>
      <c r="G20" s="108"/>
      <c r="H20" s="108"/>
      <c r="I20" s="108"/>
      <c r="J20" s="108"/>
      <c r="K20" s="108"/>
      <c r="L20" s="1000"/>
      <c r="M20" s="108"/>
      <c r="N20" s="1000"/>
      <c r="O20" s="108"/>
      <c r="P20" s="108"/>
      <c r="Q20" s="108"/>
      <c r="R20" s="108"/>
      <c r="S20" s="108"/>
      <c r="T20" s="1000"/>
      <c r="U20" s="577"/>
      <c r="V20" s="1000"/>
      <c r="W20" s="424"/>
    </row>
    <row r="21" spans="1:24">
      <c r="A21" s="121" t="s">
        <v>370</v>
      </c>
      <c r="C21" s="584" t="s">
        <v>399</v>
      </c>
      <c r="F21" s="108"/>
      <c r="G21" s="108"/>
      <c r="H21" s="108">
        <f>H17+H19</f>
        <v>3349857.134169179</v>
      </c>
      <c r="I21" s="108"/>
      <c r="J21" s="577">
        <f>J17+J19</f>
        <v>0.41304000000000002</v>
      </c>
      <c r="K21" s="108"/>
      <c r="L21" s="1000"/>
      <c r="M21" s="108"/>
      <c r="N21" s="1000">
        <f>N17+N19</f>
        <v>2.0499999999999997E-2</v>
      </c>
      <c r="O21" s="108"/>
      <c r="P21" s="108">
        <f>P17+P19</f>
        <v>3412857.1341691799</v>
      </c>
      <c r="Q21" s="108"/>
      <c r="R21" s="577">
        <f>R17+R19</f>
        <v>0.41749999999999998</v>
      </c>
      <c r="S21" s="108"/>
      <c r="T21" s="1000"/>
      <c r="U21" s="577"/>
      <c r="V21" s="1000">
        <f>V17+V19</f>
        <v>1.8882319999999998E-2</v>
      </c>
      <c r="W21" s="424"/>
      <c r="X21" s="108"/>
    </row>
    <row r="22" spans="1:24">
      <c r="F22" s="108"/>
      <c r="G22" s="108"/>
      <c r="H22" s="108"/>
      <c r="I22" s="108"/>
      <c r="J22" s="108"/>
      <c r="K22" s="108"/>
      <c r="L22" s="1000"/>
      <c r="M22" s="108"/>
      <c r="N22" s="1000"/>
      <c r="O22" s="108"/>
      <c r="P22" s="108"/>
      <c r="Q22" s="108"/>
      <c r="R22" s="108"/>
      <c r="S22" s="108"/>
      <c r="T22" s="1000"/>
      <c r="U22" s="577"/>
      <c r="V22" s="1000"/>
      <c r="W22" s="424"/>
    </row>
    <row r="23" spans="1:24">
      <c r="A23" s="121" t="s">
        <v>371</v>
      </c>
      <c r="C23" s="584" t="s">
        <v>274</v>
      </c>
      <c r="F23" s="108"/>
      <c r="G23" s="108"/>
      <c r="H23" s="108">
        <v>0</v>
      </c>
      <c r="I23" s="108"/>
      <c r="J23" s="577">
        <f>ROUND(H23/$H$29,4)</f>
        <v>0</v>
      </c>
      <c r="K23" s="108"/>
      <c r="L23" s="1000">
        <v>0</v>
      </c>
      <c r="M23" s="108"/>
      <c r="N23" s="1000">
        <f>+J23*L23</f>
        <v>0</v>
      </c>
      <c r="O23" s="108"/>
      <c r="P23" s="108">
        <v>0</v>
      </c>
      <c r="Q23" s="108"/>
      <c r="R23" s="577">
        <f>ROUND(P23/$P$29,4)</f>
        <v>0</v>
      </c>
      <c r="S23" s="108"/>
      <c r="T23" s="1000">
        <v>0</v>
      </c>
      <c r="U23" s="577"/>
      <c r="V23" s="1000">
        <f>ROUND(R23*T23,4)</f>
        <v>0</v>
      </c>
      <c r="W23" s="424"/>
    </row>
    <row r="24" spans="1:24">
      <c r="H24" s="108"/>
      <c r="L24" s="1000"/>
      <c r="N24" s="424"/>
      <c r="P24" s="108"/>
      <c r="T24" s="1000"/>
      <c r="U24" s="1003"/>
      <c r="V24" s="424"/>
      <c r="W24" s="424"/>
    </row>
    <row r="25" spans="1:24">
      <c r="A25" s="121" t="s">
        <v>372</v>
      </c>
      <c r="C25" s="584" t="s">
        <v>275</v>
      </c>
      <c r="H25" s="108">
        <f>'[34]Consolidated Cap Structure'!$C$27*0.001</f>
        <v>4760180.6776799997</v>
      </c>
      <c r="J25" s="577">
        <f>ROUND(H25/$H$29,5)</f>
        <v>0.58694999999999997</v>
      </c>
      <c r="L25" s="1000">
        <f>Allocation!E27</f>
        <v>0.104</v>
      </c>
      <c r="N25" s="1000">
        <f>+J25*L25</f>
        <v>6.1042799999999994E-2</v>
      </c>
      <c r="P25" s="108">
        <f>'[34]Consolidated Cap Structure'!$C$27*0.001</f>
        <v>4760180.6776799997</v>
      </c>
      <c r="R25" s="577">
        <f>+ROUND(P25/P29,5)</f>
        <v>0.58242000000000005</v>
      </c>
      <c r="T25" s="1000">
        <f>L25</f>
        <v>0.104</v>
      </c>
      <c r="U25" s="1003"/>
      <c r="V25" s="1000">
        <f>ROUND(R25*T25,4)</f>
        <v>6.0600000000000001E-2</v>
      </c>
      <c r="W25" s="424"/>
      <c r="X25" s="424"/>
    </row>
    <row r="26" spans="1:24">
      <c r="H26" s="108"/>
      <c r="L26" s="1000"/>
      <c r="N26" s="424"/>
      <c r="P26" s="108"/>
      <c r="T26" s="1000"/>
      <c r="U26" s="1003"/>
      <c r="V26" s="424"/>
      <c r="W26" s="424"/>
    </row>
    <row r="27" spans="1:24">
      <c r="A27" s="121" t="s">
        <v>373</v>
      </c>
      <c r="C27" s="584" t="s">
        <v>433</v>
      </c>
      <c r="H27" s="109">
        <v>0</v>
      </c>
      <c r="J27" s="1004">
        <f>ROUND(H27/$H$29,4)</f>
        <v>0</v>
      </c>
      <c r="L27" s="1000">
        <v>0</v>
      </c>
      <c r="N27" s="1002">
        <f>+J27*L27</f>
        <v>0</v>
      </c>
      <c r="P27" s="109">
        <v>0</v>
      </c>
      <c r="R27" s="1004">
        <f>ROUND(P27/$H$29,4)</f>
        <v>0</v>
      </c>
      <c r="T27" s="1000">
        <v>0</v>
      </c>
      <c r="U27" s="1003"/>
      <c r="V27" s="1005">
        <f>ROUND(R27*T27,4)</f>
        <v>0</v>
      </c>
      <c r="W27" s="424"/>
    </row>
    <row r="28" spans="1:24">
      <c r="H28" s="108"/>
      <c r="L28" s="1000"/>
      <c r="P28" s="108"/>
      <c r="T28" s="577"/>
      <c r="U28" s="1003"/>
      <c r="V28" s="1003"/>
      <c r="W28" s="1003"/>
    </row>
    <row r="29" spans="1:24" ht="15.75" thickBot="1">
      <c r="A29" s="121" t="s">
        <v>374</v>
      </c>
      <c r="C29" s="584" t="s">
        <v>400</v>
      </c>
      <c r="H29" s="1006">
        <f>H21+H25+H27</f>
        <v>8110037.8118491787</v>
      </c>
      <c r="J29" s="1174">
        <f>SUM(J21:J27)</f>
        <v>0.99998999999999993</v>
      </c>
      <c r="L29" s="135"/>
      <c r="N29" s="114">
        <f>SUM(N21:N27)</f>
        <v>8.1542799999999999E-2</v>
      </c>
      <c r="P29" s="1006">
        <f>SUM(P21:P27)</f>
        <v>8173037.8118491797</v>
      </c>
      <c r="R29" s="1174">
        <f>SUM(R21:R27)</f>
        <v>0.99992000000000003</v>
      </c>
      <c r="T29" s="577"/>
      <c r="U29" s="1003"/>
      <c r="V29" s="114">
        <f>SUM(V21:V27)</f>
        <v>7.9482319999999995E-2</v>
      </c>
      <c r="W29" s="424"/>
      <c r="X29" s="114"/>
    </row>
    <row r="30" spans="1:24" ht="15.75" thickTop="1">
      <c r="H30" s="108"/>
      <c r="P30" s="108"/>
      <c r="T30" s="1003"/>
      <c r="U30" s="1003"/>
      <c r="V30" s="1003"/>
    </row>
    <row r="35" spans="1:22" ht="16.5" thickBot="1">
      <c r="A35" s="958"/>
      <c r="B35" s="958"/>
      <c r="C35" s="958"/>
      <c r="D35" s="958"/>
      <c r="E35" s="958"/>
      <c r="F35" s="958"/>
      <c r="G35" s="958"/>
      <c r="N35" s="989" t="s">
        <v>504</v>
      </c>
      <c r="O35" s="990"/>
      <c r="P35" s="990"/>
    </row>
    <row r="36" spans="1:22" ht="15.75">
      <c r="H36" s="991" t="s">
        <v>324</v>
      </c>
      <c r="I36" s="992"/>
      <c r="J36" s="992"/>
      <c r="K36" s="992"/>
      <c r="L36" s="992"/>
      <c r="M36" s="992"/>
      <c r="N36" s="993"/>
      <c r="P36" s="991" t="s">
        <v>325</v>
      </c>
      <c r="Q36" s="992"/>
      <c r="R36" s="992"/>
      <c r="S36" s="992"/>
      <c r="T36" s="992"/>
      <c r="U36" s="992"/>
      <c r="V36" s="993"/>
    </row>
    <row r="37" spans="1:22">
      <c r="A37" s="121" t="s">
        <v>93</v>
      </c>
      <c r="F37" s="121" t="s">
        <v>95</v>
      </c>
      <c r="H37" s="994"/>
      <c r="I37" s="802"/>
      <c r="J37" s="429" t="s">
        <v>103</v>
      </c>
      <c r="K37" s="802"/>
      <c r="L37" s="802"/>
      <c r="M37" s="802"/>
      <c r="N37" s="995" t="s">
        <v>348</v>
      </c>
      <c r="P37" s="994"/>
      <c r="Q37" s="802"/>
      <c r="R37" s="429" t="s">
        <v>103</v>
      </c>
      <c r="S37" s="802"/>
      <c r="T37" s="802"/>
      <c r="U37" s="802"/>
      <c r="V37" s="995" t="s">
        <v>348</v>
      </c>
    </row>
    <row r="38" spans="1:22" ht="15.75" thickBot="1">
      <c r="A38" s="649" t="s">
        <v>99</v>
      </c>
      <c r="B38" s="930"/>
      <c r="C38" s="951" t="s">
        <v>347</v>
      </c>
      <c r="D38" s="930"/>
      <c r="E38" s="930"/>
      <c r="F38" s="649" t="s">
        <v>101</v>
      </c>
      <c r="G38" s="930"/>
      <c r="H38" s="996" t="s">
        <v>104</v>
      </c>
      <c r="I38" s="997"/>
      <c r="J38" s="998" t="s">
        <v>41</v>
      </c>
      <c r="K38" s="997"/>
      <c r="L38" s="998" t="s">
        <v>1157</v>
      </c>
      <c r="M38" s="997"/>
      <c r="N38" s="999" t="s">
        <v>0</v>
      </c>
      <c r="O38" s="802"/>
      <c r="P38" s="996" t="s">
        <v>104</v>
      </c>
      <c r="Q38" s="997"/>
      <c r="R38" s="998" t="s">
        <v>41</v>
      </c>
      <c r="S38" s="997"/>
      <c r="T38" s="998" t="s">
        <v>1157</v>
      </c>
      <c r="U38" s="997"/>
      <c r="V38" s="999" t="s">
        <v>0</v>
      </c>
    </row>
    <row r="39" spans="1:22">
      <c r="F39" s="121" t="s">
        <v>1081</v>
      </c>
      <c r="H39" s="121" t="s">
        <v>1082</v>
      </c>
      <c r="J39" s="121" t="s">
        <v>1083</v>
      </c>
      <c r="L39" s="121" t="s">
        <v>15</v>
      </c>
      <c r="N39" s="121" t="s">
        <v>38</v>
      </c>
      <c r="O39" s="802"/>
      <c r="P39" s="121" t="s">
        <v>322</v>
      </c>
      <c r="R39" s="121" t="s">
        <v>39</v>
      </c>
      <c r="T39" s="121" t="s">
        <v>621</v>
      </c>
      <c r="V39" s="121" t="s">
        <v>622</v>
      </c>
    </row>
    <row r="40" spans="1:22">
      <c r="H40" s="121" t="s">
        <v>623</v>
      </c>
      <c r="J40" s="121" t="s">
        <v>149</v>
      </c>
      <c r="L40" s="121" t="s">
        <v>149</v>
      </c>
      <c r="N40" s="121" t="s">
        <v>149</v>
      </c>
      <c r="P40" s="121" t="s">
        <v>623</v>
      </c>
      <c r="R40" s="121" t="s">
        <v>149</v>
      </c>
      <c r="T40" s="121" t="s">
        <v>149</v>
      </c>
      <c r="V40" s="121" t="s">
        <v>149</v>
      </c>
    </row>
    <row r="42" spans="1:22">
      <c r="A42" s="121">
        <v>8</v>
      </c>
      <c r="C42" s="584" t="s">
        <v>272</v>
      </c>
      <c r="F42" s="108"/>
      <c r="G42" s="108"/>
      <c r="H42" s="108">
        <f>+'J-2 B'!F20</f>
        <v>281542.43134917947</v>
      </c>
      <c r="I42" s="108"/>
      <c r="J42" s="577">
        <f>ROUND(H42/$H$54,4)</f>
        <v>3.4700000000000002E-2</v>
      </c>
      <c r="K42" s="108"/>
      <c r="L42" s="1000">
        <f>+'J-2 B'!L20</f>
        <v>2.4009451468612653E-2</v>
      </c>
      <c r="M42" s="108"/>
      <c r="N42" s="1000">
        <f>+J42*L42</f>
        <v>8.3312796596085906E-4</v>
      </c>
      <c r="O42" s="108"/>
      <c r="P42" s="108">
        <f>+'J-2 F'!F20</f>
        <v>281542.43134917947</v>
      </c>
      <c r="Q42" s="108"/>
      <c r="R42" s="577">
        <f>ROUND(P42/$P$54,4)</f>
        <v>3.44E-2</v>
      </c>
      <c r="S42" s="108"/>
      <c r="T42" s="1000">
        <f>ROUND(+'J-2 F'!L20,4)</f>
        <v>2.4E-2</v>
      </c>
      <c r="U42" s="577"/>
      <c r="V42" s="1000">
        <f>ROUND(R42*T42,4)</f>
        <v>8.0000000000000004E-4</v>
      </c>
    </row>
    <row r="43" spans="1:22">
      <c r="F43" s="108"/>
      <c r="G43" s="108"/>
      <c r="H43" s="108"/>
      <c r="I43" s="108"/>
      <c r="J43" s="108"/>
      <c r="K43" s="108"/>
      <c r="L43" s="1000"/>
      <c r="M43" s="108"/>
      <c r="N43" s="1000"/>
      <c r="O43" s="108"/>
      <c r="P43" s="108"/>
      <c r="Q43" s="108"/>
      <c r="R43" s="577"/>
      <c r="S43" s="108"/>
      <c r="T43" s="1000"/>
      <c r="U43" s="577"/>
      <c r="V43" s="1000"/>
    </row>
    <row r="44" spans="1:22">
      <c r="A44" s="121">
        <v>9</v>
      </c>
      <c r="C44" s="584" t="s">
        <v>273</v>
      </c>
      <c r="F44" s="108"/>
      <c r="G44" s="108"/>
      <c r="H44" s="109">
        <f>H19</f>
        <v>3068314.7028199998</v>
      </c>
      <c r="I44" s="108"/>
      <c r="J44" s="1001">
        <f>ROUND(H44/$H$54,5)</f>
        <v>0.37834000000000001</v>
      </c>
      <c r="K44" s="108"/>
      <c r="L44" s="1000">
        <f>ROUND('J-3 B'!K33,4)</f>
        <v>5.2200000000000003E-2</v>
      </c>
      <c r="M44" s="108"/>
      <c r="N44" s="1002">
        <f>+J44*L44</f>
        <v>1.9749348000000003E-2</v>
      </c>
      <c r="O44" s="108"/>
      <c r="P44" s="109">
        <f>+'J-3 F'!E33*0.001</f>
        <v>3131314.7028200002</v>
      </c>
      <c r="Q44" s="108"/>
      <c r="R44" s="1001">
        <f>ROUND(P44/$P$54,4)</f>
        <v>0.3831</v>
      </c>
      <c r="S44" s="108"/>
      <c r="T44" s="1000">
        <f>ROUND('J-3 F'!K33,4)</f>
        <v>4.7199999999999999E-2</v>
      </c>
      <c r="U44" s="577"/>
      <c r="V44" s="1005">
        <f>ROUND(R44*T44,4)</f>
        <v>1.8100000000000002E-2</v>
      </c>
    </row>
    <row r="45" spans="1:22">
      <c r="F45" s="108"/>
      <c r="G45" s="108"/>
      <c r="H45" s="108"/>
      <c r="I45" s="108"/>
      <c r="J45" s="108"/>
      <c r="K45" s="108"/>
      <c r="L45" s="1000"/>
      <c r="M45" s="108"/>
      <c r="N45" s="1000"/>
      <c r="O45" s="108"/>
      <c r="P45" s="108"/>
      <c r="Q45" s="108"/>
      <c r="R45" s="108"/>
      <c r="S45" s="108"/>
      <c r="T45" s="1000"/>
      <c r="U45" s="577"/>
      <c r="V45" s="1000"/>
    </row>
    <row r="46" spans="1:22">
      <c r="A46" s="121">
        <v>10</v>
      </c>
      <c r="C46" s="584" t="s">
        <v>399</v>
      </c>
      <c r="F46" s="108"/>
      <c r="G46" s="108"/>
      <c r="H46" s="108">
        <f>H42+H44</f>
        <v>3349857.134169179</v>
      </c>
      <c r="I46" s="108"/>
      <c r="J46" s="577">
        <f>J42+J44</f>
        <v>0.41304000000000002</v>
      </c>
      <c r="K46" s="108"/>
      <c r="L46" s="1000"/>
      <c r="M46" s="108"/>
      <c r="N46" s="1000">
        <f>N42+N44</f>
        <v>2.0582475965960863E-2</v>
      </c>
      <c r="O46" s="108"/>
      <c r="P46" s="108">
        <f>P42+P44</f>
        <v>3412857.1341691799</v>
      </c>
      <c r="Q46" s="108"/>
      <c r="R46" s="577">
        <f>R42+R44</f>
        <v>0.41749999999999998</v>
      </c>
      <c r="S46" s="108"/>
      <c r="T46" s="1000"/>
      <c r="U46" s="577"/>
      <c r="V46" s="1000">
        <f>V42+V44</f>
        <v>1.89E-2</v>
      </c>
    </row>
    <row r="47" spans="1:22">
      <c r="F47" s="108"/>
      <c r="G47" s="108"/>
      <c r="H47" s="108"/>
      <c r="I47" s="108"/>
      <c r="J47" s="108"/>
      <c r="K47" s="108"/>
      <c r="L47" s="1000"/>
      <c r="M47" s="108"/>
      <c r="N47" s="1000"/>
      <c r="O47" s="108"/>
      <c r="P47" s="108"/>
      <c r="Q47" s="108"/>
      <c r="R47" s="108"/>
      <c r="S47" s="108"/>
      <c r="T47" s="1000"/>
      <c r="U47" s="577"/>
      <c r="V47" s="1000"/>
    </row>
    <row r="48" spans="1:22">
      <c r="A48" s="121">
        <v>11</v>
      </c>
      <c r="C48" s="584" t="s">
        <v>274</v>
      </c>
      <c r="F48" s="108"/>
      <c r="G48" s="108"/>
      <c r="H48" s="108">
        <v>0</v>
      </c>
      <c r="I48" s="108"/>
      <c r="J48" s="577">
        <f>ROUND(H48/$H$54,4)</f>
        <v>0</v>
      </c>
      <c r="K48" s="108"/>
      <c r="L48" s="1000">
        <v>0</v>
      </c>
      <c r="M48" s="108"/>
      <c r="N48" s="1000">
        <f>+J48*L48</f>
        <v>0</v>
      </c>
      <c r="O48" s="108"/>
      <c r="P48" s="108">
        <v>0</v>
      </c>
      <c r="Q48" s="108"/>
      <c r="R48" s="577">
        <f>ROUND(P48/$P$54,4)</f>
        <v>0</v>
      </c>
      <c r="S48" s="108"/>
      <c r="T48" s="1000">
        <v>0</v>
      </c>
      <c r="U48" s="577"/>
      <c r="V48" s="1000">
        <f>ROUND(R48*T48,4)</f>
        <v>0</v>
      </c>
    </row>
    <row r="49" spans="1:22">
      <c r="H49" s="108"/>
      <c r="L49" s="1000"/>
      <c r="N49" s="424"/>
      <c r="P49" s="108"/>
      <c r="T49" s="1000"/>
      <c r="U49" s="1003"/>
      <c r="V49" s="424"/>
    </row>
    <row r="50" spans="1:22">
      <c r="A50" s="121">
        <v>12</v>
      </c>
      <c r="C50" s="584" t="s">
        <v>275</v>
      </c>
      <c r="H50" s="108">
        <f>H25</f>
        <v>4760180.6776799997</v>
      </c>
      <c r="J50" s="577">
        <f>ROUND(H50/$H$54,5)</f>
        <v>0.58694999999999997</v>
      </c>
      <c r="L50" s="1000">
        <f>+N50/J50</f>
        <v>7.8093425014521309E-2</v>
      </c>
      <c r="N50" s="1000">
        <f>+N54-N46</f>
        <v>4.5836935812273279E-2</v>
      </c>
      <c r="P50" s="108">
        <f>P25</f>
        <v>4760180.6776799997</v>
      </c>
      <c r="R50" s="577">
        <f>+ROUND(P50/P54,5)</f>
        <v>0.58242000000000005</v>
      </c>
      <c r="T50" s="1000">
        <f>+V50/R50</f>
        <v>8.1212870437141566E-2</v>
      </c>
      <c r="U50" s="1003"/>
      <c r="V50" s="1000">
        <f>+V54-V46</f>
        <v>4.7299999999999995E-2</v>
      </c>
    </row>
    <row r="51" spans="1:22">
      <c r="H51" s="108"/>
      <c r="L51" s="1000"/>
      <c r="N51" s="424"/>
      <c r="P51" s="108"/>
      <c r="T51" s="1000"/>
      <c r="U51" s="1003"/>
      <c r="V51" s="424"/>
    </row>
    <row r="52" spans="1:22">
      <c r="A52" s="121">
        <v>13</v>
      </c>
      <c r="C52" s="584" t="s">
        <v>433</v>
      </c>
      <c r="H52" s="109">
        <v>0</v>
      </c>
      <c r="J52" s="1004">
        <f>ROUND(H52/$H$29,4)</f>
        <v>0</v>
      </c>
      <c r="L52" s="1000">
        <v>0</v>
      </c>
      <c r="N52" s="1002">
        <f>+J52*L52</f>
        <v>0</v>
      </c>
      <c r="P52" s="109">
        <v>0</v>
      </c>
      <c r="R52" s="1004">
        <f>ROUND(P52/$H$54,4)</f>
        <v>0</v>
      </c>
      <c r="T52" s="1000">
        <v>0</v>
      </c>
      <c r="U52" s="1003"/>
      <c r="V52" s="1005">
        <f>ROUND(R52*T52,4)</f>
        <v>0</v>
      </c>
    </row>
    <row r="53" spans="1:22">
      <c r="H53" s="108"/>
      <c r="L53" s="1000"/>
      <c r="P53" s="108"/>
      <c r="T53" s="577"/>
      <c r="U53" s="1003"/>
      <c r="V53" s="1003"/>
    </row>
    <row r="54" spans="1:22" ht="15.75" thickBot="1">
      <c r="A54" s="121">
        <v>14</v>
      </c>
      <c r="C54" s="584" t="s">
        <v>400</v>
      </c>
      <c r="H54" s="1006">
        <f>H46+H50+H52</f>
        <v>8110037.8118491787</v>
      </c>
      <c r="J54" s="1174">
        <f>SUM(J46:J52)</f>
        <v>0.99998999999999993</v>
      </c>
      <c r="L54" s="135"/>
      <c r="N54" s="114">
        <f>+'C.2'!D33/'B.1 B'!F27</f>
        <v>6.6419411778234141E-2</v>
      </c>
      <c r="P54" s="1006">
        <f>SUM(P46:P52)</f>
        <v>8173037.8118491797</v>
      </c>
      <c r="R54" s="1174">
        <f>SUM(R46:R52)</f>
        <v>0.99992000000000003</v>
      </c>
      <c r="T54" s="577"/>
      <c r="U54" s="1003"/>
      <c r="V54" s="114">
        <f>+A.1!G20</f>
        <v>6.6199999999999995E-2</v>
      </c>
    </row>
    <row r="55" spans="1:22" ht="15.75" thickTop="1">
      <c r="H55" s="108"/>
      <c r="P55" s="108"/>
      <c r="T55" s="1003"/>
      <c r="U55" s="1003"/>
      <c r="V55" s="1003"/>
    </row>
    <row r="56" spans="1:22"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22">
      <c r="F57" s="108"/>
      <c r="G57" s="108"/>
      <c r="H57" s="108"/>
      <c r="I57" s="108"/>
      <c r="J57" s="577"/>
      <c r="K57" s="108"/>
      <c r="L57" s="135"/>
      <c r="M57" s="108"/>
      <c r="N57" s="135"/>
      <c r="O57" s="108"/>
      <c r="P57" s="108"/>
    </row>
    <row r="58" spans="1:22">
      <c r="F58" s="108"/>
      <c r="G58" s="108"/>
      <c r="H58" s="108"/>
      <c r="I58" s="108"/>
      <c r="J58" s="108"/>
      <c r="K58" s="108"/>
      <c r="L58" s="135"/>
      <c r="M58" s="108"/>
      <c r="N58" s="108"/>
      <c r="O58" s="108"/>
      <c r="P58" s="108"/>
    </row>
    <row r="59" spans="1:22">
      <c r="F59" s="108"/>
      <c r="G59" s="108"/>
      <c r="H59" s="108"/>
      <c r="I59" s="108"/>
      <c r="J59" s="577"/>
      <c r="K59" s="108"/>
      <c r="L59" s="135"/>
      <c r="M59" s="108"/>
      <c r="N59" s="135"/>
      <c r="O59" s="108"/>
      <c r="P59" s="108"/>
    </row>
    <row r="60" spans="1:22">
      <c r="F60" s="108"/>
      <c r="G60" s="108"/>
      <c r="H60" s="108"/>
      <c r="I60" s="108"/>
      <c r="J60" s="108"/>
      <c r="K60" s="108"/>
      <c r="L60" s="135"/>
      <c r="M60" s="108"/>
      <c r="N60" s="108"/>
      <c r="O60" s="108"/>
      <c r="P60" s="108"/>
    </row>
    <row r="61" spans="1:22">
      <c r="F61" s="108"/>
      <c r="G61" s="108"/>
      <c r="H61" s="108"/>
      <c r="I61" s="108"/>
      <c r="J61" s="577"/>
      <c r="K61" s="108"/>
      <c r="L61" s="135"/>
      <c r="M61" s="108"/>
      <c r="N61" s="135"/>
      <c r="O61" s="108"/>
      <c r="P61" s="108"/>
    </row>
    <row r="62" spans="1:22"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</sheetData>
  <mergeCells count="5">
    <mergeCell ref="A5:V5"/>
    <mergeCell ref="A1:V1"/>
    <mergeCell ref="A2:V2"/>
    <mergeCell ref="A3:V3"/>
    <mergeCell ref="A4:V4"/>
  </mergeCells>
  <phoneticPr fontId="22" type="noConversion"/>
  <printOptions horizontalCentered="1"/>
  <pageMargins left="0.74" right="0.43" top="0.91" bottom="1" header="0.5" footer="0.5"/>
  <pageSetup scale="59" orientation="portrait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33"/>
  <sheetViews>
    <sheetView view="pageBreakPreview" zoomScale="60" zoomScaleNormal="90" workbookViewId="0">
      <selection activeCell="K39" sqref="K39"/>
    </sheetView>
  </sheetViews>
  <sheetFormatPr defaultColWidth="10.109375" defaultRowHeight="15"/>
  <cols>
    <col min="1" max="1" width="6.5546875" style="81" customWidth="1"/>
    <col min="2" max="2" width="3.33203125" style="81" customWidth="1"/>
    <col min="3" max="3" width="16.109375" style="81" customWidth="1"/>
    <col min="4" max="4" width="11" style="81" customWidth="1"/>
    <col min="5" max="5" width="5.88671875" style="81" customWidth="1"/>
    <col min="6" max="6" width="13.109375" style="81" bestFit="1" customWidth="1"/>
    <col min="7" max="7" width="5" style="81" customWidth="1"/>
    <col min="8" max="8" width="10.109375" style="81"/>
    <col min="9" max="9" width="5" style="81" customWidth="1"/>
    <col min="10" max="10" width="10.109375" style="81" customWidth="1"/>
    <col min="11" max="11" width="6.33203125" style="81" customWidth="1"/>
    <col min="12" max="12" width="11.88671875" style="81" customWidth="1"/>
    <col min="13" max="16384" width="10.109375" style="81"/>
  </cols>
  <sheetData>
    <row r="1" spans="1:17">
      <c r="A1" s="1226" t="str">
        <f>'Table of Contents'!A1:C1</f>
        <v>Atmos Energy Corporation, Kentucky/Mid-States Division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</row>
    <row r="2" spans="1:17">
      <c r="A2" s="1226" t="str">
        <f>'Table of Contents'!A2:C2</f>
        <v>Kentucky Jurisdiction Case No. 2018-00281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</row>
    <row r="3" spans="1:17">
      <c r="A3" s="1226" t="s">
        <v>526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</row>
    <row r="4" spans="1:17">
      <c r="A4" s="1226" t="s">
        <v>1498</v>
      </c>
      <c r="B4" s="1226"/>
      <c r="C4" s="1226"/>
      <c r="D4" s="1226"/>
      <c r="E4" s="1226"/>
      <c r="F4" s="1226"/>
      <c r="G4" s="1226"/>
      <c r="H4" s="1226"/>
      <c r="I4" s="1226"/>
      <c r="J4" s="1226"/>
      <c r="K4" s="1226"/>
      <c r="L4" s="1226"/>
    </row>
    <row r="5" spans="1:17">
      <c r="A5" s="853"/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</row>
    <row r="6" spans="1:17">
      <c r="L6" s="170" t="s">
        <v>1414</v>
      </c>
    </row>
    <row r="7" spans="1:17">
      <c r="A7" s="88" t="str">
        <f>'J-1 Base'!A7</f>
        <v>Data:__X___Base Period______Forecasted Period</v>
      </c>
      <c r="L7" s="979" t="s">
        <v>49</v>
      </c>
    </row>
    <row r="8" spans="1:17">
      <c r="A8" s="88" t="str">
        <f>'J-1 Base'!A8</f>
        <v>Type of Filing:___X____Original________Updated ________Revised</v>
      </c>
      <c r="L8" s="979" t="s">
        <v>853</v>
      </c>
    </row>
    <row r="9" spans="1:17">
      <c r="A9" s="391" t="str">
        <f>'J-1 Base'!A9</f>
        <v>Workpaper Reference No(s).____________________</v>
      </c>
      <c r="B9" s="151"/>
      <c r="C9" s="151"/>
      <c r="D9" s="151"/>
      <c r="E9" s="151"/>
      <c r="F9" s="151"/>
      <c r="G9" s="151"/>
      <c r="H9" s="151"/>
      <c r="I9" s="151"/>
      <c r="J9" s="151"/>
      <c r="K9" s="82"/>
      <c r="L9" s="550" t="str">
        <f>'J-1 Base'!M9</f>
        <v>Witness:  Christian</v>
      </c>
    </row>
    <row r="10" spans="1:17">
      <c r="H10" s="851">
        <v>-1</v>
      </c>
      <c r="J10" s="849" t="s">
        <v>350</v>
      </c>
      <c r="L10" s="849" t="s">
        <v>1144</v>
      </c>
    </row>
    <row r="11" spans="1:17">
      <c r="A11" s="849" t="s">
        <v>93</v>
      </c>
      <c r="F11" s="849" t="s">
        <v>104</v>
      </c>
      <c r="H11" s="849" t="s">
        <v>269</v>
      </c>
      <c r="J11" s="849" t="s">
        <v>351</v>
      </c>
      <c r="L11" s="849" t="s">
        <v>269</v>
      </c>
    </row>
    <row r="12" spans="1:17">
      <c r="A12" s="435" t="s">
        <v>99</v>
      </c>
      <c r="B12" s="151"/>
      <c r="C12" s="435" t="s">
        <v>352</v>
      </c>
      <c r="D12" s="151"/>
      <c r="E12" s="151"/>
      <c r="F12" s="435" t="s">
        <v>349</v>
      </c>
      <c r="G12" s="151"/>
      <c r="H12" s="435" t="s">
        <v>570</v>
      </c>
      <c r="I12" s="151"/>
      <c r="J12" s="435" t="s">
        <v>0</v>
      </c>
      <c r="K12" s="151"/>
      <c r="L12" s="435" t="s">
        <v>570</v>
      </c>
    </row>
    <row r="13" spans="1:17">
      <c r="C13" s="849" t="s">
        <v>1081</v>
      </c>
      <c r="F13" s="849" t="s">
        <v>1082</v>
      </c>
      <c r="H13" s="849" t="s">
        <v>1083</v>
      </c>
      <c r="J13" s="849" t="s">
        <v>15</v>
      </c>
      <c r="L13" s="849" t="s">
        <v>168</v>
      </c>
    </row>
    <row r="14" spans="1:17">
      <c r="F14" s="849" t="s">
        <v>623</v>
      </c>
      <c r="J14" s="849" t="s">
        <v>623</v>
      </c>
    </row>
    <row r="16" spans="1:17">
      <c r="A16" s="849" t="s">
        <v>366</v>
      </c>
      <c r="C16" s="88" t="s">
        <v>900</v>
      </c>
      <c r="F16" s="340">
        <f>'[34]Consolidated Balance Detail'!$I$26*0.001</f>
        <v>281542.43134917947</v>
      </c>
      <c r="G16" s="71"/>
      <c r="H16" s="1172">
        <f>'[34]Consolidated Balance Detail'!$K$28</f>
        <v>1.4143231126541896E-2</v>
      </c>
      <c r="I16" s="110"/>
      <c r="J16" s="340">
        <f>F16*H16</f>
        <v>3981.9196784999999</v>
      </c>
      <c r="K16" s="73"/>
      <c r="L16" s="73"/>
      <c r="M16" s="73"/>
      <c r="N16" s="980"/>
      <c r="O16" s="73"/>
      <c r="P16" s="73"/>
      <c r="Q16" s="73"/>
    </row>
    <row r="18" spans="1:17">
      <c r="A18" s="849">
        <v>2</v>
      </c>
      <c r="C18" s="88" t="s">
        <v>1577</v>
      </c>
      <c r="F18" s="85"/>
      <c r="G18" s="73"/>
      <c r="H18" s="73"/>
      <c r="I18" s="110"/>
      <c r="J18" s="340">
        <f>SUM('[34]Consolidated Balance Detail'!$N$24:$O$24)*0.001</f>
        <v>2777.7596633333342</v>
      </c>
      <c r="K18" s="73"/>
      <c r="L18" s="73"/>
      <c r="M18" s="73"/>
      <c r="N18" s="980"/>
      <c r="O18" s="73"/>
      <c r="P18" s="73"/>
      <c r="Q18" s="73"/>
    </row>
    <row r="19" spans="1:17">
      <c r="F19" s="73"/>
      <c r="G19" s="73"/>
      <c r="H19" s="112"/>
      <c r="I19" s="73"/>
      <c r="J19" s="73"/>
      <c r="K19" s="73"/>
      <c r="L19" s="73"/>
      <c r="M19" s="73"/>
      <c r="N19" s="73"/>
      <c r="O19" s="73"/>
      <c r="P19" s="73"/>
      <c r="Q19" s="73"/>
    </row>
    <row r="20" spans="1:17">
      <c r="A20" s="849">
        <v>3</v>
      </c>
      <c r="C20" s="88" t="s">
        <v>901</v>
      </c>
      <c r="F20" s="306">
        <f>SUM(F16:F18)</f>
        <v>281542.43134917947</v>
      </c>
      <c r="G20" s="73"/>
      <c r="H20" s="73"/>
      <c r="I20" s="110"/>
      <c r="J20" s="306">
        <f>SUM(J16:J18)</f>
        <v>6759.6793418333345</v>
      </c>
      <c r="K20" s="73"/>
      <c r="L20" s="112">
        <f>(J20/F20)</f>
        <v>2.4009451468612653E-2</v>
      </c>
      <c r="M20" s="73"/>
      <c r="N20" s="73"/>
      <c r="O20" s="73"/>
      <c r="P20" s="73"/>
      <c r="Q20" s="73"/>
    </row>
    <row r="21" spans="1:17">
      <c r="F21" s="73"/>
      <c r="G21" s="73"/>
      <c r="H21" s="112"/>
      <c r="I21" s="110"/>
      <c r="J21" s="110"/>
      <c r="K21" s="73"/>
      <c r="L21" s="73"/>
      <c r="M21" s="73"/>
      <c r="N21" s="73"/>
      <c r="O21" s="73"/>
      <c r="P21" s="73"/>
      <c r="Q21" s="73"/>
    </row>
    <row r="22" spans="1:17">
      <c r="F22" s="73"/>
      <c r="G22" s="73"/>
      <c r="H22" s="112"/>
      <c r="I22" s="110"/>
      <c r="J22" s="110"/>
      <c r="K22" s="73"/>
      <c r="L22" s="73"/>
      <c r="M22" s="73"/>
      <c r="N22" s="73"/>
      <c r="O22" s="73"/>
      <c r="P22" s="73"/>
      <c r="Q22" s="73"/>
    </row>
    <row r="23" spans="1:17">
      <c r="F23" s="73"/>
      <c r="G23" s="73"/>
      <c r="H23" s="112"/>
      <c r="I23" s="110"/>
      <c r="J23" s="110"/>
      <c r="K23" s="73"/>
      <c r="L23" s="73"/>
      <c r="M23" s="73"/>
      <c r="N23" s="73"/>
      <c r="O23" s="73"/>
      <c r="P23" s="73"/>
      <c r="Q23" s="73"/>
    </row>
    <row r="24" spans="1:17" ht="15.75">
      <c r="B24" s="127"/>
      <c r="G24" s="73"/>
      <c r="I24" s="110"/>
    </row>
    <row r="25" spans="1:17">
      <c r="C25" s="88" t="s">
        <v>525</v>
      </c>
      <c r="G25" s="73"/>
      <c r="H25" s="112"/>
      <c r="I25" s="110"/>
      <c r="J25" s="110"/>
    </row>
    <row r="26" spans="1:17">
      <c r="C26" s="88"/>
      <c r="G26" s="73"/>
      <c r="H26" s="112"/>
      <c r="I26" s="110"/>
      <c r="J26" s="110"/>
    </row>
    <row r="27" spans="1:17">
      <c r="C27" s="695" t="s">
        <v>1697</v>
      </c>
      <c r="D27" s="103"/>
      <c r="E27" s="103"/>
      <c r="F27" s="103"/>
      <c r="G27" s="103"/>
      <c r="H27" s="103"/>
      <c r="I27" s="103"/>
      <c r="J27" s="103"/>
      <c r="K27" s="103"/>
    </row>
    <row r="28" spans="1:17">
      <c r="C28" s="175"/>
      <c r="D28" s="103"/>
      <c r="E28" s="103"/>
      <c r="F28" s="103"/>
      <c r="G28" s="103"/>
      <c r="H28" s="103"/>
      <c r="I28" s="103"/>
      <c r="J28" s="103"/>
      <c r="K28" s="103"/>
    </row>
    <row r="29" spans="1:17">
      <c r="C29" s="116"/>
      <c r="D29" s="103"/>
      <c r="E29" s="103"/>
      <c r="F29" s="103"/>
      <c r="G29" s="103"/>
      <c r="H29" s="103"/>
      <c r="I29" s="103"/>
      <c r="J29" s="103"/>
      <c r="K29" s="103"/>
    </row>
    <row r="30" spans="1:17">
      <c r="C30" s="116"/>
      <c r="D30" s="103"/>
      <c r="E30" s="103"/>
      <c r="F30" s="103"/>
      <c r="G30" s="108"/>
      <c r="H30" s="103"/>
      <c r="I30" s="135"/>
      <c r="J30" s="103"/>
      <c r="K30" s="103"/>
    </row>
    <row r="31" spans="1:17">
      <c r="C31" s="103"/>
      <c r="D31" s="103"/>
      <c r="E31" s="103"/>
      <c r="F31" s="103"/>
      <c r="G31" s="108"/>
      <c r="H31" s="108"/>
      <c r="I31" s="135"/>
      <c r="J31" s="135"/>
      <c r="K31" s="103"/>
    </row>
    <row r="32" spans="1:17">
      <c r="C32" s="116"/>
      <c r="D32" s="103"/>
      <c r="E32" s="103"/>
      <c r="F32" s="103"/>
      <c r="G32" s="108"/>
      <c r="H32" s="103"/>
      <c r="I32" s="103"/>
      <c r="J32" s="103"/>
      <c r="K32" s="103"/>
    </row>
    <row r="33" spans="3:11">
      <c r="C33" s="116"/>
      <c r="D33" s="103"/>
      <c r="E33" s="103"/>
      <c r="F33" s="103"/>
      <c r="G33" s="103"/>
      <c r="H33" s="103"/>
      <c r="I33" s="103"/>
      <c r="J33" s="103"/>
      <c r="K33" s="103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1"/>
  <sheetViews>
    <sheetView view="pageBreakPreview" zoomScale="70" zoomScaleNormal="90" zoomScaleSheetLayoutView="70" workbookViewId="0">
      <selection activeCell="N28" sqref="N28"/>
    </sheetView>
  </sheetViews>
  <sheetFormatPr defaultColWidth="8.5546875" defaultRowHeight="15"/>
  <cols>
    <col min="1" max="1" width="4.21875" style="103" customWidth="1"/>
    <col min="2" max="2" width="1.88671875" style="103" customWidth="1"/>
    <col min="3" max="3" width="34" style="103" customWidth="1"/>
    <col min="4" max="4" width="3" style="103" customWidth="1"/>
    <col min="5" max="5" width="17.109375" style="103" customWidth="1"/>
    <col min="6" max="6" width="2.77734375" style="103" customWidth="1"/>
    <col min="7" max="7" width="7.5546875" style="103" customWidth="1"/>
    <col min="8" max="8" width="2.33203125" style="103" customWidth="1"/>
    <col min="9" max="9" width="14.77734375" style="103" customWidth="1"/>
    <col min="10" max="10" width="2" style="103" customWidth="1"/>
    <col min="11" max="11" width="9.21875" style="103" customWidth="1"/>
    <col min="12" max="12" width="8.5546875" style="103"/>
    <col min="13" max="13" width="9.44140625" style="103" customWidth="1"/>
    <col min="14" max="14" width="11.44140625" style="103" bestFit="1" customWidth="1"/>
    <col min="15" max="15" width="8.5546875" style="103"/>
    <col min="16" max="16" width="11.109375" style="103" customWidth="1"/>
    <col min="17" max="16384" width="8.5546875" style="103"/>
  </cols>
  <sheetData>
    <row r="1" spans="1:12">
      <c r="A1" s="1223" t="str">
        <f>'Table of Contents'!A1:C1</f>
        <v>Atmos Energy Corporation, Kentucky/Mid-States Division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</row>
    <row r="2" spans="1:12">
      <c r="A2" s="1223" t="str">
        <f>'Table of Contents'!A2:C2</f>
        <v>Kentucky Jurisdiction Case No. 2018-00281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</row>
    <row r="3" spans="1:12">
      <c r="A3" s="1223" t="s">
        <v>1084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</row>
    <row r="4" spans="1:12">
      <c r="A4" s="1223" t="str">
        <f>'Table of Contents'!A3:C3</f>
        <v>Base Period: Twelve Months Ended December 31, 2018</v>
      </c>
      <c r="B4" s="1223"/>
      <c r="C4" s="1223"/>
      <c r="D4" s="1223"/>
      <c r="E4" s="1223"/>
      <c r="F4" s="1223"/>
      <c r="G4" s="1223"/>
      <c r="H4" s="1223"/>
      <c r="I4" s="1223"/>
      <c r="J4" s="1223"/>
      <c r="K4" s="1223"/>
    </row>
    <row r="6" spans="1:12">
      <c r="A6" s="584" t="s">
        <v>379</v>
      </c>
      <c r="K6" s="950" t="s">
        <v>1414</v>
      </c>
    </row>
    <row r="7" spans="1:12">
      <c r="A7" s="695" t="s">
        <v>615</v>
      </c>
      <c r="K7" s="922" t="s">
        <v>48</v>
      </c>
    </row>
    <row r="8" spans="1:12">
      <c r="A8" s="951" t="s">
        <v>365</v>
      </c>
      <c r="B8" s="930"/>
      <c r="C8" s="930"/>
      <c r="D8" s="930"/>
      <c r="E8" s="930"/>
      <c r="F8" s="930"/>
      <c r="G8" s="930"/>
      <c r="H8" s="930"/>
      <c r="I8" s="930"/>
      <c r="J8" s="958"/>
      <c r="K8" s="982" t="str">
        <f>'J-1 Base'!$M$9</f>
        <v>Witness:  Christian</v>
      </c>
    </row>
    <row r="9" spans="1:12">
      <c r="A9" s="836"/>
      <c r="B9" s="802"/>
      <c r="C9" s="802"/>
      <c r="D9" s="802"/>
      <c r="E9" s="802"/>
      <c r="F9" s="802"/>
      <c r="G9" s="802"/>
      <c r="H9" s="802"/>
      <c r="I9" s="802"/>
      <c r="K9" s="983"/>
    </row>
    <row r="10" spans="1:12">
      <c r="E10" s="765" t="s">
        <v>854</v>
      </c>
      <c r="I10" s="121" t="s">
        <v>350</v>
      </c>
      <c r="K10" s="121" t="s">
        <v>1144</v>
      </c>
    </row>
    <row r="11" spans="1:12">
      <c r="A11" s="121" t="s">
        <v>93</v>
      </c>
      <c r="E11" s="121" t="s">
        <v>104</v>
      </c>
      <c r="G11" s="121" t="s">
        <v>269</v>
      </c>
      <c r="I11" s="121" t="s">
        <v>351</v>
      </c>
      <c r="K11" s="121" t="s">
        <v>269</v>
      </c>
    </row>
    <row r="12" spans="1:12">
      <c r="A12" s="649" t="s">
        <v>99</v>
      </c>
      <c r="B12" s="930"/>
      <c r="C12" s="649" t="s">
        <v>352</v>
      </c>
      <c r="D12" s="930"/>
      <c r="E12" s="649" t="s">
        <v>349</v>
      </c>
      <c r="F12" s="930"/>
      <c r="G12" s="649" t="s">
        <v>570</v>
      </c>
      <c r="H12" s="930"/>
      <c r="I12" s="649" t="s">
        <v>0</v>
      </c>
      <c r="J12" s="930"/>
      <c r="K12" s="649" t="s">
        <v>570</v>
      </c>
    </row>
    <row r="13" spans="1:12">
      <c r="C13" s="121" t="s">
        <v>1081</v>
      </c>
      <c r="E13" s="121" t="s">
        <v>1082</v>
      </c>
      <c r="G13" s="121" t="s">
        <v>1083</v>
      </c>
      <c r="I13" s="121" t="s">
        <v>15</v>
      </c>
      <c r="K13" s="121" t="s">
        <v>168</v>
      </c>
    </row>
    <row r="14" spans="1:12">
      <c r="E14" s="121"/>
      <c r="I14" s="121"/>
    </row>
    <row r="16" spans="1:12">
      <c r="A16" s="121">
        <v>1</v>
      </c>
      <c r="C16" s="584" t="s">
        <v>1481</v>
      </c>
      <c r="E16" s="340">
        <f>'[34]LTD rate'!$P$11</f>
        <v>150000000</v>
      </c>
      <c r="F16" s="108"/>
      <c r="G16" s="984">
        <f>'[34]LTD rate'!$Q$11</f>
        <v>6.7500000000000004E-2</v>
      </c>
      <c r="H16" s="135"/>
      <c r="I16" s="985">
        <f t="shared" ref="I16:I24" si="0">(E16*G16)</f>
        <v>10125000</v>
      </c>
      <c r="J16" s="108"/>
      <c r="K16" s="108"/>
      <c r="L16" s="108"/>
    </row>
    <row r="17" spans="1:16">
      <c r="A17" s="121">
        <f t="shared" ref="A17:A33" si="1">A16+1</f>
        <v>2</v>
      </c>
      <c r="C17" s="584" t="s">
        <v>1482</v>
      </c>
      <c r="E17" s="86">
        <f>'[34]LTD rate'!$P$17</f>
        <v>10000000</v>
      </c>
      <c r="F17" s="108"/>
      <c r="G17" s="984">
        <f>'[34]LTD rate'!$Q$17</f>
        <v>6.6699999999999995E-2</v>
      </c>
      <c r="H17" s="135"/>
      <c r="I17" s="108">
        <f>(E17*G17)</f>
        <v>667000</v>
      </c>
    </row>
    <row r="18" spans="1:16">
      <c r="A18" s="121">
        <f t="shared" si="1"/>
        <v>3</v>
      </c>
      <c r="C18" s="584" t="s">
        <v>1483</v>
      </c>
      <c r="E18" s="86">
        <f>'[34]LTD rate'!$P$19</f>
        <v>200000000</v>
      </c>
      <c r="F18" s="108"/>
      <c r="G18" s="984">
        <f>'[34]LTD rate'!$Q$19</f>
        <v>5.9499999999999997E-2</v>
      </c>
      <c r="H18" s="108"/>
      <c r="I18" s="108">
        <f>(E18*G18)</f>
        <v>11900000</v>
      </c>
      <c r="J18" s="108"/>
      <c r="K18" s="108"/>
      <c r="L18" s="108"/>
    </row>
    <row r="19" spans="1:16">
      <c r="A19" s="121">
        <f t="shared" si="1"/>
        <v>4</v>
      </c>
      <c r="C19" s="584" t="s">
        <v>1484</v>
      </c>
      <c r="E19" s="86">
        <f>'[34]LTD rate'!$P$21</f>
        <v>400000000</v>
      </c>
      <c r="F19" s="108"/>
      <c r="G19" s="984">
        <f>'[34]LTD rate'!$Q$21</f>
        <v>5.5E-2</v>
      </c>
      <c r="H19" s="135"/>
      <c r="I19" s="108">
        <f>(E19*G19)</f>
        <v>22000000</v>
      </c>
      <c r="J19" s="108"/>
      <c r="K19" s="577"/>
      <c r="L19" s="108"/>
    </row>
    <row r="20" spans="1:16">
      <c r="A20" s="121">
        <f t="shared" si="1"/>
        <v>5</v>
      </c>
      <c r="C20" s="584" t="s">
        <v>1729</v>
      </c>
      <c r="E20" s="1189">
        <v>450000000</v>
      </c>
      <c r="F20" s="1190"/>
      <c r="G20" s="1191">
        <v>8.5000000000000006E-2</v>
      </c>
      <c r="H20" s="135"/>
      <c r="I20" s="108">
        <f t="shared" si="0"/>
        <v>38250000</v>
      </c>
      <c r="J20" s="108"/>
      <c r="K20" s="108"/>
      <c r="L20" s="108"/>
    </row>
    <row r="21" spans="1:16">
      <c r="A21" s="121">
        <f t="shared" si="1"/>
        <v>6</v>
      </c>
      <c r="C21" s="584" t="s">
        <v>1485</v>
      </c>
      <c r="E21" s="86">
        <f>'[34]LTD rate'!$P$23</f>
        <v>500000000</v>
      </c>
      <c r="F21" s="108"/>
      <c r="G21" s="984">
        <f>'[34]LTD rate'!$Q$23</f>
        <v>4.1500000000000002E-2</v>
      </c>
      <c r="H21" s="135"/>
      <c r="I21" s="108">
        <f t="shared" si="0"/>
        <v>20750000</v>
      </c>
    </row>
    <row r="22" spans="1:16">
      <c r="A22" s="121">
        <f t="shared" si="1"/>
        <v>7</v>
      </c>
      <c r="C22" s="584" t="s">
        <v>1486</v>
      </c>
      <c r="E22" s="86">
        <f>'[34]LTD rate'!$P$24</f>
        <v>750000000</v>
      </c>
      <c r="F22" s="108"/>
      <c r="G22" s="984">
        <f>'[34]LTD rate'!$Q$24</f>
        <v>4.1250000000000002E-2</v>
      </c>
      <c r="H22" s="135"/>
      <c r="I22" s="108">
        <f t="shared" si="0"/>
        <v>30937500</v>
      </c>
    </row>
    <row r="23" spans="1:16">
      <c r="A23" s="121">
        <f t="shared" si="1"/>
        <v>8</v>
      </c>
      <c r="C23" s="584" t="s">
        <v>1571</v>
      </c>
      <c r="E23" s="86">
        <f>'[34]LTD rate'!$P$25</f>
        <v>500000000</v>
      </c>
      <c r="F23" s="108"/>
      <c r="G23" s="984">
        <f>'[34]LTD rate'!$Q$25</f>
        <v>0.03</v>
      </c>
      <c r="H23" s="135"/>
      <c r="I23" s="108">
        <f t="shared" si="0"/>
        <v>15000000</v>
      </c>
    </row>
    <row r="24" spans="1:16">
      <c r="A24" s="121">
        <f t="shared" si="1"/>
        <v>9</v>
      </c>
      <c r="C24" s="584" t="s">
        <v>1573</v>
      </c>
      <c r="E24" s="86">
        <f>'[34]LTD rate'!$P$27</f>
        <v>125000000</v>
      </c>
      <c r="F24" s="108"/>
      <c r="G24" s="984">
        <f>'[34]LTD rate'!$Q$27</f>
        <v>3.0599999999999999E-2</v>
      </c>
      <c r="H24" s="135"/>
      <c r="I24" s="427">
        <f t="shared" si="0"/>
        <v>3825000</v>
      </c>
    </row>
    <row r="25" spans="1:16">
      <c r="A25" s="121">
        <f t="shared" si="1"/>
        <v>10</v>
      </c>
      <c r="C25" s="584" t="s">
        <v>96</v>
      </c>
      <c r="E25" s="846">
        <f>SUM(E16:E24)</f>
        <v>3085000000</v>
      </c>
      <c r="F25" s="108"/>
      <c r="G25" s="984"/>
      <c r="I25" s="408">
        <f>SUM(I16:I24)</f>
        <v>153454500</v>
      </c>
    </row>
    <row r="26" spans="1:16">
      <c r="A26" s="121">
        <f t="shared" si="1"/>
        <v>11</v>
      </c>
      <c r="C26" s="584"/>
      <c r="E26" s="408"/>
      <c r="F26" s="108"/>
      <c r="G26" s="984"/>
      <c r="I26" s="108"/>
      <c r="M26" s="108"/>
      <c r="N26" s="108"/>
      <c r="O26" s="984"/>
      <c r="P26" s="108"/>
    </row>
    <row r="27" spans="1:16">
      <c r="A27" s="121">
        <f t="shared" si="1"/>
        <v>12</v>
      </c>
      <c r="C27" s="584" t="s">
        <v>1317</v>
      </c>
      <c r="E27" s="408"/>
      <c r="F27" s="108"/>
      <c r="G27" s="984"/>
      <c r="I27" s="408">
        <f>'[34]LTD rate'!$R$35</f>
        <v>6580965.7455365621</v>
      </c>
      <c r="O27" s="984"/>
    </row>
    <row r="28" spans="1:16">
      <c r="A28" s="121">
        <f t="shared" si="1"/>
        <v>13</v>
      </c>
      <c r="C28" s="584" t="s">
        <v>1318</v>
      </c>
      <c r="E28" s="408">
        <f>-'[34]LTD rate'!$P$33</f>
        <v>4425157.5699999994</v>
      </c>
      <c r="G28" s="577"/>
      <c r="I28" s="87"/>
      <c r="M28" s="108"/>
      <c r="N28" s="108"/>
      <c r="O28" s="984"/>
      <c r="P28" s="108"/>
    </row>
    <row r="29" spans="1:16">
      <c r="A29" s="121">
        <f t="shared" si="1"/>
        <v>14</v>
      </c>
      <c r="C29" s="584" t="s">
        <v>1574</v>
      </c>
      <c r="E29" s="408">
        <f>-'[34]LTD rate'!$P$34</f>
        <v>-21110454.75</v>
      </c>
      <c r="G29" s="949"/>
      <c r="I29" s="108"/>
      <c r="M29" s="108"/>
      <c r="N29" s="108"/>
      <c r="O29" s="984"/>
      <c r="P29" s="108"/>
    </row>
    <row r="30" spans="1:16">
      <c r="A30" s="121">
        <f t="shared" si="1"/>
        <v>15</v>
      </c>
      <c r="C30" s="584"/>
      <c r="E30" s="86"/>
      <c r="G30" s="949"/>
      <c r="I30" s="108"/>
      <c r="M30" s="108"/>
      <c r="N30" s="108"/>
      <c r="O30" s="984"/>
      <c r="P30" s="108"/>
    </row>
    <row r="31" spans="1:16">
      <c r="A31" s="121">
        <f t="shared" si="1"/>
        <v>16</v>
      </c>
      <c r="C31" s="584"/>
      <c r="E31" s="86"/>
      <c r="G31" s="577"/>
      <c r="I31" s="108"/>
      <c r="M31" s="108"/>
      <c r="N31" s="108"/>
      <c r="O31" s="984"/>
      <c r="P31" s="108"/>
    </row>
    <row r="32" spans="1:16">
      <c r="A32" s="121">
        <f t="shared" si="1"/>
        <v>17</v>
      </c>
      <c r="E32" s="427"/>
      <c r="M32" s="108"/>
      <c r="N32" s="108"/>
      <c r="O32" s="984"/>
      <c r="P32" s="108"/>
    </row>
    <row r="33" spans="1:15" ht="16.5" thickBot="1">
      <c r="A33" s="121">
        <f t="shared" si="1"/>
        <v>18</v>
      </c>
      <c r="C33" s="584" t="s">
        <v>1179</v>
      </c>
      <c r="E33" s="986">
        <f>+E25+E28+E29</f>
        <v>3068314702.8200002</v>
      </c>
      <c r="I33" s="987">
        <f>+I25+I27</f>
        <v>160035465.74553657</v>
      </c>
      <c r="K33" s="981">
        <f>+I33/E33</f>
        <v>5.2157448386390269E-2</v>
      </c>
      <c r="O33" s="984"/>
    </row>
    <row r="34" spans="1:15" ht="15.75" thickTop="1">
      <c r="E34" s="108"/>
      <c r="O34" s="984"/>
    </row>
    <row r="36" spans="1:15">
      <c r="A36" s="121"/>
      <c r="C36" s="584"/>
    </row>
    <row r="37" spans="1:15">
      <c r="C37" s="584" t="s">
        <v>323</v>
      </c>
      <c r="E37" s="108"/>
    </row>
    <row r="38" spans="1:15">
      <c r="E38" s="108"/>
    </row>
    <row r="39" spans="1:15">
      <c r="E39" s="108"/>
      <c r="F39" s="108"/>
      <c r="G39" s="949"/>
      <c r="H39" s="135"/>
      <c r="I39" s="108"/>
      <c r="J39" s="108"/>
      <c r="K39" s="108"/>
      <c r="L39" s="108"/>
    </row>
    <row r="40" spans="1:15">
      <c r="E40" s="108"/>
    </row>
    <row r="41" spans="1:15">
      <c r="E41" s="108"/>
      <c r="F41" s="108"/>
      <c r="G41" s="108"/>
      <c r="H41" s="135"/>
      <c r="I41" s="108"/>
      <c r="J41" s="108"/>
      <c r="K41" s="108"/>
      <c r="L41" s="108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75" right="0.42" top="1.24" bottom="1" header="0.5" footer="0.5"/>
  <pageSetup scale="79" orientation="portrait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/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81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2018-00281</v>
      </c>
    </row>
    <row r="3" spans="1:19">
      <c r="A3" s="14"/>
      <c r="J3" s="2" t="s">
        <v>1</v>
      </c>
    </row>
    <row r="4" spans="1:19">
      <c r="A4" s="14"/>
      <c r="J4" s="705"/>
    </row>
    <row r="5" spans="1:19">
      <c r="Q5" s="376"/>
      <c r="S5" s="376" t="s">
        <v>1414</v>
      </c>
    </row>
    <row r="6" spans="1:19">
      <c r="A6" s="4" t="s">
        <v>565</v>
      </c>
      <c r="Q6" s="4"/>
      <c r="S6" s="489" t="s">
        <v>47</v>
      </c>
    </row>
    <row r="7" spans="1:19">
      <c r="A7" s="4" t="s">
        <v>1121</v>
      </c>
      <c r="Q7" s="4"/>
      <c r="S7" s="489" t="s">
        <v>853</v>
      </c>
    </row>
    <row r="8" spans="1:19">
      <c r="A8" s="5" t="s">
        <v>365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490" t="str">
        <f>'J-1 Base'!$M$9</f>
        <v>Witness:  Christian</v>
      </c>
    </row>
    <row r="10" spans="1:19">
      <c r="I10" s="2" t="s">
        <v>354</v>
      </c>
      <c r="M10" s="2" t="s">
        <v>357</v>
      </c>
    </row>
    <row r="11" spans="1:19">
      <c r="A11" s="2" t="s">
        <v>93</v>
      </c>
      <c r="C11" s="2" t="s">
        <v>395</v>
      </c>
      <c r="E11" s="2" t="s">
        <v>34</v>
      </c>
      <c r="G11" s="2" t="s">
        <v>104</v>
      </c>
      <c r="I11" s="2" t="s">
        <v>355</v>
      </c>
      <c r="K11" s="2" t="s">
        <v>352</v>
      </c>
      <c r="M11" s="2" t="s">
        <v>358</v>
      </c>
      <c r="O11" s="2" t="s">
        <v>360</v>
      </c>
      <c r="Q11" s="2" t="s">
        <v>1157</v>
      </c>
      <c r="S11" s="2" t="s">
        <v>363</v>
      </c>
    </row>
    <row r="12" spans="1:19">
      <c r="A12" s="2" t="s">
        <v>99</v>
      </c>
      <c r="C12" s="2" t="s">
        <v>498</v>
      </c>
      <c r="E12" s="2" t="s">
        <v>353</v>
      </c>
      <c r="G12" s="2" t="s">
        <v>349</v>
      </c>
      <c r="I12" s="2" t="s">
        <v>356</v>
      </c>
      <c r="K12" s="2" t="s">
        <v>270</v>
      </c>
      <c r="L12" s="15"/>
      <c r="M12" s="2" t="s">
        <v>359</v>
      </c>
      <c r="O12" s="2" t="s">
        <v>361</v>
      </c>
      <c r="Q12" s="2" t="s">
        <v>362</v>
      </c>
      <c r="S12" s="2" t="s">
        <v>364</v>
      </c>
    </row>
    <row r="13" spans="1:19">
      <c r="A13" s="6"/>
      <c r="B13" s="6"/>
      <c r="C13" s="6"/>
      <c r="D13" s="6"/>
      <c r="E13" s="9" t="s">
        <v>1081</v>
      </c>
      <c r="F13" s="6"/>
      <c r="G13" s="9" t="s">
        <v>1082</v>
      </c>
      <c r="H13" s="6"/>
      <c r="I13" s="9" t="s">
        <v>1083</v>
      </c>
      <c r="J13" s="6"/>
      <c r="K13" s="9" t="s">
        <v>15</v>
      </c>
      <c r="L13" s="6"/>
      <c r="M13" s="9" t="s">
        <v>38</v>
      </c>
      <c r="N13" s="6"/>
      <c r="O13" s="9" t="s">
        <v>524</v>
      </c>
      <c r="P13" s="6"/>
      <c r="Q13" s="9" t="s">
        <v>39</v>
      </c>
      <c r="R13" s="6"/>
      <c r="S13" s="9" t="s">
        <v>613</v>
      </c>
    </row>
    <row r="15" spans="1:19">
      <c r="F15" s="10"/>
      <c r="G15" s="10"/>
      <c r="H15" s="11"/>
      <c r="I15" s="3"/>
      <c r="J15" s="3"/>
      <c r="K15" s="21" t="s">
        <v>391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2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70" zoomScaleNormal="90" zoomScaleSheetLayoutView="70" workbookViewId="0">
      <selection activeCell="M28" sqref="M28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O1" s="10"/>
    </row>
    <row r="2" spans="1:23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</row>
    <row r="3" spans="1:23">
      <c r="A3" s="1210" t="s">
        <v>2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</row>
    <row r="4" spans="1:23">
      <c r="A4" s="1210" t="s">
        <v>1597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</row>
    <row r="7" spans="1:23">
      <c r="A7" s="4" t="s">
        <v>1146</v>
      </c>
      <c r="M7" s="376" t="s">
        <v>1414</v>
      </c>
    </row>
    <row r="8" spans="1:23">
      <c r="A8" s="66" t="s">
        <v>615</v>
      </c>
      <c r="K8" s="4"/>
      <c r="M8" s="489" t="s">
        <v>776</v>
      </c>
    </row>
    <row r="9" spans="1:23">
      <c r="A9" s="5" t="s">
        <v>365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490" t="str">
        <f>'J-1 Base'!$M$9</f>
        <v>Witness:  Christian</v>
      </c>
    </row>
    <row r="10" spans="1:23">
      <c r="L10" s="15"/>
      <c r="M10" s="15"/>
      <c r="N10" s="15"/>
    </row>
    <row r="11" spans="1:23">
      <c r="A11" s="2" t="s">
        <v>93</v>
      </c>
      <c r="E11" s="2" t="s">
        <v>95</v>
      </c>
      <c r="I11" s="2" t="s">
        <v>103</v>
      </c>
      <c r="M11" s="2" t="s">
        <v>348</v>
      </c>
    </row>
    <row r="12" spans="1:23">
      <c r="A12" s="9" t="s">
        <v>99</v>
      </c>
      <c r="B12" s="6"/>
      <c r="C12" s="5" t="s">
        <v>347</v>
      </c>
      <c r="D12" s="6"/>
      <c r="E12" s="9" t="s">
        <v>101</v>
      </c>
      <c r="F12" s="6"/>
      <c r="G12" s="9" t="s">
        <v>104</v>
      </c>
      <c r="H12" s="6"/>
      <c r="I12" s="9" t="s">
        <v>41</v>
      </c>
      <c r="J12" s="6"/>
      <c r="K12" s="9" t="s">
        <v>1157</v>
      </c>
      <c r="L12" s="6"/>
      <c r="M12" s="9" t="s">
        <v>0</v>
      </c>
      <c r="O12" s="800"/>
      <c r="P12" s="10"/>
      <c r="Q12" s="10"/>
      <c r="R12" s="10"/>
      <c r="S12" s="10"/>
      <c r="T12" s="10"/>
    </row>
    <row r="13" spans="1:23">
      <c r="E13" s="2" t="s">
        <v>1081</v>
      </c>
      <c r="G13" s="2" t="s">
        <v>1082</v>
      </c>
      <c r="I13" s="2" t="s">
        <v>1083</v>
      </c>
      <c r="K13" s="2" t="s">
        <v>15</v>
      </c>
      <c r="M13" s="2" t="s">
        <v>38</v>
      </c>
      <c r="O13" s="660"/>
      <c r="P13" s="10"/>
      <c r="Q13" s="10"/>
      <c r="R13" s="10"/>
      <c r="S13" s="10"/>
      <c r="T13" s="10"/>
    </row>
    <row r="14" spans="1:23">
      <c r="G14" s="2" t="s">
        <v>623</v>
      </c>
      <c r="K14" s="2" t="s">
        <v>149</v>
      </c>
      <c r="M14" s="2" t="s">
        <v>149</v>
      </c>
      <c r="O14" s="73"/>
      <c r="P14" s="73"/>
      <c r="Q14" s="81"/>
      <c r="R14" s="73"/>
      <c r="S14" s="73"/>
      <c r="T14" s="73"/>
      <c r="U14" s="81"/>
      <c r="V14" s="81"/>
      <c r="W14" s="81"/>
    </row>
    <row r="15" spans="1:23">
      <c r="O15" s="73"/>
      <c r="P15" s="73"/>
      <c r="Q15" s="81"/>
      <c r="R15" s="73"/>
      <c r="S15" s="73"/>
      <c r="T15" s="73"/>
      <c r="U15" s="81"/>
      <c r="V15" s="81"/>
      <c r="W15" s="81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43"/>
      <c r="J17" s="10"/>
      <c r="K17" s="10"/>
      <c r="L17" s="10"/>
      <c r="M17" s="10"/>
      <c r="N17" s="10"/>
      <c r="O17"/>
    </row>
    <row r="18" spans="1:20" ht="15.75">
      <c r="C18" s="196" t="s">
        <v>1477</v>
      </c>
      <c r="E18" s="10"/>
      <c r="F18" s="10"/>
      <c r="G18" s="184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785">
        <v>6</v>
      </c>
      <c r="C20" s="4" t="s">
        <v>272</v>
      </c>
      <c r="E20" s="21"/>
      <c r="F20" s="10"/>
      <c r="G20" s="351">
        <f>J.1!P17</f>
        <v>281542.43134917947</v>
      </c>
      <c r="H20" s="10"/>
      <c r="I20" s="166">
        <f>G20/$G$28</f>
        <v>3.4447709386710823E-2</v>
      </c>
      <c r="J20" s="10"/>
      <c r="K20" s="111">
        <f>ROUND(+'J-2 F'!L20,4)</f>
        <v>2.4E-2</v>
      </c>
      <c r="L20" s="10"/>
      <c r="M20" s="44">
        <f>ROUND(I20*K20,4)</f>
        <v>8.0000000000000004E-4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61"/>
      <c r="H21" s="10"/>
      <c r="I21" s="166"/>
      <c r="J21" s="10"/>
      <c r="K21" s="111"/>
      <c r="L21" s="10"/>
      <c r="M21" s="44"/>
      <c r="N21" s="10"/>
      <c r="O21"/>
      <c r="P21" s="10"/>
      <c r="Q21" s="10"/>
      <c r="R21" s="10"/>
      <c r="S21" s="10"/>
      <c r="T21" s="10"/>
    </row>
    <row r="22" spans="1:20">
      <c r="A22" s="785">
        <v>7</v>
      </c>
      <c r="C22" s="4" t="s">
        <v>273</v>
      </c>
      <c r="E22" s="21" t="s">
        <v>276</v>
      </c>
      <c r="F22" s="10"/>
      <c r="G22" s="63">
        <f>+J.1!P19</f>
        <v>3131314.7028200002</v>
      </c>
      <c r="H22" s="10"/>
      <c r="I22" s="166">
        <f>G22/$G$28</f>
        <v>0.38312739704694071</v>
      </c>
      <c r="J22" s="10"/>
      <c r="K22" s="111">
        <f>ROUND('J-3 F'!K33,4)</f>
        <v>4.7199999999999999E-2</v>
      </c>
      <c r="L22" s="10"/>
      <c r="M22" s="44">
        <f>ROUND(I22*K22,4)</f>
        <v>1.8100000000000002E-2</v>
      </c>
      <c r="N22" s="10"/>
      <c r="O22"/>
    </row>
    <row r="23" spans="1:20">
      <c r="E23" s="10"/>
      <c r="F23" s="10"/>
      <c r="G23" s="63"/>
      <c r="H23" s="10"/>
      <c r="I23" s="166"/>
      <c r="J23" s="10"/>
      <c r="K23" s="44"/>
      <c r="L23" s="10"/>
      <c r="M23" s="44"/>
      <c r="N23" s="10"/>
      <c r="O23"/>
    </row>
    <row r="24" spans="1:20">
      <c r="A24" s="785">
        <v>8</v>
      </c>
      <c r="C24" s="4" t="s">
        <v>274</v>
      </c>
      <c r="E24" s="21" t="s">
        <v>277</v>
      </c>
      <c r="F24" s="10"/>
      <c r="G24" s="63">
        <f>+J.1!P23</f>
        <v>0</v>
      </c>
      <c r="H24" s="10"/>
      <c r="I24" s="166">
        <f>G24/$G$28</f>
        <v>0</v>
      </c>
      <c r="J24" s="10"/>
      <c r="K24" s="44">
        <v>0</v>
      </c>
      <c r="L24" s="10"/>
      <c r="M24" s="44">
        <f>ROUND(I24*K24,4)</f>
        <v>0</v>
      </c>
      <c r="N24" s="10"/>
      <c r="O24"/>
    </row>
    <row r="25" spans="1:20">
      <c r="E25" s="10"/>
      <c r="F25" s="10"/>
      <c r="G25" s="63"/>
      <c r="H25" s="10"/>
      <c r="I25" s="166"/>
      <c r="J25" s="10"/>
      <c r="K25" s="44"/>
      <c r="L25" s="10"/>
      <c r="M25" s="44"/>
      <c r="N25" s="10"/>
      <c r="O25"/>
    </row>
    <row r="26" spans="1:20">
      <c r="A26" s="785">
        <v>9</v>
      </c>
      <c r="C26" s="4" t="s">
        <v>275</v>
      </c>
      <c r="E26" s="10"/>
      <c r="F26" s="10"/>
      <c r="G26" s="574">
        <f>+J.1!P25</f>
        <v>4760180.6776799997</v>
      </c>
      <c r="H26" s="10"/>
      <c r="I26" s="197">
        <f>G26/$G$28</f>
        <v>0.58242489356634841</v>
      </c>
      <c r="J26" s="10"/>
      <c r="K26" s="44">
        <f>Allocation!E27</f>
        <v>0.104</v>
      </c>
      <c r="L26" s="10"/>
      <c r="M26" s="45">
        <f>ROUND(I26*K26,4)</f>
        <v>6.0600000000000001E-2</v>
      </c>
      <c r="N26" s="10"/>
      <c r="O26"/>
    </row>
    <row r="27" spans="1:20">
      <c r="G27" s="10"/>
      <c r="I27" s="198"/>
      <c r="K27" s="3"/>
      <c r="M27" s="46"/>
      <c r="O27"/>
    </row>
    <row r="28" spans="1:20" ht="15.75" thickBot="1">
      <c r="A28" s="2">
        <v>10</v>
      </c>
      <c r="C28" s="4" t="s">
        <v>400</v>
      </c>
      <c r="G28" s="323">
        <f>SUM(G20:G26)</f>
        <v>8173037.8118491797</v>
      </c>
      <c r="I28" s="199">
        <f>SUM(I20:I26)</f>
        <v>1</v>
      </c>
      <c r="K28" s="11"/>
      <c r="M28" s="47">
        <f>(+M20+M22+M24+M26)</f>
        <v>7.9500000000000001E-2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75" right="0.75" top="0.75" bottom="1.28" header="0.5" footer="0.43"/>
  <pageSetup scale="93" orientation="landscape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80" zoomScaleNormal="90" zoomScaleSheetLayoutView="80" workbookViewId="0">
      <selection sqref="A1:L1"/>
    </sheetView>
  </sheetViews>
  <sheetFormatPr defaultColWidth="10.109375" defaultRowHeight="15"/>
  <cols>
    <col min="1" max="1" width="5.88671875" style="103" customWidth="1"/>
    <col min="2" max="2" width="2.109375" style="103" customWidth="1"/>
    <col min="3" max="3" width="16.109375" style="103" customWidth="1"/>
    <col min="4" max="4" width="11" style="103" customWidth="1"/>
    <col min="5" max="5" width="5.109375" style="103" customWidth="1"/>
    <col min="6" max="6" width="11.6640625" style="103" customWidth="1"/>
    <col min="7" max="7" width="4.21875" style="103" customWidth="1"/>
    <col min="8" max="8" width="10.109375" style="103"/>
    <col min="9" max="9" width="4.21875" style="103" customWidth="1"/>
    <col min="10" max="10" width="10.109375" style="103"/>
    <col min="11" max="11" width="5.77734375" style="103" customWidth="1"/>
    <col min="12" max="12" width="12.6640625" style="103" customWidth="1"/>
    <col min="13" max="16384" width="10.109375" style="103"/>
  </cols>
  <sheetData>
    <row r="1" spans="1:17">
      <c r="A1" s="1223" t="str">
        <f>'Table of Contents'!A1:C1</f>
        <v>Atmos Energy Corporation, Kentucky/Mid-States Division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</row>
    <row r="2" spans="1:17">
      <c r="A2" s="1223" t="str">
        <f>'Table of Contents'!A2:C2</f>
        <v>Kentucky Jurisdiction Case No. 2018-00281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</row>
    <row r="3" spans="1:17">
      <c r="A3" s="1223" t="s">
        <v>1029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</row>
    <row r="4" spans="1:17">
      <c r="A4" s="1223" t="s">
        <v>1497</v>
      </c>
      <c r="B4" s="1223"/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N4" s="108"/>
      <c r="O4" s="108"/>
      <c r="P4" s="108"/>
      <c r="Q4" s="108"/>
    </row>
    <row r="5" spans="1:17">
      <c r="N5" s="108"/>
      <c r="O5" s="108"/>
      <c r="P5" s="108"/>
      <c r="Q5" s="108"/>
    </row>
    <row r="6" spans="1:17">
      <c r="N6" s="108"/>
      <c r="O6" s="108"/>
      <c r="P6" s="108"/>
      <c r="Q6" s="108"/>
    </row>
    <row r="7" spans="1:17">
      <c r="A7" s="584" t="s">
        <v>1146</v>
      </c>
      <c r="L7" s="950" t="s">
        <v>1414</v>
      </c>
      <c r="N7" s="108"/>
      <c r="O7" s="108"/>
      <c r="P7" s="108"/>
      <c r="Q7" s="108"/>
    </row>
    <row r="8" spans="1:17">
      <c r="A8" s="584" t="s">
        <v>615</v>
      </c>
      <c r="K8" s="584"/>
      <c r="L8" s="922" t="s">
        <v>49</v>
      </c>
      <c r="N8" s="108"/>
      <c r="O8" s="108"/>
      <c r="P8" s="108"/>
      <c r="Q8" s="108"/>
    </row>
    <row r="9" spans="1:17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30"/>
      <c r="K9" s="951"/>
      <c r="L9" s="982" t="str">
        <f>'J-1 Base'!$M$9</f>
        <v>Witness:  Christian</v>
      </c>
      <c r="N9" s="108"/>
      <c r="O9" s="108"/>
      <c r="P9" s="108"/>
      <c r="Q9" s="108"/>
    </row>
    <row r="10" spans="1:17">
      <c r="J10" s="121" t="s">
        <v>350</v>
      </c>
      <c r="L10" s="121" t="s">
        <v>1144</v>
      </c>
    </row>
    <row r="11" spans="1:17">
      <c r="A11" s="121"/>
      <c r="F11" s="121" t="s">
        <v>104</v>
      </c>
      <c r="H11" s="121" t="s">
        <v>269</v>
      </c>
      <c r="J11" s="121" t="s">
        <v>351</v>
      </c>
      <c r="L11" s="121" t="s">
        <v>269</v>
      </c>
    </row>
    <row r="12" spans="1:17">
      <c r="A12" s="649"/>
      <c r="B12" s="930"/>
      <c r="C12" s="649" t="s">
        <v>352</v>
      </c>
      <c r="D12" s="930"/>
      <c r="E12" s="930"/>
      <c r="F12" s="649" t="s">
        <v>349</v>
      </c>
      <c r="G12" s="930"/>
      <c r="H12" s="649" t="s">
        <v>570</v>
      </c>
      <c r="I12" s="930"/>
      <c r="J12" s="649" t="s">
        <v>0</v>
      </c>
      <c r="K12" s="930"/>
      <c r="L12" s="649" t="s">
        <v>570</v>
      </c>
    </row>
    <row r="13" spans="1:17">
      <c r="C13" s="121" t="s">
        <v>1081</v>
      </c>
      <c r="F13" s="121" t="s">
        <v>1082</v>
      </c>
      <c r="H13" s="121" t="s">
        <v>1083</v>
      </c>
      <c r="J13" s="121" t="s">
        <v>15</v>
      </c>
      <c r="L13" s="121" t="s">
        <v>168</v>
      </c>
    </row>
    <row r="14" spans="1:17">
      <c r="F14" s="121" t="s">
        <v>623</v>
      </c>
      <c r="J14" s="121" t="s">
        <v>623</v>
      </c>
    </row>
    <row r="16" spans="1:17">
      <c r="A16" s="121">
        <v>1</v>
      </c>
      <c r="C16" s="584" t="s">
        <v>902</v>
      </c>
      <c r="F16" s="108">
        <f>'J-2 B'!F16</f>
        <v>281542.43134917947</v>
      </c>
      <c r="G16" s="108"/>
      <c r="H16" s="1007">
        <f>'J-2 B'!H16</f>
        <v>1.4143231126541896E-2</v>
      </c>
      <c r="I16" s="135"/>
      <c r="J16" s="108">
        <f>(F16*H16)</f>
        <v>3981.9196784999999</v>
      </c>
      <c r="K16" s="108"/>
      <c r="L16" s="108"/>
      <c r="M16" s="108"/>
    </row>
    <row r="17" spans="1:13">
      <c r="L17" s="108"/>
    </row>
    <row r="18" spans="1:13">
      <c r="A18" s="121">
        <v>2</v>
      </c>
      <c r="C18" s="584" t="s">
        <v>1303</v>
      </c>
      <c r="F18" s="108"/>
      <c r="G18" s="108"/>
      <c r="H18" s="108"/>
      <c r="I18" s="135"/>
      <c r="J18" s="108">
        <f>'J-2 B'!J18</f>
        <v>2777.7596633333342</v>
      </c>
      <c r="K18" s="108"/>
      <c r="L18" s="108"/>
      <c r="M18" s="108"/>
    </row>
    <row r="19" spans="1:13">
      <c r="F19" s="108"/>
      <c r="G19" s="108"/>
      <c r="H19" s="577"/>
      <c r="I19" s="108"/>
      <c r="J19" s="108"/>
      <c r="K19" s="108"/>
      <c r="L19" s="108"/>
      <c r="M19" s="108"/>
    </row>
    <row r="20" spans="1:13">
      <c r="A20" s="121">
        <v>3</v>
      </c>
      <c r="C20" s="584" t="s">
        <v>901</v>
      </c>
      <c r="F20" s="113">
        <f>SUM(F16:F18)</f>
        <v>281542.43134917947</v>
      </c>
      <c r="G20" s="108"/>
      <c r="H20" s="108"/>
      <c r="I20" s="135"/>
      <c r="J20" s="113">
        <f>SUM(J16:J18)</f>
        <v>6759.6793418333345</v>
      </c>
      <c r="K20" s="108"/>
      <c r="L20" s="114">
        <f>(J20/F20)</f>
        <v>2.4009451468612653E-2</v>
      </c>
      <c r="M20" s="108"/>
    </row>
    <row r="21" spans="1:13">
      <c r="F21" s="108"/>
      <c r="G21" s="108"/>
      <c r="H21" s="577"/>
      <c r="I21" s="135"/>
      <c r="J21" s="135"/>
      <c r="K21" s="108"/>
      <c r="L21" s="108"/>
      <c r="M21" s="108"/>
    </row>
    <row r="22" spans="1:13">
      <c r="F22" s="108"/>
      <c r="G22" s="108"/>
      <c r="H22" s="577"/>
      <c r="I22" s="135"/>
      <c r="J22" s="135"/>
      <c r="K22" s="108"/>
      <c r="L22" s="108"/>
      <c r="M22" s="108"/>
    </row>
    <row r="23" spans="1:13">
      <c r="F23" s="108"/>
      <c r="G23" s="108"/>
      <c r="H23" s="577"/>
      <c r="I23" s="135"/>
      <c r="J23" s="135"/>
      <c r="K23" s="108"/>
      <c r="L23" s="108"/>
      <c r="M23" s="108"/>
    </row>
    <row r="24" spans="1:13" ht="15.75">
      <c r="A24" s="921"/>
      <c r="G24" s="108"/>
      <c r="I24" s="135"/>
      <c r="L24" s="108"/>
    </row>
    <row r="25" spans="1:13">
      <c r="C25" s="584" t="s">
        <v>525</v>
      </c>
      <c r="G25" s="108"/>
      <c r="H25" s="577"/>
      <c r="I25" s="135"/>
      <c r="J25" s="135"/>
      <c r="L25" s="108"/>
    </row>
    <row r="26" spans="1:13">
      <c r="C26" s="584"/>
      <c r="G26" s="108"/>
      <c r="H26" s="577"/>
      <c r="I26" s="135"/>
      <c r="J26" s="135"/>
      <c r="L26" s="108"/>
    </row>
    <row r="27" spans="1:13">
      <c r="C27" s="584" t="s">
        <v>1621</v>
      </c>
    </row>
    <row r="28" spans="1:13">
      <c r="C28" s="584"/>
    </row>
    <row r="29" spans="1:13">
      <c r="C29" s="584"/>
    </row>
    <row r="30" spans="1:13">
      <c r="C30" s="584"/>
      <c r="G30" s="108"/>
      <c r="I30" s="135"/>
    </row>
    <row r="31" spans="1:13">
      <c r="G31" s="108"/>
      <c r="H31" s="108"/>
      <c r="I31" s="135"/>
      <c r="J31" s="135"/>
    </row>
    <row r="32" spans="1:13">
      <c r="C32" s="584"/>
      <c r="G32" s="108"/>
    </row>
    <row r="33" spans="1:3">
      <c r="C33" s="584"/>
    </row>
    <row r="35" spans="1:3">
      <c r="C35" s="584"/>
    </row>
    <row r="40" spans="1:3">
      <c r="A40" s="584"/>
      <c r="C40" s="584"/>
    </row>
    <row r="41" spans="1:3">
      <c r="C41" s="584"/>
    </row>
    <row r="42" spans="1:3">
      <c r="C42" s="584"/>
    </row>
    <row r="43" spans="1:3">
      <c r="C43" s="584"/>
    </row>
  </sheetData>
  <mergeCells count="4">
    <mergeCell ref="A1:L1"/>
    <mergeCell ref="A2:L2"/>
    <mergeCell ref="A3:L3"/>
    <mergeCell ref="A4:L4"/>
  </mergeCells>
  <phoneticPr fontId="22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73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4.88671875" style="80" customWidth="1"/>
    <col min="2" max="2" width="6.88671875" style="80" customWidth="1"/>
    <col min="3" max="3" width="37" style="80" customWidth="1"/>
    <col min="4" max="4" width="18.33203125" style="80" customWidth="1"/>
    <col min="5" max="5" width="11.109375" style="80" bestFit="1" customWidth="1"/>
    <col min="6" max="6" width="15.6640625" style="80" customWidth="1"/>
    <col min="7" max="7" width="12.77734375" style="854" customWidth="1"/>
    <col min="8" max="8" width="12.6640625" style="854" customWidth="1"/>
    <col min="9" max="9" width="15.21875" style="80" customWidth="1"/>
    <col min="10" max="10" width="3.21875" style="80" customWidth="1"/>
    <col min="11" max="11" width="15.6640625" style="80" customWidth="1"/>
    <col min="12" max="12" width="12.6640625" style="854" customWidth="1"/>
    <col min="13" max="13" width="9.77734375" style="854" bestFit="1" customWidth="1"/>
    <col min="14" max="14" width="14.21875" style="80" customWidth="1"/>
    <col min="15" max="15" width="5.44140625" style="80" customWidth="1"/>
    <col min="16" max="17" width="12" style="80" bestFit="1" customWidth="1"/>
    <col min="18" max="16384" width="8.88671875" style="80"/>
  </cols>
  <sheetData>
    <row r="1" spans="1:17">
      <c r="A1" s="1200" t="str">
        <f>'Table of Contents'!A1:C1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</row>
    <row r="2" spans="1:17">
      <c r="A2" s="1200" t="str">
        <f>'Table of Contents'!A2:C2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</row>
    <row r="3" spans="1:17">
      <c r="A3" s="1200" t="s">
        <v>496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</row>
    <row r="4" spans="1:17" ht="15.75">
      <c r="A4" s="1201" t="str">
        <f>'B.1 B'!A4</f>
        <v>as of December 31, 2018</v>
      </c>
      <c r="B4" s="1201"/>
      <c r="C4" s="1201"/>
      <c r="D4" s="1201"/>
      <c r="E4" s="1201"/>
      <c r="F4" s="1201"/>
      <c r="G4" s="1201"/>
      <c r="H4" s="1201"/>
      <c r="I4" s="1201"/>
      <c r="J4" s="1201"/>
      <c r="K4" s="1201"/>
      <c r="L4" s="1201"/>
      <c r="M4" s="1201"/>
      <c r="N4" s="1201"/>
    </row>
    <row r="5" spans="1:17">
      <c r="A5" s="150"/>
      <c r="B5" s="150"/>
      <c r="C5" s="150"/>
      <c r="D5" s="150"/>
      <c r="E5" s="732"/>
      <c r="G5" s="857"/>
      <c r="H5" s="857"/>
      <c r="J5" s="81"/>
      <c r="K5" s="150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2"/>
      <c r="F6" s="902"/>
      <c r="G6" s="857"/>
      <c r="K6" s="81"/>
      <c r="N6" s="901" t="s">
        <v>1418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57"/>
      <c r="I7" s="88"/>
      <c r="J7" s="88"/>
      <c r="K7" s="81"/>
      <c r="N7" s="979" t="s">
        <v>1009</v>
      </c>
    </row>
    <row r="8" spans="1:17">
      <c r="A8" s="1027" t="str">
        <f>'B.1 B'!A8</f>
        <v>Workpaper Reference No(s).</v>
      </c>
      <c r="B8" s="74"/>
      <c r="C8" s="74"/>
      <c r="D8" s="74"/>
      <c r="E8" s="74"/>
      <c r="F8" s="74"/>
      <c r="G8" s="76"/>
      <c r="H8" s="1026"/>
      <c r="I8" s="1027"/>
      <c r="J8" s="1027"/>
      <c r="K8" s="74"/>
      <c r="L8" s="1026"/>
      <c r="N8" s="1028" t="s">
        <v>1347</v>
      </c>
    </row>
    <row r="9" spans="1:17">
      <c r="A9" s="1029"/>
      <c r="B9" s="827"/>
      <c r="C9" s="1050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7" ht="15.75">
      <c r="A10" s="1033"/>
      <c r="B10" s="74"/>
      <c r="C10" s="1051"/>
      <c r="D10" s="594">
        <v>43465</v>
      </c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7" ht="15.75">
      <c r="A11" s="1033" t="s">
        <v>93</v>
      </c>
      <c r="B11" s="75" t="s">
        <v>268</v>
      </c>
      <c r="C11" s="486" t="s">
        <v>216</v>
      </c>
      <c r="D11" s="854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7">
      <c r="A12" s="1037" t="s">
        <v>99</v>
      </c>
      <c r="B12" s="185" t="s">
        <v>99</v>
      </c>
      <c r="C12" s="1038" t="s">
        <v>296</v>
      </c>
      <c r="D12" s="1037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37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7">
      <c r="A13" s="75"/>
      <c r="B13" s="75"/>
      <c r="C13" s="75"/>
      <c r="D13" s="75" t="s">
        <v>750</v>
      </c>
      <c r="E13" s="75" t="s">
        <v>751</v>
      </c>
      <c r="F13" s="75" t="s">
        <v>757</v>
      </c>
      <c r="G13" s="75" t="s">
        <v>752</v>
      </c>
      <c r="H13" s="75" t="s">
        <v>753</v>
      </c>
      <c r="I13" s="75" t="s">
        <v>758</v>
      </c>
      <c r="J13" s="75"/>
      <c r="K13" s="75" t="s">
        <v>754</v>
      </c>
      <c r="L13" s="75" t="s">
        <v>755</v>
      </c>
      <c r="M13" s="75" t="s">
        <v>756</v>
      </c>
      <c r="N13" s="75" t="s">
        <v>759</v>
      </c>
    </row>
    <row r="14" spans="1:17" ht="15.75">
      <c r="B14" s="942" t="s">
        <v>6</v>
      </c>
    </row>
    <row r="15" spans="1:17">
      <c r="A15" s="209">
        <v>1</v>
      </c>
      <c r="B15" s="195"/>
      <c r="C15" s="620" t="s">
        <v>297</v>
      </c>
    </row>
    <row r="16" spans="1:17">
      <c r="A16" s="209">
        <f>A15+1</f>
        <v>2</v>
      </c>
      <c r="B16" s="1039">
        <v>30100</v>
      </c>
      <c r="C16" s="233" t="s">
        <v>291</v>
      </c>
      <c r="D16" s="322">
        <f>'[4]Gross Plant'!$Q112</f>
        <v>8329.7199999999993</v>
      </c>
      <c r="E16" s="459">
        <v>0</v>
      </c>
      <c r="F16" s="360">
        <f>D16+E16</f>
        <v>8329.7199999999993</v>
      </c>
      <c r="G16" s="336">
        <v>1</v>
      </c>
      <c r="H16" s="336">
        <f>$G$16</f>
        <v>1</v>
      </c>
      <c r="I16" s="360">
        <f>F16*G16*H16</f>
        <v>8329.7199999999993</v>
      </c>
      <c r="J16" s="428"/>
      <c r="K16" s="322">
        <f>'[4]Gross Plant'!$C112</f>
        <v>8329.7199999999993</v>
      </c>
      <c r="L16" s="336">
        <f t="shared" ref="L16:M17" si="0">$G$16</f>
        <v>1</v>
      </c>
      <c r="M16" s="336">
        <f t="shared" si="0"/>
        <v>1</v>
      </c>
      <c r="N16" s="360">
        <f>K16*L16*M16</f>
        <v>8329.7199999999993</v>
      </c>
    </row>
    <row r="17" spans="1:14">
      <c r="A17" s="209">
        <f t="shared" ref="A17:A83" si="1">A16+1</f>
        <v>3</v>
      </c>
      <c r="B17" s="1039">
        <v>30200</v>
      </c>
      <c r="C17" s="233" t="s">
        <v>153</v>
      </c>
      <c r="D17" s="322">
        <f>'[4]Gross Plant'!$Q113</f>
        <v>119852.69</v>
      </c>
      <c r="E17" s="617">
        <v>0</v>
      </c>
      <c r="F17" s="617">
        <f>D17+E17</f>
        <v>119852.69</v>
      </c>
      <c r="G17" s="336">
        <f>$G$16</f>
        <v>1</v>
      </c>
      <c r="H17" s="336">
        <f>$G$16</f>
        <v>1</v>
      </c>
      <c r="I17" s="617">
        <f>F17*G17*H17</f>
        <v>119852.69</v>
      </c>
      <c r="K17" s="322">
        <f>'[4]Gross Plant'!$C113</f>
        <v>119852.68999999996</v>
      </c>
      <c r="L17" s="336">
        <f t="shared" si="0"/>
        <v>1</v>
      </c>
      <c r="M17" s="336">
        <f t="shared" si="0"/>
        <v>1</v>
      </c>
      <c r="N17" s="617">
        <f>K17*L17*M17</f>
        <v>119852.68999999996</v>
      </c>
    </row>
    <row r="18" spans="1:14">
      <c r="A18" s="209">
        <f t="shared" si="1"/>
        <v>4</v>
      </c>
      <c r="B18" s="1048"/>
      <c r="C18" s="233"/>
      <c r="D18" s="619"/>
      <c r="E18" s="619"/>
      <c r="F18" s="619"/>
      <c r="G18" s="336"/>
      <c r="H18" s="336"/>
      <c r="I18" s="619"/>
      <c r="K18" s="619"/>
      <c r="N18" s="619"/>
    </row>
    <row r="19" spans="1:14">
      <c r="A19" s="209">
        <f t="shared" si="1"/>
        <v>5</v>
      </c>
      <c r="B19" s="1048"/>
      <c r="C19" s="233" t="s">
        <v>298</v>
      </c>
      <c r="D19" s="360">
        <f>SUM(D16:D17)</f>
        <v>128182.41</v>
      </c>
      <c r="E19" s="360">
        <f>SUM(E16:E17)</f>
        <v>0</v>
      </c>
      <c r="F19" s="360">
        <f>SUM(F16:F17)</f>
        <v>128182.41</v>
      </c>
      <c r="G19" s="1052"/>
      <c r="H19" s="1052"/>
      <c r="I19" s="360">
        <f>SUM(I16:I17)</f>
        <v>128182.41</v>
      </c>
      <c r="K19" s="360">
        <f>SUM(K16:K17)</f>
        <v>128182.40999999996</v>
      </c>
      <c r="N19" s="360">
        <f>SUM(N16:N17)</f>
        <v>128182.40999999996</v>
      </c>
    </row>
    <row r="20" spans="1:14">
      <c r="A20" s="209">
        <f t="shared" si="1"/>
        <v>6</v>
      </c>
      <c r="B20" s="1048"/>
      <c r="C20" s="195"/>
      <c r="G20" s="336"/>
      <c r="H20" s="336"/>
    </row>
    <row r="21" spans="1:14">
      <c r="A21" s="209">
        <f t="shared" si="1"/>
        <v>7</v>
      </c>
      <c r="B21" s="1048"/>
      <c r="C21" s="620" t="s">
        <v>154</v>
      </c>
      <c r="G21" s="336"/>
      <c r="H21" s="336"/>
    </row>
    <row r="22" spans="1:14">
      <c r="A22" s="209">
        <f t="shared" si="1"/>
        <v>8</v>
      </c>
      <c r="B22" s="1039">
        <v>32540</v>
      </c>
      <c r="C22" s="233" t="s">
        <v>161</v>
      </c>
      <c r="D22" s="322">
        <f>'[4]Gross Plant'!$Q114</f>
        <v>0</v>
      </c>
      <c r="E22" s="459">
        <v>0</v>
      </c>
      <c r="F22" s="360">
        <f t="shared" ref="F22:F24" si="2">D22+E22</f>
        <v>0</v>
      </c>
      <c r="G22" s="336">
        <f t="shared" ref="G22:H44" si="3">$G$16</f>
        <v>1</v>
      </c>
      <c r="H22" s="336">
        <f t="shared" si="3"/>
        <v>1</v>
      </c>
      <c r="I22" s="360">
        <f t="shared" ref="I22:I24" si="4">F22*G22*H22</f>
        <v>0</v>
      </c>
      <c r="K22" s="322">
        <f>'[4]Gross Plant'!$C114</f>
        <v>0</v>
      </c>
      <c r="L22" s="336">
        <f t="shared" ref="L22:M24" si="5">$G$16</f>
        <v>1</v>
      </c>
      <c r="M22" s="336">
        <f t="shared" si="5"/>
        <v>1</v>
      </c>
      <c r="N22" s="360">
        <f t="shared" ref="N22:N24" si="6">K22*L22*M22</f>
        <v>0</v>
      </c>
    </row>
    <row r="23" spans="1:14">
      <c r="A23" s="209">
        <f t="shared" si="1"/>
        <v>9</v>
      </c>
      <c r="B23" s="1039">
        <v>33202</v>
      </c>
      <c r="C23" s="233" t="s">
        <v>596</v>
      </c>
      <c r="D23" s="322">
        <f>'[4]Gross Plant'!$Q115</f>
        <v>0</v>
      </c>
      <c r="E23" s="617">
        <v>0</v>
      </c>
      <c r="F23" s="617">
        <f t="shared" si="2"/>
        <v>0</v>
      </c>
      <c r="G23" s="336">
        <f t="shared" si="3"/>
        <v>1</v>
      </c>
      <c r="H23" s="336">
        <f t="shared" si="3"/>
        <v>1</v>
      </c>
      <c r="I23" s="617">
        <f t="shared" si="4"/>
        <v>0</v>
      </c>
      <c r="K23" s="322">
        <f>'[4]Gross Plant'!$C115</f>
        <v>0</v>
      </c>
      <c r="L23" s="336">
        <f t="shared" si="5"/>
        <v>1</v>
      </c>
      <c r="M23" s="336">
        <f t="shared" si="5"/>
        <v>1</v>
      </c>
      <c r="N23" s="617">
        <f t="shared" si="6"/>
        <v>0</v>
      </c>
    </row>
    <row r="24" spans="1:14">
      <c r="A24" s="209">
        <f t="shared" si="1"/>
        <v>10</v>
      </c>
      <c r="B24" s="1039">
        <v>33400</v>
      </c>
      <c r="C24" s="233" t="s">
        <v>1119</v>
      </c>
      <c r="D24" s="322">
        <f>'[4]Gross Plant'!$Q116</f>
        <v>0</v>
      </c>
      <c r="E24" s="617">
        <v>0</v>
      </c>
      <c r="F24" s="617">
        <f t="shared" si="2"/>
        <v>0</v>
      </c>
      <c r="G24" s="336">
        <f t="shared" si="3"/>
        <v>1</v>
      </c>
      <c r="H24" s="336">
        <f t="shared" si="3"/>
        <v>1</v>
      </c>
      <c r="I24" s="617">
        <f t="shared" si="4"/>
        <v>0</v>
      </c>
      <c r="K24" s="322">
        <f>'[4]Gross Plant'!$C116</f>
        <v>0</v>
      </c>
      <c r="L24" s="336">
        <f t="shared" si="5"/>
        <v>1</v>
      </c>
      <c r="M24" s="336">
        <f t="shared" si="5"/>
        <v>1</v>
      </c>
      <c r="N24" s="617">
        <f t="shared" si="6"/>
        <v>0</v>
      </c>
    </row>
    <row r="25" spans="1:14">
      <c r="A25" s="209">
        <f t="shared" si="1"/>
        <v>11</v>
      </c>
      <c r="B25" s="1048"/>
      <c r="C25" s="195"/>
      <c r="D25" s="619"/>
      <c r="E25" s="619"/>
      <c r="F25" s="619"/>
      <c r="G25" s="336"/>
      <c r="H25" s="336"/>
      <c r="I25" s="619"/>
      <c r="K25" s="619"/>
      <c r="N25" s="619"/>
    </row>
    <row r="26" spans="1:14">
      <c r="A26" s="209">
        <f t="shared" si="1"/>
        <v>12</v>
      </c>
      <c r="B26" s="1048"/>
      <c r="C26" s="195" t="s">
        <v>278</v>
      </c>
      <c r="D26" s="360">
        <f>SUM(D22:D25)</f>
        <v>0</v>
      </c>
      <c r="E26" s="360">
        <f>SUM(E22:E25)</f>
        <v>0</v>
      </c>
      <c r="F26" s="360">
        <f>SUM(F22:F25)</f>
        <v>0</v>
      </c>
      <c r="G26" s="336"/>
      <c r="H26" s="336"/>
      <c r="I26" s="360">
        <f>SUM(I22:I25)</f>
        <v>0</v>
      </c>
      <c r="K26" s="360">
        <f>SUM(K22:K25)</f>
        <v>0</v>
      </c>
      <c r="N26" s="360">
        <f>SUM(N22:N25)</f>
        <v>0</v>
      </c>
    </row>
    <row r="27" spans="1:14">
      <c r="A27" s="209">
        <f t="shared" si="1"/>
        <v>13</v>
      </c>
      <c r="B27" s="1048"/>
      <c r="C27" s="233"/>
      <c r="G27" s="336"/>
      <c r="H27" s="336"/>
    </row>
    <row r="28" spans="1:14">
      <c r="A28" s="209">
        <f t="shared" si="1"/>
        <v>14</v>
      </c>
      <c r="B28" s="1048"/>
      <c r="C28" s="620" t="s">
        <v>279</v>
      </c>
      <c r="G28" s="336"/>
      <c r="H28" s="336"/>
    </row>
    <row r="29" spans="1:14">
      <c r="A29" s="209">
        <f t="shared" si="1"/>
        <v>15</v>
      </c>
      <c r="B29" s="1039">
        <v>35010</v>
      </c>
      <c r="C29" s="233" t="s">
        <v>292</v>
      </c>
      <c r="D29" s="322">
        <f>'[4]Gross Plant'!$Q117</f>
        <v>261126.69</v>
      </c>
      <c r="E29" s="459">
        <v>0</v>
      </c>
      <c r="F29" s="360">
        <f>D29+E29</f>
        <v>261126.69</v>
      </c>
      <c r="G29" s="336">
        <f t="shared" si="3"/>
        <v>1</v>
      </c>
      <c r="H29" s="336">
        <f t="shared" si="3"/>
        <v>1</v>
      </c>
      <c r="I29" s="360">
        <f>F29*G29*H29</f>
        <v>261126.69</v>
      </c>
      <c r="K29" s="322">
        <f>'[4]Gross Plant'!$C117</f>
        <v>261126.68999999997</v>
      </c>
      <c r="L29" s="336">
        <f t="shared" ref="L29:M45" si="7">$G$16</f>
        <v>1</v>
      </c>
      <c r="M29" s="336">
        <f t="shared" si="7"/>
        <v>1</v>
      </c>
      <c r="N29" s="360">
        <f>K29*L29*M29</f>
        <v>261126.68999999997</v>
      </c>
    </row>
    <row r="30" spans="1:14">
      <c r="A30" s="209">
        <f t="shared" si="1"/>
        <v>16</v>
      </c>
      <c r="B30" s="1039">
        <v>35020</v>
      </c>
      <c r="C30" s="233" t="s">
        <v>792</v>
      </c>
      <c r="D30" s="322">
        <f>'[4]Gross Plant'!$Q118</f>
        <v>4681.58</v>
      </c>
      <c r="E30" s="617">
        <v>0</v>
      </c>
      <c r="F30" s="617">
        <f>D30+E30</f>
        <v>4681.58</v>
      </c>
      <c r="G30" s="336">
        <f t="shared" si="3"/>
        <v>1</v>
      </c>
      <c r="H30" s="336">
        <f t="shared" si="3"/>
        <v>1</v>
      </c>
      <c r="I30" s="617">
        <f t="shared" ref="I30:I45" si="8">F30*G30*H30</f>
        <v>4681.58</v>
      </c>
      <c r="K30" s="322">
        <f>'[4]Gross Plant'!$C118</f>
        <v>4681.5800000000008</v>
      </c>
      <c r="L30" s="336">
        <f t="shared" si="7"/>
        <v>1</v>
      </c>
      <c r="M30" s="336">
        <f t="shared" si="7"/>
        <v>1</v>
      </c>
      <c r="N30" s="617">
        <f t="shared" ref="N30:N45" si="9">K30*L30*M30</f>
        <v>4681.5800000000008</v>
      </c>
    </row>
    <row r="31" spans="1:14">
      <c r="A31" s="209">
        <f t="shared" si="1"/>
        <v>17</v>
      </c>
      <c r="B31" s="1039">
        <v>35100</v>
      </c>
      <c r="C31" s="233" t="s">
        <v>969</v>
      </c>
      <c r="D31" s="322">
        <f>'[4]Gross Plant'!$Q119</f>
        <v>17916.189999999999</v>
      </c>
      <c r="E31" s="617">
        <v>0</v>
      </c>
      <c r="F31" s="617">
        <f t="shared" ref="F31:F45" si="10">D31+E31</f>
        <v>17916.189999999999</v>
      </c>
      <c r="G31" s="336">
        <f t="shared" si="3"/>
        <v>1</v>
      </c>
      <c r="H31" s="336">
        <f t="shared" si="3"/>
        <v>1</v>
      </c>
      <c r="I31" s="617">
        <f t="shared" si="8"/>
        <v>17916.189999999999</v>
      </c>
      <c r="K31" s="322">
        <f>'[4]Gross Plant'!$C119</f>
        <v>17916.189999999999</v>
      </c>
      <c r="L31" s="336">
        <f t="shared" si="7"/>
        <v>1</v>
      </c>
      <c r="M31" s="336">
        <f t="shared" si="7"/>
        <v>1</v>
      </c>
      <c r="N31" s="617">
        <f t="shared" si="9"/>
        <v>17916.189999999999</v>
      </c>
    </row>
    <row r="32" spans="1:14">
      <c r="A32" s="209">
        <f t="shared" si="1"/>
        <v>18</v>
      </c>
      <c r="B32" s="1039">
        <v>35102</v>
      </c>
      <c r="C32" s="233" t="s">
        <v>280</v>
      </c>
      <c r="D32" s="322">
        <f>'[4]Gross Plant'!$Q120</f>
        <v>153261.29999999999</v>
      </c>
      <c r="E32" s="617">
        <v>0</v>
      </c>
      <c r="F32" s="617">
        <f t="shared" si="10"/>
        <v>153261.29999999999</v>
      </c>
      <c r="G32" s="336">
        <f t="shared" si="3"/>
        <v>1</v>
      </c>
      <c r="H32" s="336">
        <f t="shared" si="3"/>
        <v>1</v>
      </c>
      <c r="I32" s="617">
        <f t="shared" si="8"/>
        <v>153261.29999999999</v>
      </c>
      <c r="K32" s="322">
        <f>'[4]Gross Plant'!$C120</f>
        <v>153261.30000000002</v>
      </c>
      <c r="L32" s="336">
        <f t="shared" si="7"/>
        <v>1</v>
      </c>
      <c r="M32" s="336">
        <f t="shared" si="7"/>
        <v>1</v>
      </c>
      <c r="N32" s="617">
        <f t="shared" si="9"/>
        <v>153261.30000000002</v>
      </c>
    </row>
    <row r="33" spans="1:15">
      <c r="A33" s="209">
        <f t="shared" si="1"/>
        <v>19</v>
      </c>
      <c r="B33" s="1039">
        <v>35103</v>
      </c>
      <c r="C33" s="233" t="s">
        <v>585</v>
      </c>
      <c r="D33" s="322">
        <f>'[4]Gross Plant'!$Q121</f>
        <v>23138.38</v>
      </c>
      <c r="E33" s="617">
        <v>0</v>
      </c>
      <c r="F33" s="617">
        <f t="shared" si="10"/>
        <v>23138.38</v>
      </c>
      <c r="G33" s="336">
        <f t="shared" si="3"/>
        <v>1</v>
      </c>
      <c r="H33" s="336">
        <f t="shared" si="3"/>
        <v>1</v>
      </c>
      <c r="I33" s="617">
        <f t="shared" si="8"/>
        <v>23138.38</v>
      </c>
      <c r="K33" s="322">
        <f>'[4]Gross Plant'!$C121</f>
        <v>23138.38</v>
      </c>
      <c r="L33" s="336">
        <f t="shared" si="7"/>
        <v>1</v>
      </c>
      <c r="M33" s="336">
        <f t="shared" si="7"/>
        <v>1</v>
      </c>
      <c r="N33" s="617">
        <f t="shared" si="9"/>
        <v>23138.38</v>
      </c>
    </row>
    <row r="34" spans="1:15">
      <c r="A34" s="209">
        <f t="shared" si="1"/>
        <v>20</v>
      </c>
      <c r="B34" s="1039">
        <v>35104</v>
      </c>
      <c r="C34" s="233" t="s">
        <v>586</v>
      </c>
      <c r="D34" s="322">
        <f>'[4]Gross Plant'!$Q122</f>
        <v>137442.53</v>
      </c>
      <c r="E34" s="617">
        <v>0</v>
      </c>
      <c r="F34" s="617">
        <f t="shared" si="10"/>
        <v>137442.53</v>
      </c>
      <c r="G34" s="336">
        <f t="shared" si="3"/>
        <v>1</v>
      </c>
      <c r="H34" s="336">
        <f t="shared" si="3"/>
        <v>1</v>
      </c>
      <c r="I34" s="617">
        <f t="shared" si="8"/>
        <v>137442.53</v>
      </c>
      <c r="K34" s="322">
        <f>'[4]Gross Plant'!$C122</f>
        <v>137442.53</v>
      </c>
      <c r="L34" s="336">
        <f t="shared" si="7"/>
        <v>1</v>
      </c>
      <c r="M34" s="336">
        <f t="shared" si="7"/>
        <v>1</v>
      </c>
      <c r="N34" s="617">
        <f t="shared" si="9"/>
        <v>137442.53</v>
      </c>
    </row>
    <row r="35" spans="1:15">
      <c r="A35" s="209">
        <f t="shared" si="1"/>
        <v>21</v>
      </c>
      <c r="B35" s="1039">
        <v>35200</v>
      </c>
      <c r="C35" s="233" t="s">
        <v>441</v>
      </c>
      <c r="D35" s="322">
        <f>'[4]Gross Plant'!$Q123</f>
        <v>8350452.8986989269</v>
      </c>
      <c r="E35" s="617">
        <v>0</v>
      </c>
      <c r="F35" s="617">
        <f t="shared" si="10"/>
        <v>8350452.8986989269</v>
      </c>
      <c r="G35" s="336">
        <f t="shared" si="3"/>
        <v>1</v>
      </c>
      <c r="H35" s="336">
        <f t="shared" si="3"/>
        <v>1</v>
      </c>
      <c r="I35" s="617">
        <f t="shared" si="8"/>
        <v>8350452.8986989269</v>
      </c>
      <c r="K35" s="322">
        <f>'[4]Gross Plant'!$C123</f>
        <v>8351815.534146606</v>
      </c>
      <c r="L35" s="336">
        <f t="shared" si="7"/>
        <v>1</v>
      </c>
      <c r="M35" s="336">
        <f t="shared" si="7"/>
        <v>1</v>
      </c>
      <c r="N35" s="617">
        <f t="shared" si="9"/>
        <v>8351815.534146606</v>
      </c>
    </row>
    <row r="36" spans="1:15">
      <c r="A36" s="209">
        <f t="shared" si="1"/>
        <v>22</v>
      </c>
      <c r="B36" s="1039">
        <v>35201</v>
      </c>
      <c r="C36" s="233" t="s">
        <v>587</v>
      </c>
      <c r="D36" s="322">
        <f>'[4]Gross Plant'!$Q124</f>
        <v>1699998.54</v>
      </c>
      <c r="E36" s="617">
        <v>0</v>
      </c>
      <c r="F36" s="617">
        <f t="shared" si="10"/>
        <v>1699998.54</v>
      </c>
      <c r="G36" s="336">
        <f t="shared" si="3"/>
        <v>1</v>
      </c>
      <c r="H36" s="336">
        <f t="shared" si="3"/>
        <v>1</v>
      </c>
      <c r="I36" s="617">
        <f t="shared" si="8"/>
        <v>1699998.54</v>
      </c>
      <c r="K36" s="322">
        <f>'[4]Gross Plant'!$C124</f>
        <v>1699998.5399999993</v>
      </c>
      <c r="L36" s="336">
        <f t="shared" si="7"/>
        <v>1</v>
      </c>
      <c r="M36" s="336">
        <f t="shared" si="7"/>
        <v>1</v>
      </c>
      <c r="N36" s="617">
        <f t="shared" si="9"/>
        <v>1699998.5399999993</v>
      </c>
    </row>
    <row r="37" spans="1:15">
      <c r="A37" s="209">
        <f t="shared" si="1"/>
        <v>23</v>
      </c>
      <c r="B37" s="1039">
        <v>35202</v>
      </c>
      <c r="C37" s="233" t="s">
        <v>588</v>
      </c>
      <c r="D37" s="322">
        <f>'[4]Gross Plant'!$Q125</f>
        <v>449309.06</v>
      </c>
      <c r="E37" s="617">
        <v>0</v>
      </c>
      <c r="F37" s="617">
        <f t="shared" si="10"/>
        <v>449309.06</v>
      </c>
      <c r="G37" s="336">
        <f t="shared" si="3"/>
        <v>1</v>
      </c>
      <c r="H37" s="336">
        <f t="shared" si="3"/>
        <v>1</v>
      </c>
      <c r="I37" s="617">
        <f t="shared" si="8"/>
        <v>449309.06</v>
      </c>
      <c r="K37" s="322">
        <f>'[4]Gross Plant'!$C125</f>
        <v>449309.05999999988</v>
      </c>
      <c r="L37" s="336">
        <f t="shared" si="7"/>
        <v>1</v>
      </c>
      <c r="M37" s="336">
        <f t="shared" si="7"/>
        <v>1</v>
      </c>
      <c r="N37" s="617">
        <f t="shared" si="9"/>
        <v>449309.05999999988</v>
      </c>
    </row>
    <row r="38" spans="1:15">
      <c r="A38" s="209">
        <f t="shared" si="1"/>
        <v>24</v>
      </c>
      <c r="B38" s="1039">
        <v>35203</v>
      </c>
      <c r="C38" s="233" t="s">
        <v>343</v>
      </c>
      <c r="D38" s="322">
        <f>'[4]Gross Plant'!$Q126</f>
        <v>1694832.96</v>
      </c>
      <c r="E38" s="617">
        <v>0</v>
      </c>
      <c r="F38" s="617">
        <f t="shared" si="10"/>
        <v>1694832.96</v>
      </c>
      <c r="G38" s="336">
        <f t="shared" si="3"/>
        <v>1</v>
      </c>
      <c r="H38" s="336">
        <f t="shared" si="3"/>
        <v>1</v>
      </c>
      <c r="I38" s="617">
        <f t="shared" si="8"/>
        <v>1694832.96</v>
      </c>
      <c r="K38" s="322">
        <f>'[4]Gross Plant'!$C126</f>
        <v>1694832.9600000007</v>
      </c>
      <c r="L38" s="336">
        <f t="shared" si="7"/>
        <v>1</v>
      </c>
      <c r="M38" s="336">
        <f t="shared" si="7"/>
        <v>1</v>
      </c>
      <c r="N38" s="617">
        <f t="shared" si="9"/>
        <v>1694832.9600000007</v>
      </c>
    </row>
    <row r="39" spans="1:15">
      <c r="A39" s="209">
        <f t="shared" si="1"/>
        <v>25</v>
      </c>
      <c r="B39" s="1039">
        <v>35210</v>
      </c>
      <c r="C39" s="233" t="s">
        <v>589</v>
      </c>
      <c r="D39" s="322">
        <f>'[4]Gross Plant'!$Q127</f>
        <v>178530.09</v>
      </c>
      <c r="E39" s="617">
        <v>0</v>
      </c>
      <c r="F39" s="617">
        <f t="shared" si="10"/>
        <v>178530.09</v>
      </c>
      <c r="G39" s="336">
        <f t="shared" si="3"/>
        <v>1</v>
      </c>
      <c r="H39" s="336">
        <f t="shared" si="3"/>
        <v>1</v>
      </c>
      <c r="I39" s="617">
        <f t="shared" si="8"/>
        <v>178530.09</v>
      </c>
      <c r="K39" s="322">
        <f>'[4]Gross Plant'!$C127</f>
        <v>178530.09000000003</v>
      </c>
      <c r="L39" s="336">
        <f t="shared" si="7"/>
        <v>1</v>
      </c>
      <c r="M39" s="336">
        <f t="shared" si="7"/>
        <v>1</v>
      </c>
      <c r="N39" s="617">
        <f t="shared" si="9"/>
        <v>178530.09000000003</v>
      </c>
    </row>
    <row r="40" spans="1:15">
      <c r="A40" s="209">
        <f t="shared" si="1"/>
        <v>26</v>
      </c>
      <c r="B40" s="1039">
        <v>35211</v>
      </c>
      <c r="C40" s="233" t="s">
        <v>590</v>
      </c>
      <c r="D40" s="322">
        <f>'[4]Gross Plant'!$Q128</f>
        <v>54614.27</v>
      </c>
      <c r="E40" s="617">
        <v>0</v>
      </c>
      <c r="F40" s="617">
        <f t="shared" si="10"/>
        <v>54614.27</v>
      </c>
      <c r="G40" s="336">
        <f t="shared" si="3"/>
        <v>1</v>
      </c>
      <c r="H40" s="336">
        <f t="shared" si="3"/>
        <v>1</v>
      </c>
      <c r="I40" s="617">
        <f t="shared" si="8"/>
        <v>54614.27</v>
      </c>
      <c r="K40" s="322">
        <f>'[4]Gross Plant'!$C128</f>
        <v>54614.270000000011</v>
      </c>
      <c r="L40" s="336">
        <f t="shared" si="7"/>
        <v>1</v>
      </c>
      <c r="M40" s="336">
        <f t="shared" si="7"/>
        <v>1</v>
      </c>
      <c r="N40" s="617">
        <f t="shared" si="9"/>
        <v>54614.270000000011</v>
      </c>
    </row>
    <row r="41" spans="1:15">
      <c r="A41" s="209">
        <f t="shared" si="1"/>
        <v>27</v>
      </c>
      <c r="B41" s="1039">
        <v>35301</v>
      </c>
      <c r="C41" s="195" t="s">
        <v>162</v>
      </c>
      <c r="D41" s="322">
        <f>'[4]Gross Plant'!$Q129</f>
        <v>175350.37</v>
      </c>
      <c r="E41" s="617">
        <v>0</v>
      </c>
      <c r="F41" s="617">
        <f t="shared" si="10"/>
        <v>175350.37</v>
      </c>
      <c r="G41" s="336">
        <f t="shared" si="3"/>
        <v>1</v>
      </c>
      <c r="H41" s="336">
        <f t="shared" si="3"/>
        <v>1</v>
      </c>
      <c r="I41" s="617">
        <f t="shared" si="8"/>
        <v>175350.37</v>
      </c>
      <c r="K41" s="322">
        <f>'[4]Gross Plant'!$C129</f>
        <v>175350.37000000005</v>
      </c>
      <c r="L41" s="336">
        <f t="shared" si="7"/>
        <v>1</v>
      </c>
      <c r="M41" s="336">
        <f t="shared" si="7"/>
        <v>1</v>
      </c>
      <c r="N41" s="617">
        <f t="shared" si="9"/>
        <v>175350.37000000005</v>
      </c>
    </row>
    <row r="42" spans="1:15">
      <c r="A42" s="209">
        <f t="shared" si="1"/>
        <v>28</v>
      </c>
      <c r="B42" s="1039">
        <v>35302</v>
      </c>
      <c r="C42" s="233" t="s">
        <v>596</v>
      </c>
      <c r="D42" s="322">
        <f>'[4]Gross Plant'!$Q130</f>
        <v>209318.9</v>
      </c>
      <c r="E42" s="617">
        <v>0</v>
      </c>
      <c r="F42" s="617">
        <f t="shared" si="10"/>
        <v>209318.9</v>
      </c>
      <c r="G42" s="336">
        <f t="shared" si="3"/>
        <v>1</v>
      </c>
      <c r="H42" s="336">
        <f t="shared" si="3"/>
        <v>1</v>
      </c>
      <c r="I42" s="617">
        <f t="shared" si="8"/>
        <v>209318.9</v>
      </c>
      <c r="K42" s="322">
        <f>'[4]Gross Plant'!$C130</f>
        <v>209318.89999999994</v>
      </c>
      <c r="L42" s="336">
        <f t="shared" si="7"/>
        <v>1</v>
      </c>
      <c r="M42" s="336">
        <f t="shared" si="7"/>
        <v>1</v>
      </c>
      <c r="N42" s="617">
        <f t="shared" si="9"/>
        <v>209318.89999999994</v>
      </c>
    </row>
    <row r="43" spans="1:15">
      <c r="A43" s="209">
        <f t="shared" si="1"/>
        <v>29</v>
      </c>
      <c r="B43" s="1039">
        <v>35400</v>
      </c>
      <c r="C43" s="233" t="s">
        <v>591</v>
      </c>
      <c r="D43" s="322">
        <f>'[4]Gross Plant'!$Q131</f>
        <v>923446.05</v>
      </c>
      <c r="E43" s="617">
        <v>0</v>
      </c>
      <c r="F43" s="617">
        <f t="shared" si="10"/>
        <v>923446.05</v>
      </c>
      <c r="G43" s="336">
        <f t="shared" si="3"/>
        <v>1</v>
      </c>
      <c r="H43" s="336">
        <f t="shared" si="3"/>
        <v>1</v>
      </c>
      <c r="I43" s="617">
        <f t="shared" si="8"/>
        <v>923446.05</v>
      </c>
      <c r="K43" s="322">
        <f>'[4]Gross Plant'!$C131</f>
        <v>923446.05000000016</v>
      </c>
      <c r="L43" s="336">
        <f t="shared" si="7"/>
        <v>1</v>
      </c>
      <c r="M43" s="336">
        <f t="shared" si="7"/>
        <v>1</v>
      </c>
      <c r="N43" s="617">
        <f t="shared" si="9"/>
        <v>923446.05000000016</v>
      </c>
    </row>
    <row r="44" spans="1:15">
      <c r="A44" s="209">
        <f t="shared" si="1"/>
        <v>30</v>
      </c>
      <c r="B44" s="1039">
        <v>35500</v>
      </c>
      <c r="C44" s="233" t="s">
        <v>992</v>
      </c>
      <c r="D44" s="322">
        <f>'[4]Gross Plant'!$Q132</f>
        <v>273084.38</v>
      </c>
      <c r="E44" s="617">
        <v>0</v>
      </c>
      <c r="F44" s="617">
        <f t="shared" si="10"/>
        <v>273084.38</v>
      </c>
      <c r="G44" s="336">
        <f t="shared" si="3"/>
        <v>1</v>
      </c>
      <c r="H44" s="336">
        <f t="shared" si="3"/>
        <v>1</v>
      </c>
      <c r="I44" s="617">
        <f t="shared" si="8"/>
        <v>273084.38</v>
      </c>
      <c r="K44" s="322">
        <f>'[4]Gross Plant'!$C132</f>
        <v>273084.37999999995</v>
      </c>
      <c r="L44" s="336">
        <f t="shared" si="7"/>
        <v>1</v>
      </c>
      <c r="M44" s="336">
        <f t="shared" si="7"/>
        <v>1</v>
      </c>
      <c r="N44" s="617">
        <f t="shared" si="9"/>
        <v>273084.37999999995</v>
      </c>
    </row>
    <row r="45" spans="1:15">
      <c r="A45" s="209">
        <f t="shared" si="1"/>
        <v>31</v>
      </c>
      <c r="B45" s="1039">
        <v>35600</v>
      </c>
      <c r="C45" s="233" t="s">
        <v>1040</v>
      </c>
      <c r="D45" s="322">
        <f>'[4]Gross Plant'!$Q133</f>
        <v>414663.45</v>
      </c>
      <c r="E45" s="1053">
        <v>0</v>
      </c>
      <c r="F45" s="1053">
        <f t="shared" si="10"/>
        <v>414663.45</v>
      </c>
      <c r="G45" s="336">
        <f t="shared" ref="G45:H79" si="11">$G$16</f>
        <v>1</v>
      </c>
      <c r="H45" s="336">
        <f t="shared" si="11"/>
        <v>1</v>
      </c>
      <c r="I45" s="1046">
        <f t="shared" si="8"/>
        <v>414663.45</v>
      </c>
      <c r="K45" s="322">
        <f>'[4]Gross Plant'!$C133</f>
        <v>414663.45000000013</v>
      </c>
      <c r="L45" s="336">
        <f t="shared" si="7"/>
        <v>1</v>
      </c>
      <c r="M45" s="336">
        <f t="shared" si="7"/>
        <v>1</v>
      </c>
      <c r="N45" s="1046">
        <f t="shared" si="9"/>
        <v>414663.45000000013</v>
      </c>
    </row>
    <row r="46" spans="1:15">
      <c r="A46" s="209">
        <f t="shared" si="1"/>
        <v>32</v>
      </c>
      <c r="B46" s="1048"/>
      <c r="C46" s="233"/>
      <c r="D46" s="619"/>
      <c r="E46" s="619"/>
      <c r="F46" s="619"/>
      <c r="G46" s="336"/>
      <c r="H46" s="336"/>
      <c r="I46" s="724"/>
      <c r="K46" s="619"/>
      <c r="N46" s="619"/>
    </row>
    <row r="47" spans="1:15">
      <c r="A47" s="209">
        <f t="shared" si="1"/>
        <v>33</v>
      </c>
      <c r="B47" s="1048"/>
      <c r="C47" s="233" t="s">
        <v>215</v>
      </c>
      <c r="D47" s="360">
        <f>SUM(D29:D46)</f>
        <v>15021167.638698926</v>
      </c>
      <c r="E47" s="360">
        <f>SUM(E29:E46)</f>
        <v>0</v>
      </c>
      <c r="F47" s="360">
        <f>SUM(F29:F46)</f>
        <v>15021167.638698926</v>
      </c>
      <c r="G47" s="336"/>
      <c r="H47" s="336"/>
      <c r="I47" s="360">
        <f>SUM(I29:I46)</f>
        <v>15021167.638698926</v>
      </c>
      <c r="K47" s="360">
        <f>SUM(K29:K46)</f>
        <v>15022530.274146607</v>
      </c>
      <c r="N47" s="360">
        <f>SUM(N29:N46)</f>
        <v>15022530.274146607</v>
      </c>
      <c r="O47" s="671"/>
    </row>
    <row r="48" spans="1:15">
      <c r="A48" s="209">
        <f t="shared" si="1"/>
        <v>34</v>
      </c>
      <c r="B48" s="1048"/>
      <c r="C48" s="233"/>
      <c r="G48" s="336"/>
      <c r="H48" s="336"/>
      <c r="I48" s="360"/>
    </row>
    <row r="49" spans="1:14">
      <c r="A49" s="209">
        <f t="shared" si="1"/>
        <v>35</v>
      </c>
      <c r="B49" s="1048"/>
      <c r="C49" s="620" t="s">
        <v>993</v>
      </c>
      <c r="G49" s="336"/>
      <c r="H49" s="336"/>
      <c r="I49" s="360"/>
    </row>
    <row r="50" spans="1:14">
      <c r="A50" s="209">
        <f t="shared" si="1"/>
        <v>36</v>
      </c>
      <c r="B50" s="1039">
        <v>36510</v>
      </c>
      <c r="C50" s="233" t="s">
        <v>292</v>
      </c>
      <c r="D50" s="322">
        <f>'[4]Gross Plant'!$Q134</f>
        <v>26970.37</v>
      </c>
      <c r="E50" s="459">
        <v>0</v>
      </c>
      <c r="F50" s="360">
        <f>D50+E50</f>
        <v>26970.37</v>
      </c>
      <c r="G50" s="336">
        <f t="shared" si="11"/>
        <v>1</v>
      </c>
      <c r="H50" s="336">
        <f t="shared" si="11"/>
        <v>1</v>
      </c>
      <c r="I50" s="360">
        <f>F50*G50*H50</f>
        <v>26970.37</v>
      </c>
      <c r="K50" s="322">
        <f>'[4]Gross Plant'!$C134</f>
        <v>26970.37</v>
      </c>
      <c r="L50" s="336">
        <f t="shared" ref="L50:M58" si="12">$G$16</f>
        <v>1</v>
      </c>
      <c r="M50" s="336">
        <f t="shared" si="12"/>
        <v>1</v>
      </c>
      <c r="N50" s="360">
        <f>K50*L50*M50</f>
        <v>26970.37</v>
      </c>
    </row>
    <row r="51" spans="1:14">
      <c r="A51" s="209">
        <f t="shared" si="1"/>
        <v>37</v>
      </c>
      <c r="B51" s="1039">
        <v>36520</v>
      </c>
      <c r="C51" s="233" t="s">
        <v>792</v>
      </c>
      <c r="D51" s="322">
        <f>'[4]Gross Plant'!$Q135</f>
        <v>867772</v>
      </c>
      <c r="E51" s="617">
        <v>0</v>
      </c>
      <c r="F51" s="617">
        <f>D51+E51</f>
        <v>867772</v>
      </c>
      <c r="G51" s="336">
        <f t="shared" si="11"/>
        <v>1</v>
      </c>
      <c r="H51" s="336">
        <f t="shared" si="11"/>
        <v>1</v>
      </c>
      <c r="I51" s="617">
        <f t="shared" ref="I51:I58" si="13">F51*G51*H51</f>
        <v>867772</v>
      </c>
      <c r="K51" s="322">
        <f>'[4]Gross Plant'!$C135</f>
        <v>867772</v>
      </c>
      <c r="L51" s="336">
        <f t="shared" si="12"/>
        <v>1</v>
      </c>
      <c r="M51" s="336">
        <f t="shared" si="12"/>
        <v>1</v>
      </c>
      <c r="N51" s="617">
        <f t="shared" ref="N51:N58" si="14">K51*L51*M51</f>
        <v>867772</v>
      </c>
    </row>
    <row r="52" spans="1:14">
      <c r="A52" s="209">
        <f t="shared" si="1"/>
        <v>38</v>
      </c>
      <c r="B52" s="1039">
        <v>36602</v>
      </c>
      <c r="C52" s="233" t="s">
        <v>856</v>
      </c>
      <c r="D52" s="322">
        <f>'[4]Gross Plant'!$Q136</f>
        <v>49001.72</v>
      </c>
      <c r="E52" s="617">
        <v>0</v>
      </c>
      <c r="F52" s="617">
        <f t="shared" ref="F52:F58" si="15">D52+E52</f>
        <v>49001.72</v>
      </c>
      <c r="G52" s="336">
        <f t="shared" si="11"/>
        <v>1</v>
      </c>
      <c r="H52" s="336">
        <f t="shared" si="11"/>
        <v>1</v>
      </c>
      <c r="I52" s="617">
        <f t="shared" si="13"/>
        <v>49001.72</v>
      </c>
      <c r="K52" s="322">
        <f>'[4]Gross Plant'!$C136</f>
        <v>49001.719999999987</v>
      </c>
      <c r="L52" s="336">
        <f t="shared" si="12"/>
        <v>1</v>
      </c>
      <c r="M52" s="336">
        <f t="shared" si="12"/>
        <v>1</v>
      </c>
      <c r="N52" s="617">
        <f t="shared" si="14"/>
        <v>49001.719999999987</v>
      </c>
    </row>
    <row r="53" spans="1:14">
      <c r="A53" s="209">
        <f t="shared" si="1"/>
        <v>39</v>
      </c>
      <c r="B53" s="1039">
        <v>36603</v>
      </c>
      <c r="C53" s="233" t="s">
        <v>994</v>
      </c>
      <c r="D53" s="322">
        <f>'[4]Gross Plant'!$Q137</f>
        <v>60826.29</v>
      </c>
      <c r="E53" s="617">
        <v>0</v>
      </c>
      <c r="F53" s="617">
        <f t="shared" si="15"/>
        <v>60826.29</v>
      </c>
      <c r="G53" s="336">
        <f t="shared" si="11"/>
        <v>1</v>
      </c>
      <c r="H53" s="336">
        <f t="shared" si="11"/>
        <v>1</v>
      </c>
      <c r="I53" s="617">
        <f t="shared" si="13"/>
        <v>60826.29</v>
      </c>
      <c r="K53" s="322">
        <f>'[4]Gross Plant'!$C137</f>
        <v>60826.290000000008</v>
      </c>
      <c r="L53" s="336">
        <f t="shared" si="12"/>
        <v>1</v>
      </c>
      <c r="M53" s="336">
        <f t="shared" si="12"/>
        <v>1</v>
      </c>
      <c r="N53" s="617">
        <f t="shared" si="14"/>
        <v>60826.290000000008</v>
      </c>
    </row>
    <row r="54" spans="1:14">
      <c r="A54" s="209">
        <f t="shared" si="1"/>
        <v>40</v>
      </c>
      <c r="B54" s="1039">
        <v>36700</v>
      </c>
      <c r="C54" s="233" t="s">
        <v>844</v>
      </c>
      <c r="D54" s="322">
        <f>'[4]Gross Plant'!$Q138</f>
        <v>139637.68</v>
      </c>
      <c r="E54" s="617">
        <v>0</v>
      </c>
      <c r="F54" s="617">
        <f t="shared" si="15"/>
        <v>139637.68</v>
      </c>
      <c r="G54" s="336">
        <f t="shared" si="11"/>
        <v>1</v>
      </c>
      <c r="H54" s="336">
        <f t="shared" si="11"/>
        <v>1</v>
      </c>
      <c r="I54" s="617">
        <f t="shared" si="13"/>
        <v>139637.68</v>
      </c>
      <c r="K54" s="322">
        <f>'[4]Gross Plant'!$C138</f>
        <v>139637.67999999996</v>
      </c>
      <c r="L54" s="336">
        <f t="shared" si="12"/>
        <v>1</v>
      </c>
      <c r="M54" s="336">
        <f t="shared" si="12"/>
        <v>1</v>
      </c>
      <c r="N54" s="617">
        <f t="shared" si="14"/>
        <v>139637.67999999996</v>
      </c>
    </row>
    <row r="55" spans="1:14">
      <c r="A55" s="209">
        <f t="shared" si="1"/>
        <v>41</v>
      </c>
      <c r="B55" s="1039">
        <v>36701</v>
      </c>
      <c r="C55" s="233" t="s">
        <v>16</v>
      </c>
      <c r="D55" s="322">
        <f>'[4]Gross Plant'!$Q139</f>
        <v>27309333.302538555</v>
      </c>
      <c r="E55" s="617">
        <v>0</v>
      </c>
      <c r="F55" s="617">
        <f t="shared" si="15"/>
        <v>27309333.302538555</v>
      </c>
      <c r="G55" s="336">
        <f t="shared" si="11"/>
        <v>1</v>
      </c>
      <c r="H55" s="336">
        <f t="shared" si="11"/>
        <v>1</v>
      </c>
      <c r="I55" s="617">
        <f t="shared" si="13"/>
        <v>27309333.302538555</v>
      </c>
      <c r="K55" s="322">
        <f>'[4]Gross Plant'!$C139</f>
        <v>27350976.974329285</v>
      </c>
      <c r="L55" s="336">
        <f t="shared" si="12"/>
        <v>1</v>
      </c>
      <c r="M55" s="336">
        <f t="shared" si="12"/>
        <v>1</v>
      </c>
      <c r="N55" s="617">
        <f t="shared" si="14"/>
        <v>27350976.974329285</v>
      </c>
    </row>
    <row r="56" spans="1:14">
      <c r="A56" s="209">
        <f t="shared" si="1"/>
        <v>42</v>
      </c>
      <c r="B56" s="1039">
        <v>36703</v>
      </c>
      <c r="C56" s="233" t="s">
        <v>1666</v>
      </c>
      <c r="D56" s="322">
        <f>'[4]Gross Plant'!$Q140</f>
        <v>0</v>
      </c>
      <c r="E56" s="617">
        <v>0</v>
      </c>
      <c r="F56" s="617">
        <f t="shared" ref="F56" si="16">D56+E56</f>
        <v>0</v>
      </c>
      <c r="G56" s="336">
        <f t="shared" si="11"/>
        <v>1</v>
      </c>
      <c r="H56" s="336">
        <f t="shared" si="11"/>
        <v>1</v>
      </c>
      <c r="I56" s="617">
        <f t="shared" ref="I56" si="17">F56*G56*H56</f>
        <v>0</v>
      </c>
      <c r="K56" s="322">
        <f>'[4]Gross Plant'!$C140</f>
        <v>0</v>
      </c>
      <c r="L56" s="336">
        <f t="shared" si="12"/>
        <v>1</v>
      </c>
      <c r="M56" s="336">
        <f t="shared" si="12"/>
        <v>1</v>
      </c>
      <c r="N56" s="617">
        <f t="shared" ref="N56" si="18">K56*L56*M56</f>
        <v>0</v>
      </c>
    </row>
    <row r="57" spans="1:14">
      <c r="A57" s="209">
        <f t="shared" si="1"/>
        <v>43</v>
      </c>
      <c r="B57" s="1039">
        <v>36900</v>
      </c>
      <c r="C57" s="233" t="s">
        <v>995</v>
      </c>
      <c r="D57" s="322">
        <f>'[4]Gross Plant'!$Q141</f>
        <v>731466.64</v>
      </c>
      <c r="E57" s="617">
        <v>0</v>
      </c>
      <c r="F57" s="617">
        <f t="shared" si="15"/>
        <v>731466.64</v>
      </c>
      <c r="G57" s="336">
        <f t="shared" si="11"/>
        <v>1</v>
      </c>
      <c r="H57" s="336">
        <f t="shared" si="11"/>
        <v>1</v>
      </c>
      <c r="I57" s="617">
        <f t="shared" si="13"/>
        <v>731466.64</v>
      </c>
      <c r="K57" s="322">
        <f>'[4]Gross Plant'!$C141</f>
        <v>731466.6399999999</v>
      </c>
      <c r="L57" s="336">
        <f t="shared" si="12"/>
        <v>1</v>
      </c>
      <c r="M57" s="336">
        <f t="shared" si="12"/>
        <v>1</v>
      </c>
      <c r="N57" s="617">
        <f t="shared" si="14"/>
        <v>731466.6399999999</v>
      </c>
    </row>
    <row r="58" spans="1:14">
      <c r="A58" s="209">
        <f t="shared" si="1"/>
        <v>44</v>
      </c>
      <c r="B58" s="1039">
        <v>36901</v>
      </c>
      <c r="C58" s="233" t="s">
        <v>995</v>
      </c>
      <c r="D58" s="322">
        <f>'[4]Gross Plant'!$Q142</f>
        <v>2269555.91</v>
      </c>
      <c r="E58" s="1053">
        <v>0</v>
      </c>
      <c r="F58" s="1053">
        <f t="shared" si="15"/>
        <v>2269555.91</v>
      </c>
      <c r="G58" s="336">
        <f t="shared" si="11"/>
        <v>1</v>
      </c>
      <c r="H58" s="336">
        <f t="shared" si="11"/>
        <v>1</v>
      </c>
      <c r="I58" s="1046">
        <f t="shared" si="13"/>
        <v>2269555.91</v>
      </c>
      <c r="K58" s="322">
        <f>'[4]Gross Plant'!$C142</f>
        <v>2269555.91</v>
      </c>
      <c r="L58" s="336">
        <f t="shared" si="12"/>
        <v>1</v>
      </c>
      <c r="M58" s="336">
        <f t="shared" si="12"/>
        <v>1</v>
      </c>
      <c r="N58" s="1046">
        <f t="shared" si="14"/>
        <v>2269555.91</v>
      </c>
    </row>
    <row r="59" spans="1:14">
      <c r="A59" s="209">
        <f t="shared" si="1"/>
        <v>45</v>
      </c>
      <c r="B59" s="1048"/>
      <c r="C59" s="233"/>
      <c r="D59" s="619"/>
      <c r="E59" s="619"/>
      <c r="F59" s="619"/>
      <c r="G59" s="336"/>
      <c r="H59" s="336"/>
      <c r="I59" s="724"/>
      <c r="K59" s="724"/>
      <c r="N59" s="619"/>
    </row>
    <row r="60" spans="1:14">
      <c r="A60" s="209">
        <f t="shared" si="1"/>
        <v>46</v>
      </c>
      <c r="B60" s="1048"/>
      <c r="C60" s="233" t="s">
        <v>1352</v>
      </c>
      <c r="D60" s="360">
        <f>SUM(D50:D59)</f>
        <v>31454563.912538555</v>
      </c>
      <c r="E60" s="360">
        <f>SUM(E50:E59)</f>
        <v>0</v>
      </c>
      <c r="F60" s="360">
        <f>SUM(F50:F59)</f>
        <v>31454563.912538555</v>
      </c>
      <c r="G60" s="336"/>
      <c r="H60" s="336"/>
      <c r="I60" s="360">
        <f>SUM(I50:I59)</f>
        <v>31454563.912538555</v>
      </c>
      <c r="K60" s="360">
        <f>SUM(K50:K59)</f>
        <v>31496207.584329285</v>
      </c>
      <c r="N60" s="360">
        <f>SUM(N50:N59)</f>
        <v>31496207.584329285</v>
      </c>
    </row>
    <row r="61" spans="1:14">
      <c r="A61" s="209">
        <f t="shared" si="1"/>
        <v>47</v>
      </c>
      <c r="B61" s="1048"/>
      <c r="C61" s="195"/>
      <c r="G61" s="336"/>
      <c r="H61" s="336"/>
      <c r="I61" s="360"/>
      <c r="K61" s="360"/>
    </row>
    <row r="62" spans="1:14">
      <c r="A62" s="209">
        <f t="shared" si="1"/>
        <v>48</v>
      </c>
      <c r="B62" s="1048"/>
      <c r="C62" s="620" t="s">
        <v>299</v>
      </c>
      <c r="G62" s="336"/>
      <c r="H62" s="336"/>
      <c r="I62" s="360"/>
      <c r="K62" s="360"/>
    </row>
    <row r="63" spans="1:14">
      <c r="A63" s="209">
        <f t="shared" si="1"/>
        <v>49</v>
      </c>
      <c r="B63" s="1039">
        <v>37400</v>
      </c>
      <c r="C63" s="233" t="s">
        <v>1147</v>
      </c>
      <c r="D63" s="322">
        <f>'[4]Gross Plant'!$Q143</f>
        <v>531166.79</v>
      </c>
      <c r="E63" s="459">
        <v>0</v>
      </c>
      <c r="F63" s="360">
        <f>D63+E63</f>
        <v>531166.79</v>
      </c>
      <c r="G63" s="336">
        <f t="shared" si="11"/>
        <v>1</v>
      </c>
      <c r="H63" s="336">
        <f t="shared" si="11"/>
        <v>1</v>
      </c>
      <c r="I63" s="360">
        <f>F63*G63*H63</f>
        <v>531166.79</v>
      </c>
      <c r="K63" s="322">
        <f>'[4]Gross Plant'!$C143</f>
        <v>531166.79</v>
      </c>
      <c r="L63" s="336">
        <f t="shared" ref="L63:M84" si="19">$G$16</f>
        <v>1</v>
      </c>
      <c r="M63" s="336">
        <f t="shared" si="19"/>
        <v>1</v>
      </c>
      <c r="N63" s="360">
        <f>K63*L63*M63</f>
        <v>531166.79</v>
      </c>
    </row>
    <row r="64" spans="1:14">
      <c r="A64" s="209">
        <f t="shared" si="1"/>
        <v>50</v>
      </c>
      <c r="B64" s="1039">
        <v>37401</v>
      </c>
      <c r="C64" s="233" t="s">
        <v>292</v>
      </c>
      <c r="D64" s="322">
        <f>'[4]Gross Plant'!$Q144</f>
        <v>37326.42</v>
      </c>
      <c r="E64" s="617">
        <v>0</v>
      </c>
      <c r="F64" s="617">
        <f>D64+E64</f>
        <v>37326.42</v>
      </c>
      <c r="G64" s="336">
        <f t="shared" si="11"/>
        <v>1</v>
      </c>
      <c r="H64" s="336">
        <f t="shared" si="11"/>
        <v>1</v>
      </c>
      <c r="I64" s="617">
        <f t="shared" ref="I64:I84" si="20">F64*G64*H64</f>
        <v>37326.42</v>
      </c>
      <c r="J64" s="617"/>
      <c r="K64" s="322">
        <f>'[4]Gross Plant'!$C144</f>
        <v>37326.419999999991</v>
      </c>
      <c r="L64" s="336">
        <f t="shared" si="19"/>
        <v>1</v>
      </c>
      <c r="M64" s="336">
        <f t="shared" si="19"/>
        <v>1</v>
      </c>
      <c r="N64" s="617">
        <f t="shared" ref="N64:N84" si="21">K64*L64*M64</f>
        <v>37326.419999999991</v>
      </c>
    </row>
    <row r="65" spans="1:17">
      <c r="A65" s="209">
        <f t="shared" si="1"/>
        <v>51</v>
      </c>
      <c r="B65" s="1039">
        <v>37402</v>
      </c>
      <c r="C65" s="233" t="s">
        <v>999</v>
      </c>
      <c r="D65" s="322">
        <f>'[4]Gross Plant'!$Q145</f>
        <v>3220920.4813504335</v>
      </c>
      <c r="E65" s="617">
        <v>0</v>
      </c>
      <c r="F65" s="617">
        <f t="shared" ref="F65:F84" si="22">D65+E65</f>
        <v>3220920.4813504335</v>
      </c>
      <c r="G65" s="336">
        <f t="shared" si="11"/>
        <v>1</v>
      </c>
      <c r="H65" s="336">
        <f t="shared" si="11"/>
        <v>1</v>
      </c>
      <c r="I65" s="617">
        <f t="shared" si="20"/>
        <v>3220920.4813504335</v>
      </c>
      <c r="J65" s="617"/>
      <c r="K65" s="322">
        <f>'[4]Gross Plant'!$C145</f>
        <v>2910064.1860524314</v>
      </c>
      <c r="L65" s="336">
        <f t="shared" si="19"/>
        <v>1</v>
      </c>
      <c r="M65" s="336">
        <f t="shared" si="19"/>
        <v>1</v>
      </c>
      <c r="N65" s="617">
        <f t="shared" si="21"/>
        <v>2910064.1860524314</v>
      </c>
    </row>
    <row r="66" spans="1:17">
      <c r="A66" s="209">
        <f t="shared" si="1"/>
        <v>52</v>
      </c>
      <c r="B66" s="1039">
        <v>37403</v>
      </c>
      <c r="C66" s="233" t="s">
        <v>996</v>
      </c>
      <c r="D66" s="322">
        <f>'[4]Gross Plant'!$Q146</f>
        <v>2783.89</v>
      </c>
      <c r="E66" s="617">
        <v>0</v>
      </c>
      <c r="F66" s="617">
        <f t="shared" si="22"/>
        <v>2783.89</v>
      </c>
      <c r="G66" s="336">
        <f t="shared" si="11"/>
        <v>1</v>
      </c>
      <c r="H66" s="336">
        <f t="shared" si="11"/>
        <v>1</v>
      </c>
      <c r="I66" s="617">
        <f t="shared" si="20"/>
        <v>2783.89</v>
      </c>
      <c r="J66" s="617"/>
      <c r="K66" s="322">
        <f>'[4]Gross Plant'!$C146</f>
        <v>2783.89</v>
      </c>
      <c r="L66" s="336">
        <f t="shared" si="19"/>
        <v>1</v>
      </c>
      <c r="M66" s="336">
        <f t="shared" si="19"/>
        <v>1</v>
      </c>
      <c r="N66" s="617">
        <f t="shared" si="21"/>
        <v>2783.89</v>
      </c>
    </row>
    <row r="67" spans="1:17">
      <c r="A67" s="209">
        <f t="shared" si="1"/>
        <v>53</v>
      </c>
      <c r="B67" s="1039">
        <v>37500</v>
      </c>
      <c r="C67" s="233" t="s">
        <v>856</v>
      </c>
      <c r="D67" s="322">
        <f>'[4]Gross Plant'!$Q147</f>
        <v>336167.54</v>
      </c>
      <c r="E67" s="617">
        <v>0</v>
      </c>
      <c r="F67" s="617">
        <f t="shared" si="22"/>
        <v>336167.54</v>
      </c>
      <c r="G67" s="336">
        <f t="shared" si="11"/>
        <v>1</v>
      </c>
      <c r="H67" s="336">
        <f t="shared" si="11"/>
        <v>1</v>
      </c>
      <c r="I67" s="617">
        <f t="shared" si="20"/>
        <v>336167.54</v>
      </c>
      <c r="J67" s="617"/>
      <c r="K67" s="322">
        <f>'[4]Gross Plant'!$C147</f>
        <v>336167.54</v>
      </c>
      <c r="L67" s="336">
        <f t="shared" si="19"/>
        <v>1</v>
      </c>
      <c r="M67" s="336">
        <f t="shared" si="19"/>
        <v>1</v>
      </c>
      <c r="N67" s="617">
        <f t="shared" si="21"/>
        <v>336167.54</v>
      </c>
    </row>
    <row r="68" spans="1:17">
      <c r="A68" s="209">
        <f t="shared" si="1"/>
        <v>54</v>
      </c>
      <c r="B68" s="1039">
        <v>37501</v>
      </c>
      <c r="C68" s="233" t="s">
        <v>997</v>
      </c>
      <c r="D68" s="322">
        <f>'[4]Gross Plant'!$Q148</f>
        <v>99818.13</v>
      </c>
      <c r="E68" s="617">
        <v>0</v>
      </c>
      <c r="F68" s="617">
        <f t="shared" si="22"/>
        <v>99818.13</v>
      </c>
      <c r="G68" s="336">
        <f t="shared" si="11"/>
        <v>1</v>
      </c>
      <c r="H68" s="336">
        <f t="shared" si="11"/>
        <v>1</v>
      </c>
      <c r="I68" s="617">
        <f t="shared" si="20"/>
        <v>99818.13</v>
      </c>
      <c r="J68" s="617"/>
      <c r="K68" s="322">
        <f>'[4]Gross Plant'!$C148</f>
        <v>99818.12999999999</v>
      </c>
      <c r="L68" s="336">
        <f t="shared" si="19"/>
        <v>1</v>
      </c>
      <c r="M68" s="336">
        <f t="shared" si="19"/>
        <v>1</v>
      </c>
      <c r="N68" s="617">
        <f t="shared" si="21"/>
        <v>99818.12999999999</v>
      </c>
    </row>
    <row r="69" spans="1:17">
      <c r="A69" s="209">
        <f t="shared" si="1"/>
        <v>55</v>
      </c>
      <c r="B69" s="1039">
        <v>37502</v>
      </c>
      <c r="C69" s="233" t="s">
        <v>999</v>
      </c>
      <c r="D69" s="322">
        <f>'[4]Gross Plant'!$Q149</f>
        <v>46264.19</v>
      </c>
      <c r="E69" s="617">
        <v>0</v>
      </c>
      <c r="F69" s="617">
        <f t="shared" si="22"/>
        <v>46264.19</v>
      </c>
      <c r="G69" s="336">
        <f t="shared" si="11"/>
        <v>1</v>
      </c>
      <c r="H69" s="336">
        <f t="shared" si="11"/>
        <v>1</v>
      </c>
      <c r="I69" s="617">
        <f t="shared" si="20"/>
        <v>46264.19</v>
      </c>
      <c r="J69" s="617"/>
      <c r="K69" s="322">
        <f>'[4]Gross Plant'!$C149</f>
        <v>46264.189999999995</v>
      </c>
      <c r="L69" s="336">
        <f t="shared" si="19"/>
        <v>1</v>
      </c>
      <c r="M69" s="336">
        <f t="shared" si="19"/>
        <v>1</v>
      </c>
      <c r="N69" s="617">
        <f t="shared" si="21"/>
        <v>46264.189999999995</v>
      </c>
    </row>
    <row r="70" spans="1:17">
      <c r="A70" s="209">
        <f t="shared" si="1"/>
        <v>56</v>
      </c>
      <c r="B70" s="1039">
        <v>37503</v>
      </c>
      <c r="C70" s="233" t="s">
        <v>998</v>
      </c>
      <c r="D70" s="322">
        <f>'[4]Gross Plant'!$Q150</f>
        <v>4005.08</v>
      </c>
      <c r="E70" s="617">
        <v>0</v>
      </c>
      <c r="F70" s="617">
        <f t="shared" si="22"/>
        <v>4005.08</v>
      </c>
      <c r="G70" s="336">
        <f t="shared" si="11"/>
        <v>1</v>
      </c>
      <c r="H70" s="336">
        <f t="shared" si="11"/>
        <v>1</v>
      </c>
      <c r="I70" s="617">
        <f t="shared" si="20"/>
        <v>4005.08</v>
      </c>
      <c r="J70" s="617"/>
      <c r="K70" s="322">
        <f>'[4]Gross Plant'!$C150</f>
        <v>4005.0800000000013</v>
      </c>
      <c r="L70" s="336">
        <f t="shared" si="19"/>
        <v>1</v>
      </c>
      <c r="M70" s="336">
        <f t="shared" si="19"/>
        <v>1</v>
      </c>
      <c r="N70" s="617">
        <f t="shared" si="21"/>
        <v>4005.0800000000013</v>
      </c>
    </row>
    <row r="71" spans="1:17">
      <c r="A71" s="209">
        <f t="shared" si="1"/>
        <v>57</v>
      </c>
      <c r="B71" s="1039">
        <v>37600</v>
      </c>
      <c r="C71" s="233" t="s">
        <v>844</v>
      </c>
      <c r="D71" s="322">
        <f>'[4]Gross Plant'!$Q151</f>
        <v>20773552.514915489</v>
      </c>
      <c r="E71" s="617">
        <v>0</v>
      </c>
      <c r="F71" s="617">
        <f t="shared" si="22"/>
        <v>20773552.514915489</v>
      </c>
      <c r="G71" s="336">
        <f t="shared" si="11"/>
        <v>1</v>
      </c>
      <c r="H71" s="336">
        <f t="shared" si="11"/>
        <v>1</v>
      </c>
      <c r="I71" s="617">
        <f t="shared" si="20"/>
        <v>20773552.514915489</v>
      </c>
      <c r="J71" s="617"/>
      <c r="K71" s="322">
        <f>'[4]Gross Plant'!$C151</f>
        <v>20885550.916894335</v>
      </c>
      <c r="L71" s="336">
        <f t="shared" si="19"/>
        <v>1</v>
      </c>
      <c r="M71" s="336">
        <f t="shared" si="19"/>
        <v>1</v>
      </c>
      <c r="N71" s="617">
        <f t="shared" si="21"/>
        <v>20885550.916894335</v>
      </c>
    </row>
    <row r="72" spans="1:17">
      <c r="A72" s="209">
        <f t="shared" si="1"/>
        <v>58</v>
      </c>
      <c r="B72" s="1039">
        <v>37601</v>
      </c>
      <c r="C72" s="233" t="s">
        <v>16</v>
      </c>
      <c r="D72" s="322">
        <f>'[4]Gross Plant'!$Q152</f>
        <v>162648385.39039332</v>
      </c>
      <c r="E72" s="617">
        <v>0</v>
      </c>
      <c r="F72" s="617">
        <f t="shared" si="22"/>
        <v>162648385.39039332</v>
      </c>
      <c r="G72" s="336">
        <f t="shared" si="11"/>
        <v>1</v>
      </c>
      <c r="H72" s="336">
        <f t="shared" si="11"/>
        <v>1</v>
      </c>
      <c r="I72" s="617">
        <f t="shared" si="20"/>
        <v>162648385.39039332</v>
      </c>
      <c r="J72" s="617"/>
      <c r="K72" s="322">
        <f>'[4]Gross Plant'!$C152</f>
        <v>153554638.4603098</v>
      </c>
      <c r="L72" s="336">
        <f t="shared" si="19"/>
        <v>1</v>
      </c>
      <c r="M72" s="336">
        <f t="shared" si="19"/>
        <v>1</v>
      </c>
      <c r="N72" s="617">
        <f t="shared" si="21"/>
        <v>153554638.4603098</v>
      </c>
    </row>
    <row r="73" spans="1:17">
      <c r="A73" s="209">
        <f t="shared" si="1"/>
        <v>59</v>
      </c>
      <c r="B73" s="1039">
        <v>37602</v>
      </c>
      <c r="C73" s="233" t="s">
        <v>845</v>
      </c>
      <c r="D73" s="322">
        <f>'[4]Gross Plant'!$Q153</f>
        <v>120588438.81840266</v>
      </c>
      <c r="E73" s="617">
        <v>0</v>
      </c>
      <c r="F73" s="617">
        <f t="shared" si="22"/>
        <v>120588438.81840266</v>
      </c>
      <c r="G73" s="336">
        <f t="shared" si="11"/>
        <v>1</v>
      </c>
      <c r="H73" s="336">
        <f t="shared" si="11"/>
        <v>1</v>
      </c>
      <c r="I73" s="617">
        <f t="shared" si="20"/>
        <v>120588438.81840266</v>
      </c>
      <c r="J73" s="617"/>
      <c r="K73" s="322">
        <f>'[4]Gross Plant'!$C153</f>
        <v>111099888.6379073</v>
      </c>
      <c r="L73" s="336">
        <f t="shared" si="19"/>
        <v>1</v>
      </c>
      <c r="M73" s="336">
        <f t="shared" si="19"/>
        <v>1</v>
      </c>
      <c r="N73" s="617">
        <f t="shared" si="21"/>
        <v>111099888.6379073</v>
      </c>
      <c r="Q73" s="671"/>
    </row>
    <row r="74" spans="1:17">
      <c r="A74" s="209">
        <f t="shared" si="1"/>
        <v>60</v>
      </c>
      <c r="B74" s="1039">
        <v>37603</v>
      </c>
      <c r="C74" s="233" t="s">
        <v>1666</v>
      </c>
      <c r="D74" s="322">
        <f>'[4]Gross Plant'!$Q154</f>
        <v>0</v>
      </c>
      <c r="E74" s="617">
        <v>0</v>
      </c>
      <c r="F74" s="617">
        <f t="shared" si="22"/>
        <v>0</v>
      </c>
      <c r="G74" s="336">
        <f t="shared" si="11"/>
        <v>1</v>
      </c>
      <c r="H74" s="336">
        <f t="shared" si="11"/>
        <v>1</v>
      </c>
      <c r="I74" s="617">
        <f t="shared" ref="I74:I75" si="23">F74*G74*H74</f>
        <v>0</v>
      </c>
      <c r="J74" s="617"/>
      <c r="K74" s="322">
        <f>'[4]Gross Plant'!$C154</f>
        <v>0</v>
      </c>
      <c r="L74" s="336">
        <f t="shared" si="19"/>
        <v>1</v>
      </c>
      <c r="M74" s="336">
        <f t="shared" si="19"/>
        <v>1</v>
      </c>
      <c r="N74" s="617">
        <f t="shared" ref="N74:N75" si="24">K74*L74*M74</f>
        <v>0</v>
      </c>
      <c r="Q74" s="671"/>
    </row>
    <row r="75" spans="1:17">
      <c r="A75" s="209">
        <f t="shared" si="1"/>
        <v>61</v>
      </c>
      <c r="B75" s="1039">
        <v>37604</v>
      </c>
      <c r="C75" s="233" t="s">
        <v>1667</v>
      </c>
      <c r="D75" s="322">
        <f>'[4]Gross Plant'!$Q155</f>
        <v>0</v>
      </c>
      <c r="E75" s="617">
        <v>0</v>
      </c>
      <c r="F75" s="617">
        <f t="shared" si="22"/>
        <v>0</v>
      </c>
      <c r="G75" s="336">
        <f t="shared" si="11"/>
        <v>1</v>
      </c>
      <c r="H75" s="336">
        <f t="shared" si="11"/>
        <v>1</v>
      </c>
      <c r="I75" s="617">
        <f t="shared" si="23"/>
        <v>0</v>
      </c>
      <c r="J75" s="617"/>
      <c r="K75" s="322">
        <f>'[4]Gross Plant'!$C155</f>
        <v>0</v>
      </c>
      <c r="L75" s="336">
        <f t="shared" si="19"/>
        <v>1</v>
      </c>
      <c r="M75" s="336">
        <f t="shared" si="19"/>
        <v>1</v>
      </c>
      <c r="N75" s="617">
        <f t="shared" si="24"/>
        <v>0</v>
      </c>
      <c r="Q75" s="671"/>
    </row>
    <row r="76" spans="1:17">
      <c r="A76" s="209">
        <f t="shared" si="1"/>
        <v>62</v>
      </c>
      <c r="B76" s="1039">
        <v>37800</v>
      </c>
      <c r="C76" s="233" t="s">
        <v>229</v>
      </c>
      <c r="D76" s="322">
        <f>'[4]Gross Plant'!$Q156</f>
        <v>22159379.723469127</v>
      </c>
      <c r="E76" s="617">
        <v>0</v>
      </c>
      <c r="F76" s="617">
        <f t="shared" si="22"/>
        <v>22159379.723469127</v>
      </c>
      <c r="G76" s="336">
        <f t="shared" si="11"/>
        <v>1</v>
      </c>
      <c r="H76" s="336">
        <f t="shared" si="11"/>
        <v>1</v>
      </c>
      <c r="I76" s="617">
        <f t="shared" si="20"/>
        <v>22159379.723469127</v>
      </c>
      <c r="J76" s="617"/>
      <c r="K76" s="322">
        <f>'[4]Gross Plant'!$C156</f>
        <v>16540694.493946152</v>
      </c>
      <c r="L76" s="336">
        <f t="shared" si="19"/>
        <v>1</v>
      </c>
      <c r="M76" s="336">
        <f t="shared" si="19"/>
        <v>1</v>
      </c>
      <c r="N76" s="617">
        <f t="shared" si="21"/>
        <v>16540694.493946152</v>
      </c>
    </row>
    <row r="77" spans="1:17">
      <c r="A77" s="209">
        <f t="shared" si="1"/>
        <v>63</v>
      </c>
      <c r="B77" s="1039">
        <v>37900</v>
      </c>
      <c r="C77" s="233" t="s">
        <v>1190</v>
      </c>
      <c r="D77" s="322">
        <f>'[4]Gross Plant'!$Q157</f>
        <v>4601451.8024354111</v>
      </c>
      <c r="E77" s="617">
        <v>0</v>
      </c>
      <c r="F77" s="617">
        <f t="shared" si="22"/>
        <v>4601451.8024354111</v>
      </c>
      <c r="G77" s="336">
        <f t="shared" si="11"/>
        <v>1</v>
      </c>
      <c r="H77" s="336">
        <f t="shared" si="11"/>
        <v>1</v>
      </c>
      <c r="I77" s="617">
        <f t="shared" si="20"/>
        <v>4601451.8024354111</v>
      </c>
      <c r="J77" s="617"/>
      <c r="K77" s="322">
        <f>'[4]Gross Plant'!$C157</f>
        <v>4224413.7376294434</v>
      </c>
      <c r="L77" s="336">
        <f t="shared" si="19"/>
        <v>1</v>
      </c>
      <c r="M77" s="336">
        <f t="shared" si="19"/>
        <v>1</v>
      </c>
      <c r="N77" s="617">
        <f t="shared" si="21"/>
        <v>4224413.7376294434</v>
      </c>
    </row>
    <row r="78" spans="1:17">
      <c r="A78" s="209">
        <f t="shared" si="1"/>
        <v>64</v>
      </c>
      <c r="B78" s="1039">
        <v>37905</v>
      </c>
      <c r="C78" s="233" t="s">
        <v>725</v>
      </c>
      <c r="D78" s="322">
        <f>'[4]Gross Plant'!$Q158</f>
        <v>1652258.54</v>
      </c>
      <c r="E78" s="617">
        <v>0</v>
      </c>
      <c r="F78" s="617">
        <f t="shared" si="22"/>
        <v>1652258.54</v>
      </c>
      <c r="G78" s="336">
        <f t="shared" si="11"/>
        <v>1</v>
      </c>
      <c r="H78" s="336">
        <f t="shared" si="11"/>
        <v>1</v>
      </c>
      <c r="I78" s="617">
        <f t="shared" si="20"/>
        <v>1652258.54</v>
      </c>
      <c r="J78" s="617"/>
      <c r="K78" s="322">
        <f>'[4]Gross Plant'!$C158</f>
        <v>1652346.4192307689</v>
      </c>
      <c r="L78" s="336">
        <f t="shared" si="19"/>
        <v>1</v>
      </c>
      <c r="M78" s="336">
        <f t="shared" si="19"/>
        <v>1</v>
      </c>
      <c r="N78" s="617">
        <f t="shared" si="21"/>
        <v>1652346.4192307689</v>
      </c>
    </row>
    <row r="79" spans="1:17">
      <c r="A79" s="209">
        <f t="shared" si="1"/>
        <v>65</v>
      </c>
      <c r="B79" s="1039">
        <v>38000</v>
      </c>
      <c r="C79" s="233" t="s">
        <v>1052</v>
      </c>
      <c r="D79" s="322">
        <f>'[4]Gross Plant'!$Q159</f>
        <v>137018700.63905647</v>
      </c>
      <c r="E79" s="617">
        <v>0</v>
      </c>
      <c r="F79" s="617">
        <f t="shared" si="22"/>
        <v>137018700.63905647</v>
      </c>
      <c r="G79" s="336">
        <f t="shared" si="11"/>
        <v>1</v>
      </c>
      <c r="H79" s="336">
        <f t="shared" si="11"/>
        <v>1</v>
      </c>
      <c r="I79" s="617">
        <f t="shared" si="20"/>
        <v>137018700.63905647</v>
      </c>
      <c r="J79" s="617"/>
      <c r="K79" s="322">
        <f>'[4]Gross Plant'!$C159</f>
        <v>126928868.93019865</v>
      </c>
      <c r="L79" s="336">
        <f t="shared" si="19"/>
        <v>1</v>
      </c>
      <c r="M79" s="336">
        <f t="shared" si="19"/>
        <v>1</v>
      </c>
      <c r="N79" s="617">
        <f t="shared" si="21"/>
        <v>126928868.93019865</v>
      </c>
    </row>
    <row r="80" spans="1:17">
      <c r="A80" s="209">
        <f t="shared" si="1"/>
        <v>66</v>
      </c>
      <c r="B80" s="1039">
        <v>38100</v>
      </c>
      <c r="C80" s="233" t="s">
        <v>846</v>
      </c>
      <c r="D80" s="322">
        <f>'[4]Gross Plant'!$Q160</f>
        <v>35740648.017575681</v>
      </c>
      <c r="E80" s="617">
        <v>0</v>
      </c>
      <c r="F80" s="617">
        <f t="shared" si="22"/>
        <v>35740648.017575681</v>
      </c>
      <c r="G80" s="336">
        <f t="shared" ref="G80:H113" si="25">$G$16</f>
        <v>1</v>
      </c>
      <c r="H80" s="336">
        <f t="shared" si="25"/>
        <v>1</v>
      </c>
      <c r="I80" s="617">
        <f t="shared" si="20"/>
        <v>35740648.017575681</v>
      </c>
      <c r="J80" s="617"/>
      <c r="K80" s="322">
        <f>'[4]Gross Plant'!$C160</f>
        <v>33508205.890126877</v>
      </c>
      <c r="L80" s="336">
        <f t="shared" si="19"/>
        <v>1</v>
      </c>
      <c r="M80" s="336">
        <f t="shared" si="19"/>
        <v>1</v>
      </c>
      <c r="N80" s="617">
        <f t="shared" si="21"/>
        <v>33508205.890126877</v>
      </c>
    </row>
    <row r="81" spans="1:15">
      <c r="A81" s="209">
        <f t="shared" si="1"/>
        <v>67</v>
      </c>
      <c r="B81" s="1039">
        <v>38200</v>
      </c>
      <c r="C81" s="233" t="s">
        <v>442</v>
      </c>
      <c r="D81" s="322">
        <f>'[4]Gross Plant'!$Q161</f>
        <v>56336114.818042867</v>
      </c>
      <c r="E81" s="617">
        <v>0</v>
      </c>
      <c r="F81" s="617">
        <f t="shared" si="22"/>
        <v>56336114.818042867</v>
      </c>
      <c r="G81" s="336">
        <f t="shared" si="25"/>
        <v>1</v>
      </c>
      <c r="H81" s="336">
        <f t="shared" si="25"/>
        <v>1</v>
      </c>
      <c r="I81" s="617">
        <f t="shared" si="20"/>
        <v>56336114.818042867</v>
      </c>
      <c r="J81" s="617"/>
      <c r="K81" s="322">
        <f>'[4]Gross Plant'!$C161</f>
        <v>55805624.046686217</v>
      </c>
      <c r="L81" s="336">
        <f t="shared" si="19"/>
        <v>1</v>
      </c>
      <c r="M81" s="336">
        <f t="shared" si="19"/>
        <v>1</v>
      </c>
      <c r="N81" s="617">
        <f t="shared" si="21"/>
        <v>55805624.046686217</v>
      </c>
    </row>
    <row r="82" spans="1:15">
      <c r="A82" s="209">
        <f t="shared" si="1"/>
        <v>68</v>
      </c>
      <c r="B82" s="1039">
        <v>38300</v>
      </c>
      <c r="C82" s="233" t="s">
        <v>1053</v>
      </c>
      <c r="D82" s="322">
        <f>'[4]Gross Plant'!$Q162</f>
        <v>11948457.144383727</v>
      </c>
      <c r="E82" s="617">
        <v>0</v>
      </c>
      <c r="F82" s="617">
        <f t="shared" si="22"/>
        <v>11948457.144383727</v>
      </c>
      <c r="G82" s="336">
        <f t="shared" si="25"/>
        <v>1</v>
      </c>
      <c r="H82" s="336">
        <f t="shared" si="25"/>
        <v>1</v>
      </c>
      <c r="I82" s="617">
        <f t="shared" si="20"/>
        <v>11948457.144383727</v>
      </c>
      <c r="J82" s="617"/>
      <c r="K82" s="322">
        <f>'[4]Gross Plant'!$C162</f>
        <v>11332650.894221278</v>
      </c>
      <c r="L82" s="336">
        <f t="shared" si="19"/>
        <v>1</v>
      </c>
      <c r="M82" s="336">
        <f t="shared" si="19"/>
        <v>1</v>
      </c>
      <c r="N82" s="617">
        <f t="shared" si="21"/>
        <v>11332650.894221278</v>
      </c>
    </row>
    <row r="83" spans="1:15">
      <c r="A83" s="209">
        <f t="shared" si="1"/>
        <v>69</v>
      </c>
      <c r="B83" s="1039">
        <v>38400</v>
      </c>
      <c r="C83" s="233" t="s">
        <v>443</v>
      </c>
      <c r="D83" s="322">
        <f>'[4]Gross Plant'!$Q163</f>
        <v>231142.01423883261</v>
      </c>
      <c r="E83" s="617">
        <v>0</v>
      </c>
      <c r="F83" s="617">
        <f t="shared" si="22"/>
        <v>231142.01423883261</v>
      </c>
      <c r="G83" s="336">
        <f t="shared" si="25"/>
        <v>1</v>
      </c>
      <c r="H83" s="336">
        <f t="shared" si="25"/>
        <v>1</v>
      </c>
      <c r="I83" s="617">
        <f t="shared" si="20"/>
        <v>231142.01423883261</v>
      </c>
      <c r="J83" s="617"/>
      <c r="K83" s="322">
        <f>'[4]Gross Plant'!$C163</f>
        <v>215697.33967440657</v>
      </c>
      <c r="L83" s="336">
        <f t="shared" si="19"/>
        <v>1</v>
      </c>
      <c r="M83" s="336">
        <f t="shared" si="19"/>
        <v>1</v>
      </c>
      <c r="N83" s="617">
        <f t="shared" si="21"/>
        <v>215697.33967440657</v>
      </c>
    </row>
    <row r="84" spans="1:15">
      <c r="A84" s="209">
        <f t="shared" ref="A84:A147" si="26">A83+1</f>
        <v>70</v>
      </c>
      <c r="B84" s="1039">
        <v>38500</v>
      </c>
      <c r="C84" s="233" t="s">
        <v>444</v>
      </c>
      <c r="D84" s="322">
        <f>'[4]Gross Plant'!$Q164</f>
        <v>5211144.54353585</v>
      </c>
      <c r="E84" s="617">
        <v>0</v>
      </c>
      <c r="F84" s="617">
        <f t="shared" si="22"/>
        <v>5211144.54353585</v>
      </c>
      <c r="G84" s="336">
        <f t="shared" si="25"/>
        <v>1</v>
      </c>
      <c r="H84" s="336">
        <f t="shared" si="25"/>
        <v>1</v>
      </c>
      <c r="I84" s="617">
        <f t="shared" si="20"/>
        <v>5211144.54353585</v>
      </c>
      <c r="J84" s="617"/>
      <c r="K84" s="322">
        <f>'[4]Gross Plant'!$C164</f>
        <v>5190260.2988984548</v>
      </c>
      <c r="L84" s="336">
        <f t="shared" si="19"/>
        <v>1</v>
      </c>
      <c r="M84" s="336">
        <f t="shared" si="19"/>
        <v>1</v>
      </c>
      <c r="N84" s="617">
        <f t="shared" si="21"/>
        <v>5190260.2988984548</v>
      </c>
    </row>
    <row r="85" spans="1:15">
      <c r="A85" s="209">
        <f t="shared" si="26"/>
        <v>71</v>
      </c>
      <c r="B85" s="1048"/>
      <c r="C85" s="233"/>
      <c r="D85" s="619"/>
      <c r="E85" s="619"/>
      <c r="F85" s="619"/>
      <c r="G85" s="336"/>
      <c r="H85" s="336"/>
      <c r="I85" s="619"/>
      <c r="K85" s="724"/>
      <c r="N85" s="619"/>
    </row>
    <row r="86" spans="1:15">
      <c r="A86" s="209">
        <f t="shared" si="26"/>
        <v>72</v>
      </c>
      <c r="B86" s="1048"/>
      <c r="C86" s="233" t="s">
        <v>300</v>
      </c>
      <c r="D86" s="360">
        <f>SUM(D63:D85)</f>
        <v>583188126.48779976</v>
      </c>
      <c r="E86" s="360">
        <f>SUM(E63:E85)</f>
        <v>0</v>
      </c>
      <c r="F86" s="360">
        <f>SUM(F63:F85)</f>
        <v>583188126.48779976</v>
      </c>
      <c r="G86" s="336"/>
      <c r="H86" s="336"/>
      <c r="I86" s="360">
        <f>SUM(I63:I85)</f>
        <v>583188126.48779976</v>
      </c>
      <c r="K86" s="360">
        <f>SUM(K63:K85)</f>
        <v>544906436.29177606</v>
      </c>
      <c r="N86" s="360">
        <f>SUM(N63:N85)</f>
        <v>544906436.29177606</v>
      </c>
      <c r="O86" s="671"/>
    </row>
    <row r="87" spans="1:15">
      <c r="A87" s="209">
        <f t="shared" si="26"/>
        <v>73</v>
      </c>
      <c r="B87" s="1048"/>
      <c r="C87" s="233"/>
      <c r="G87" s="336"/>
      <c r="H87" s="336"/>
      <c r="K87" s="360"/>
    </row>
    <row r="88" spans="1:15">
      <c r="A88" s="209">
        <f t="shared" si="26"/>
        <v>74</v>
      </c>
      <c r="B88" s="1048"/>
      <c r="C88" s="620" t="s">
        <v>1169</v>
      </c>
      <c r="G88" s="336"/>
      <c r="H88" s="336"/>
      <c r="K88" s="360"/>
    </row>
    <row r="89" spans="1:15">
      <c r="A89" s="209">
        <f t="shared" si="26"/>
        <v>75</v>
      </c>
      <c r="B89" s="1039">
        <v>38900</v>
      </c>
      <c r="C89" s="233" t="s">
        <v>1147</v>
      </c>
      <c r="D89" s="322">
        <f>'[4]Gross Plant'!$Q165</f>
        <v>1211697.3</v>
      </c>
      <c r="E89" s="459">
        <v>0</v>
      </c>
      <c r="F89" s="360">
        <f t="shared" ref="F89:F113" si="27">D89+E89</f>
        <v>1211697.3</v>
      </c>
      <c r="G89" s="336">
        <f t="shared" si="25"/>
        <v>1</v>
      </c>
      <c r="H89" s="336">
        <f t="shared" si="25"/>
        <v>1</v>
      </c>
      <c r="I89" s="360">
        <f>F89*G89*H89</f>
        <v>1211697.3</v>
      </c>
      <c r="K89" s="322">
        <f>'[4]Gross Plant'!$C165</f>
        <v>1211697.3000000003</v>
      </c>
      <c r="L89" s="336">
        <f t="shared" ref="L89:M113" si="28">$G$16</f>
        <v>1</v>
      </c>
      <c r="M89" s="336">
        <f t="shared" si="28"/>
        <v>1</v>
      </c>
      <c r="N89" s="360">
        <f>K89*L89*M89</f>
        <v>1211697.3000000003</v>
      </c>
    </row>
    <row r="90" spans="1:15">
      <c r="A90" s="209">
        <f t="shared" si="26"/>
        <v>76</v>
      </c>
      <c r="B90" s="1039">
        <v>39000</v>
      </c>
      <c r="C90" s="233" t="s">
        <v>856</v>
      </c>
      <c r="D90" s="322">
        <f>'[4]Gross Plant'!$Q166</f>
        <v>7424787.0812110454</v>
      </c>
      <c r="E90" s="617">
        <v>0</v>
      </c>
      <c r="F90" s="617">
        <f>D90+E90</f>
        <v>7424787.0812110454</v>
      </c>
      <c r="G90" s="336">
        <f t="shared" si="25"/>
        <v>1</v>
      </c>
      <c r="H90" s="336">
        <f t="shared" si="25"/>
        <v>1</v>
      </c>
      <c r="I90" s="617">
        <f t="shared" ref="I90:I113" si="29">F90*G90*H90</f>
        <v>7424787.0812110454</v>
      </c>
      <c r="K90" s="322">
        <f>'[4]Gross Plant'!$C166</f>
        <v>7286004.8951945845</v>
      </c>
      <c r="L90" s="336">
        <f t="shared" si="28"/>
        <v>1</v>
      </c>
      <c r="M90" s="336">
        <f t="shared" si="28"/>
        <v>1</v>
      </c>
      <c r="N90" s="617">
        <f t="shared" ref="N90:N113" si="30">K90*L90*M90</f>
        <v>7286004.8951945845</v>
      </c>
    </row>
    <row r="91" spans="1:15">
      <c r="A91" s="209">
        <f t="shared" si="26"/>
        <v>77</v>
      </c>
      <c r="B91" s="1039">
        <v>39002</v>
      </c>
      <c r="C91" s="233" t="s">
        <v>747</v>
      </c>
      <c r="D91" s="322">
        <f>'[4]Gross Plant'!$Q167</f>
        <v>173114.85</v>
      </c>
      <c r="E91" s="617">
        <v>0</v>
      </c>
      <c r="F91" s="617">
        <f t="shared" si="27"/>
        <v>173114.85</v>
      </c>
      <c r="G91" s="336">
        <f t="shared" si="25"/>
        <v>1</v>
      </c>
      <c r="H91" s="336">
        <f t="shared" si="25"/>
        <v>1</v>
      </c>
      <c r="I91" s="617">
        <f t="shared" si="29"/>
        <v>173114.85</v>
      </c>
      <c r="K91" s="322">
        <f>'[4]Gross Plant'!$C167</f>
        <v>173114.85000000003</v>
      </c>
      <c r="L91" s="336">
        <f t="shared" si="28"/>
        <v>1</v>
      </c>
      <c r="M91" s="336">
        <f t="shared" si="28"/>
        <v>1</v>
      </c>
      <c r="N91" s="617">
        <f t="shared" si="30"/>
        <v>173114.85000000003</v>
      </c>
    </row>
    <row r="92" spans="1:15">
      <c r="A92" s="209">
        <f t="shared" si="26"/>
        <v>78</v>
      </c>
      <c r="B92" s="1039">
        <v>39003</v>
      </c>
      <c r="C92" s="233" t="s">
        <v>998</v>
      </c>
      <c r="D92" s="322">
        <f>'[4]Gross Plant'!$Q168</f>
        <v>709199.18</v>
      </c>
      <c r="E92" s="617">
        <v>0</v>
      </c>
      <c r="F92" s="617">
        <f t="shared" si="27"/>
        <v>709199.18</v>
      </c>
      <c r="G92" s="336">
        <f t="shared" si="25"/>
        <v>1</v>
      </c>
      <c r="H92" s="336">
        <f t="shared" si="25"/>
        <v>1</v>
      </c>
      <c r="I92" s="617">
        <f t="shared" si="29"/>
        <v>709199.18</v>
      </c>
      <c r="K92" s="322">
        <f>'[4]Gross Plant'!$C168</f>
        <v>709199.17999999982</v>
      </c>
      <c r="L92" s="336">
        <f t="shared" si="28"/>
        <v>1</v>
      </c>
      <c r="M92" s="336">
        <f t="shared" si="28"/>
        <v>1</v>
      </c>
      <c r="N92" s="617">
        <f t="shared" si="30"/>
        <v>709199.17999999982</v>
      </c>
    </row>
    <row r="93" spans="1:15">
      <c r="A93" s="209">
        <f t="shared" si="26"/>
        <v>79</v>
      </c>
      <c r="B93" s="1039">
        <v>39004</v>
      </c>
      <c r="C93" s="233" t="s">
        <v>445</v>
      </c>
      <c r="D93" s="322">
        <f>'[4]Gross Plant'!$Q169</f>
        <v>12954.74</v>
      </c>
      <c r="E93" s="617">
        <v>0</v>
      </c>
      <c r="F93" s="617">
        <f t="shared" si="27"/>
        <v>12954.74</v>
      </c>
      <c r="G93" s="336">
        <f t="shared" si="25"/>
        <v>1</v>
      </c>
      <c r="H93" s="336">
        <f t="shared" si="25"/>
        <v>1</v>
      </c>
      <c r="I93" s="617">
        <f t="shared" si="29"/>
        <v>12954.74</v>
      </c>
      <c r="K93" s="322">
        <f>'[4]Gross Plant'!$C169</f>
        <v>12954.74</v>
      </c>
      <c r="L93" s="336">
        <f t="shared" si="28"/>
        <v>1</v>
      </c>
      <c r="M93" s="336">
        <f t="shared" si="28"/>
        <v>1</v>
      </c>
      <c r="N93" s="617">
        <f t="shared" si="30"/>
        <v>12954.74</v>
      </c>
    </row>
    <row r="94" spans="1:15">
      <c r="A94" s="209">
        <f t="shared" si="26"/>
        <v>80</v>
      </c>
      <c r="B94" s="1039">
        <v>39009</v>
      </c>
      <c r="C94" s="233" t="s">
        <v>1036</v>
      </c>
      <c r="D94" s="322">
        <f>'[4]Gross Plant'!$Q170</f>
        <v>1246194.18</v>
      </c>
      <c r="E94" s="617">
        <v>0</v>
      </c>
      <c r="F94" s="617">
        <f t="shared" si="27"/>
        <v>1246194.18</v>
      </c>
      <c r="G94" s="336">
        <f t="shared" si="25"/>
        <v>1</v>
      </c>
      <c r="H94" s="336">
        <f t="shared" si="25"/>
        <v>1</v>
      </c>
      <c r="I94" s="617">
        <f t="shared" si="29"/>
        <v>1246194.18</v>
      </c>
      <c r="K94" s="322">
        <f>'[4]Gross Plant'!$C170</f>
        <v>1246194.18</v>
      </c>
      <c r="L94" s="336">
        <f t="shared" si="28"/>
        <v>1</v>
      </c>
      <c r="M94" s="336">
        <f t="shared" si="28"/>
        <v>1</v>
      </c>
      <c r="N94" s="617">
        <f t="shared" si="30"/>
        <v>1246194.18</v>
      </c>
    </row>
    <row r="95" spans="1:15">
      <c r="A95" s="209">
        <f t="shared" si="26"/>
        <v>81</v>
      </c>
      <c r="B95" s="1039">
        <v>39100</v>
      </c>
      <c r="C95" s="233" t="s">
        <v>779</v>
      </c>
      <c r="D95" s="322">
        <f>'[4]Gross Plant'!$Q171</f>
        <v>1814260.0593697759</v>
      </c>
      <c r="E95" s="617">
        <v>0</v>
      </c>
      <c r="F95" s="617">
        <f t="shared" si="27"/>
        <v>1814260.0593697759</v>
      </c>
      <c r="G95" s="336">
        <f t="shared" si="25"/>
        <v>1</v>
      </c>
      <c r="H95" s="336">
        <f t="shared" si="25"/>
        <v>1</v>
      </c>
      <c r="I95" s="617">
        <f t="shared" si="29"/>
        <v>1814260.0593697759</v>
      </c>
      <c r="K95" s="322">
        <f>'[4]Gross Plant'!$C171</f>
        <v>1773499.8202726641</v>
      </c>
      <c r="L95" s="336">
        <f t="shared" si="28"/>
        <v>1</v>
      </c>
      <c r="M95" s="336">
        <f t="shared" si="28"/>
        <v>1</v>
      </c>
      <c r="N95" s="617">
        <f t="shared" si="30"/>
        <v>1773499.8202726641</v>
      </c>
    </row>
    <row r="96" spans="1:15">
      <c r="A96" s="209">
        <f t="shared" si="26"/>
        <v>82</v>
      </c>
      <c r="B96" s="1039">
        <v>39103</v>
      </c>
      <c r="C96" s="80" t="s">
        <v>780</v>
      </c>
      <c r="D96" s="322">
        <f>'[4]Gross Plant'!$Q172</f>
        <v>0</v>
      </c>
      <c r="E96" s="617">
        <v>0</v>
      </c>
      <c r="F96" s="617">
        <f t="shared" si="27"/>
        <v>0</v>
      </c>
      <c r="G96" s="336">
        <f t="shared" si="25"/>
        <v>1</v>
      </c>
      <c r="H96" s="336">
        <f t="shared" si="25"/>
        <v>1</v>
      </c>
      <c r="I96" s="617">
        <f t="shared" si="29"/>
        <v>0</v>
      </c>
      <c r="K96" s="322">
        <f>'[4]Gross Plant'!$C172</f>
        <v>0</v>
      </c>
      <c r="L96" s="336">
        <f t="shared" si="28"/>
        <v>1</v>
      </c>
      <c r="M96" s="336">
        <f t="shared" si="28"/>
        <v>1</v>
      </c>
      <c r="N96" s="617">
        <f t="shared" si="30"/>
        <v>0</v>
      </c>
    </row>
    <row r="97" spans="1:14">
      <c r="A97" s="209">
        <f t="shared" si="26"/>
        <v>83</v>
      </c>
      <c r="B97" s="1039">
        <v>39200</v>
      </c>
      <c r="C97" s="233" t="s">
        <v>1076</v>
      </c>
      <c r="D97" s="322">
        <f>'[4]Gross Plant'!$Q173</f>
        <v>220986.9</v>
      </c>
      <c r="E97" s="617">
        <v>0</v>
      </c>
      <c r="F97" s="617">
        <f t="shared" si="27"/>
        <v>220986.9</v>
      </c>
      <c r="G97" s="336">
        <f t="shared" si="25"/>
        <v>1</v>
      </c>
      <c r="H97" s="336">
        <f t="shared" si="25"/>
        <v>1</v>
      </c>
      <c r="I97" s="617">
        <f t="shared" si="29"/>
        <v>220986.9</v>
      </c>
      <c r="K97" s="322">
        <f>'[4]Gross Plant'!$C173</f>
        <v>220986.89999999994</v>
      </c>
      <c r="L97" s="336">
        <f t="shared" si="28"/>
        <v>1</v>
      </c>
      <c r="M97" s="336">
        <f t="shared" si="28"/>
        <v>1</v>
      </c>
      <c r="N97" s="617">
        <f t="shared" si="30"/>
        <v>220986.89999999994</v>
      </c>
    </row>
    <row r="98" spans="1:14">
      <c r="A98" s="209">
        <f t="shared" si="26"/>
        <v>84</v>
      </c>
      <c r="B98" s="1039">
        <v>39202</v>
      </c>
      <c r="C98" s="233" t="s">
        <v>86</v>
      </c>
      <c r="D98" s="322">
        <f>'[4]Gross Plant'!$Q174</f>
        <v>0</v>
      </c>
      <c r="E98" s="617">
        <v>0</v>
      </c>
      <c r="F98" s="617">
        <f t="shared" si="27"/>
        <v>0</v>
      </c>
      <c r="G98" s="336">
        <f t="shared" si="25"/>
        <v>1</v>
      </c>
      <c r="H98" s="336">
        <f t="shared" si="25"/>
        <v>1</v>
      </c>
      <c r="I98" s="617">
        <f t="shared" si="29"/>
        <v>0</v>
      </c>
      <c r="K98" s="322">
        <f>'[4]Gross Plant'!$C174</f>
        <v>0</v>
      </c>
      <c r="L98" s="336">
        <f t="shared" si="28"/>
        <v>1</v>
      </c>
      <c r="M98" s="336">
        <f t="shared" si="28"/>
        <v>1</v>
      </c>
      <c r="N98" s="617">
        <f t="shared" si="30"/>
        <v>0</v>
      </c>
    </row>
    <row r="99" spans="1:14">
      <c r="A99" s="209">
        <f t="shared" si="26"/>
        <v>85</v>
      </c>
      <c r="B99" s="1039">
        <v>39400</v>
      </c>
      <c r="C99" s="233" t="s">
        <v>1035</v>
      </c>
      <c r="D99" s="322">
        <f>'[4]Gross Plant'!$Q175</f>
        <v>3714891.624479665</v>
      </c>
      <c r="E99" s="617">
        <v>0</v>
      </c>
      <c r="F99" s="617">
        <f t="shared" si="27"/>
        <v>3714891.624479665</v>
      </c>
      <c r="G99" s="336">
        <f t="shared" si="25"/>
        <v>1</v>
      </c>
      <c r="H99" s="336">
        <f t="shared" si="25"/>
        <v>1</v>
      </c>
      <c r="I99" s="617">
        <f t="shared" si="29"/>
        <v>3714891.624479665</v>
      </c>
      <c r="K99" s="322">
        <f>'[4]Gross Plant'!$C175</f>
        <v>3450078.5752009922</v>
      </c>
      <c r="L99" s="336">
        <f t="shared" si="28"/>
        <v>1</v>
      </c>
      <c r="M99" s="336">
        <f t="shared" si="28"/>
        <v>1</v>
      </c>
      <c r="N99" s="617">
        <f t="shared" si="30"/>
        <v>3450078.5752009922</v>
      </c>
    </row>
    <row r="100" spans="1:14">
      <c r="A100" s="209">
        <f t="shared" si="26"/>
        <v>86</v>
      </c>
      <c r="B100" s="1039">
        <v>39603</v>
      </c>
      <c r="C100" s="233" t="s">
        <v>87</v>
      </c>
      <c r="D100" s="322">
        <f>'[4]Gross Plant'!$Q176</f>
        <v>39610.080000000002</v>
      </c>
      <c r="E100" s="617">
        <v>0</v>
      </c>
      <c r="F100" s="617">
        <f t="shared" si="27"/>
        <v>39610.080000000002</v>
      </c>
      <c r="G100" s="336">
        <f t="shared" si="25"/>
        <v>1</v>
      </c>
      <c r="H100" s="336">
        <f t="shared" si="25"/>
        <v>1</v>
      </c>
      <c r="I100" s="617">
        <f t="shared" si="29"/>
        <v>39610.080000000002</v>
      </c>
      <c r="K100" s="322">
        <f>'[4]Gross Plant'!$C176</f>
        <v>39610.080000000009</v>
      </c>
      <c r="L100" s="336">
        <f t="shared" si="28"/>
        <v>1</v>
      </c>
      <c r="M100" s="336">
        <f t="shared" si="28"/>
        <v>1</v>
      </c>
      <c r="N100" s="617">
        <f t="shared" si="30"/>
        <v>39610.080000000009</v>
      </c>
    </row>
    <row r="101" spans="1:14">
      <c r="A101" s="209">
        <f t="shared" si="26"/>
        <v>87</v>
      </c>
      <c r="B101" s="1039">
        <v>39604</v>
      </c>
      <c r="C101" s="233" t="s">
        <v>88</v>
      </c>
      <c r="D101" s="322">
        <f>'[4]Gross Plant'!$Q177</f>
        <v>62747.29</v>
      </c>
      <c r="E101" s="617">
        <v>0</v>
      </c>
      <c r="F101" s="617">
        <f t="shared" si="27"/>
        <v>62747.29</v>
      </c>
      <c r="G101" s="336">
        <f t="shared" si="25"/>
        <v>1</v>
      </c>
      <c r="H101" s="336">
        <f t="shared" si="25"/>
        <v>1</v>
      </c>
      <c r="I101" s="617">
        <f t="shared" si="29"/>
        <v>62747.29</v>
      </c>
      <c r="K101" s="322">
        <f>'[4]Gross Plant'!$C177</f>
        <v>62747.290000000008</v>
      </c>
      <c r="L101" s="336">
        <f t="shared" si="28"/>
        <v>1</v>
      </c>
      <c r="M101" s="336">
        <f t="shared" si="28"/>
        <v>1</v>
      </c>
      <c r="N101" s="617">
        <f t="shared" si="30"/>
        <v>62747.290000000008</v>
      </c>
    </row>
    <row r="102" spans="1:14">
      <c r="A102" s="209">
        <f t="shared" si="26"/>
        <v>88</v>
      </c>
      <c r="B102" s="1039">
        <v>39605</v>
      </c>
      <c r="C102" s="195" t="s">
        <v>89</v>
      </c>
      <c r="D102" s="322">
        <f>'[4]Gross Plant'!$Q178</f>
        <v>19427.23</v>
      </c>
      <c r="E102" s="617">
        <v>0</v>
      </c>
      <c r="F102" s="617">
        <f t="shared" si="27"/>
        <v>19427.23</v>
      </c>
      <c r="G102" s="336">
        <f t="shared" si="25"/>
        <v>1</v>
      </c>
      <c r="H102" s="336">
        <f t="shared" si="25"/>
        <v>1</v>
      </c>
      <c r="I102" s="617">
        <f t="shared" si="29"/>
        <v>19427.23</v>
      </c>
      <c r="K102" s="322">
        <f>'[4]Gross Plant'!$C178</f>
        <v>19427.230000000003</v>
      </c>
      <c r="L102" s="336">
        <f t="shared" si="28"/>
        <v>1</v>
      </c>
      <c r="M102" s="336">
        <f t="shared" si="28"/>
        <v>1</v>
      </c>
      <c r="N102" s="617">
        <f t="shared" si="30"/>
        <v>19427.230000000003</v>
      </c>
    </row>
    <row r="103" spans="1:14">
      <c r="A103" s="209">
        <f t="shared" si="26"/>
        <v>89</v>
      </c>
      <c r="B103" s="1039">
        <v>39700</v>
      </c>
      <c r="C103" s="233" t="s">
        <v>440</v>
      </c>
      <c r="D103" s="322">
        <f>'[4]Gross Plant'!$Q179</f>
        <v>524257.15</v>
      </c>
      <c r="E103" s="617">
        <v>0</v>
      </c>
      <c r="F103" s="617">
        <f t="shared" si="27"/>
        <v>524257.15</v>
      </c>
      <c r="G103" s="336">
        <f t="shared" si="25"/>
        <v>1</v>
      </c>
      <c r="H103" s="336">
        <f t="shared" si="25"/>
        <v>1</v>
      </c>
      <c r="I103" s="617">
        <f t="shared" si="29"/>
        <v>524257.15</v>
      </c>
      <c r="K103" s="322">
        <f>'[4]Gross Plant'!$C179</f>
        <v>524257.15000000008</v>
      </c>
      <c r="L103" s="336">
        <f t="shared" si="28"/>
        <v>1</v>
      </c>
      <c r="M103" s="336">
        <f t="shared" si="28"/>
        <v>1</v>
      </c>
      <c r="N103" s="617">
        <f t="shared" si="30"/>
        <v>524257.15000000008</v>
      </c>
    </row>
    <row r="104" spans="1:14">
      <c r="A104" s="209">
        <f t="shared" si="26"/>
        <v>90</v>
      </c>
      <c r="B104" s="1039">
        <v>39701</v>
      </c>
      <c r="C104" s="80" t="s">
        <v>1499</v>
      </c>
      <c r="D104" s="322">
        <f>'[4]Gross Plant'!$Q180</f>
        <v>0</v>
      </c>
      <c r="E104" s="617">
        <v>0</v>
      </c>
      <c r="F104" s="617">
        <f t="shared" si="27"/>
        <v>0</v>
      </c>
      <c r="G104" s="336">
        <f t="shared" si="25"/>
        <v>1</v>
      </c>
      <c r="H104" s="336">
        <f t="shared" si="25"/>
        <v>1</v>
      </c>
      <c r="I104" s="617">
        <f t="shared" si="29"/>
        <v>0</v>
      </c>
      <c r="K104" s="322">
        <f>'[4]Gross Plant'!$C180</f>
        <v>0</v>
      </c>
      <c r="L104" s="336">
        <f t="shared" si="28"/>
        <v>1</v>
      </c>
      <c r="M104" s="336">
        <f t="shared" si="28"/>
        <v>1</v>
      </c>
      <c r="N104" s="617">
        <f t="shared" si="30"/>
        <v>0</v>
      </c>
    </row>
    <row r="105" spans="1:14">
      <c r="A105" s="209">
        <f t="shared" si="26"/>
        <v>91</v>
      </c>
      <c r="B105" s="1039">
        <v>39702</v>
      </c>
      <c r="C105" s="80" t="s">
        <v>1499</v>
      </c>
      <c r="D105" s="322">
        <f>'[4]Gross Plant'!$Q181</f>
        <v>0</v>
      </c>
      <c r="E105" s="617">
        <v>0</v>
      </c>
      <c r="F105" s="617">
        <f t="shared" si="27"/>
        <v>0</v>
      </c>
      <c r="G105" s="336">
        <f t="shared" si="25"/>
        <v>1</v>
      </c>
      <c r="H105" s="336">
        <f t="shared" si="25"/>
        <v>1</v>
      </c>
      <c r="I105" s="617">
        <f t="shared" si="29"/>
        <v>0</v>
      </c>
      <c r="K105" s="322">
        <f>'[4]Gross Plant'!$C181</f>
        <v>0</v>
      </c>
      <c r="L105" s="336">
        <f t="shared" si="28"/>
        <v>1</v>
      </c>
      <c r="M105" s="336">
        <f t="shared" si="28"/>
        <v>1</v>
      </c>
      <c r="N105" s="617">
        <f t="shared" si="30"/>
        <v>0</v>
      </c>
    </row>
    <row r="106" spans="1:14">
      <c r="A106" s="209">
        <f t="shared" si="26"/>
        <v>92</v>
      </c>
      <c r="B106" s="1039">
        <v>39705</v>
      </c>
      <c r="C106" s="233" t="s">
        <v>721</v>
      </c>
      <c r="D106" s="322">
        <f>'[4]Gross Plant'!$Q182</f>
        <v>0</v>
      </c>
      <c r="E106" s="617">
        <v>0</v>
      </c>
      <c r="F106" s="617">
        <f t="shared" si="27"/>
        <v>0</v>
      </c>
      <c r="G106" s="336">
        <f t="shared" si="25"/>
        <v>1</v>
      </c>
      <c r="H106" s="336">
        <f t="shared" si="25"/>
        <v>1</v>
      </c>
      <c r="I106" s="617">
        <f t="shared" si="29"/>
        <v>0</v>
      </c>
      <c r="K106" s="322">
        <f>'[4]Gross Plant'!$C182</f>
        <v>0</v>
      </c>
      <c r="L106" s="336">
        <f t="shared" si="28"/>
        <v>1</v>
      </c>
      <c r="M106" s="336">
        <f t="shared" si="28"/>
        <v>1</v>
      </c>
      <c r="N106" s="617">
        <f t="shared" si="30"/>
        <v>0</v>
      </c>
    </row>
    <row r="107" spans="1:14">
      <c r="A107" s="209">
        <f t="shared" si="26"/>
        <v>93</v>
      </c>
      <c r="B107" s="1039">
        <v>39800</v>
      </c>
      <c r="C107" s="233" t="s">
        <v>650</v>
      </c>
      <c r="D107" s="322">
        <f>'[4]Gross Plant'!$Q183</f>
        <v>3891771.09</v>
      </c>
      <c r="E107" s="617">
        <v>0</v>
      </c>
      <c r="F107" s="617">
        <f t="shared" si="27"/>
        <v>3891771.09</v>
      </c>
      <c r="G107" s="336">
        <f t="shared" si="25"/>
        <v>1</v>
      </c>
      <c r="H107" s="336">
        <f t="shared" si="25"/>
        <v>1</v>
      </c>
      <c r="I107" s="617">
        <f t="shared" si="29"/>
        <v>3891771.09</v>
      </c>
      <c r="K107" s="322">
        <f>'[4]Gross Plant'!$C183</f>
        <v>3892193.5846153852</v>
      </c>
      <c r="L107" s="336">
        <f t="shared" si="28"/>
        <v>1</v>
      </c>
      <c r="M107" s="336">
        <f t="shared" si="28"/>
        <v>1</v>
      </c>
      <c r="N107" s="617">
        <f t="shared" si="30"/>
        <v>3892193.5846153852</v>
      </c>
    </row>
    <row r="108" spans="1:14">
      <c r="A108" s="209">
        <f t="shared" si="26"/>
        <v>94</v>
      </c>
      <c r="B108" s="1039">
        <v>39901</v>
      </c>
      <c r="C108" s="80" t="s">
        <v>1500</v>
      </c>
      <c r="D108" s="322">
        <f>'[4]Gross Plant'!$Q184</f>
        <v>14389.76</v>
      </c>
      <c r="E108" s="617">
        <v>0</v>
      </c>
      <c r="F108" s="617">
        <f t="shared" si="27"/>
        <v>14389.76</v>
      </c>
      <c r="G108" s="336">
        <f t="shared" si="25"/>
        <v>1</v>
      </c>
      <c r="H108" s="336">
        <f t="shared" si="25"/>
        <v>1</v>
      </c>
      <c r="I108" s="617">
        <f t="shared" si="29"/>
        <v>14389.76</v>
      </c>
      <c r="K108" s="322">
        <f>'[4]Gross Plant'!$C184</f>
        <v>14389.76</v>
      </c>
      <c r="L108" s="336">
        <f t="shared" si="28"/>
        <v>1</v>
      </c>
      <c r="M108" s="336">
        <f t="shared" si="28"/>
        <v>1</v>
      </c>
      <c r="N108" s="617">
        <f t="shared" si="30"/>
        <v>14389.76</v>
      </c>
    </row>
    <row r="109" spans="1:14">
      <c r="A109" s="209">
        <f t="shared" si="26"/>
        <v>95</v>
      </c>
      <c r="B109" s="1039">
        <v>39902</v>
      </c>
      <c r="C109" s="80" t="s">
        <v>1501</v>
      </c>
      <c r="D109" s="322">
        <f>'[4]Gross Plant'!$Q185</f>
        <v>0</v>
      </c>
      <c r="E109" s="617">
        <v>0</v>
      </c>
      <c r="F109" s="617">
        <f t="shared" si="27"/>
        <v>0</v>
      </c>
      <c r="G109" s="336">
        <f t="shared" si="25"/>
        <v>1</v>
      </c>
      <c r="H109" s="336">
        <f t="shared" si="25"/>
        <v>1</v>
      </c>
      <c r="I109" s="617">
        <f t="shared" si="29"/>
        <v>0</v>
      </c>
      <c r="K109" s="322">
        <f>'[4]Gross Plant'!$C185</f>
        <v>0</v>
      </c>
      <c r="L109" s="336">
        <f t="shared" si="28"/>
        <v>1</v>
      </c>
      <c r="M109" s="336">
        <f t="shared" si="28"/>
        <v>1</v>
      </c>
      <c r="N109" s="617">
        <f t="shared" si="30"/>
        <v>0</v>
      </c>
    </row>
    <row r="110" spans="1:14">
      <c r="A110" s="209">
        <f t="shared" si="26"/>
        <v>96</v>
      </c>
      <c r="B110" s="1039">
        <v>39903</v>
      </c>
      <c r="C110" s="233" t="s">
        <v>1003</v>
      </c>
      <c r="D110" s="322">
        <f>'[4]Gross Plant'!$Q186</f>
        <v>134598.85999999999</v>
      </c>
      <c r="E110" s="617">
        <v>0</v>
      </c>
      <c r="F110" s="617">
        <f t="shared" si="27"/>
        <v>134598.85999999999</v>
      </c>
      <c r="G110" s="336">
        <f t="shared" si="25"/>
        <v>1</v>
      </c>
      <c r="H110" s="336">
        <f t="shared" si="25"/>
        <v>1</v>
      </c>
      <c r="I110" s="617">
        <f t="shared" si="29"/>
        <v>134598.85999999999</v>
      </c>
      <c r="K110" s="322">
        <f>'[4]Gross Plant'!$C186</f>
        <v>134598.85999999993</v>
      </c>
      <c r="L110" s="336">
        <f t="shared" si="28"/>
        <v>1</v>
      </c>
      <c r="M110" s="336">
        <f t="shared" si="28"/>
        <v>1</v>
      </c>
      <c r="N110" s="617">
        <f t="shared" si="30"/>
        <v>134598.85999999993</v>
      </c>
    </row>
    <row r="111" spans="1:14">
      <c r="A111" s="209">
        <f t="shared" si="26"/>
        <v>97</v>
      </c>
      <c r="B111" s="1039">
        <v>39906</v>
      </c>
      <c r="C111" s="233" t="s">
        <v>451</v>
      </c>
      <c r="D111" s="322">
        <f>'[4]Gross Plant'!$Q187</f>
        <v>730408.60199520155</v>
      </c>
      <c r="E111" s="617">
        <v>0</v>
      </c>
      <c r="F111" s="617">
        <f t="shared" si="27"/>
        <v>730408.60199520155</v>
      </c>
      <c r="G111" s="336">
        <f t="shared" si="25"/>
        <v>1</v>
      </c>
      <c r="H111" s="336">
        <f t="shared" si="25"/>
        <v>1</v>
      </c>
      <c r="I111" s="617">
        <f t="shared" si="29"/>
        <v>730408.60199520155</v>
      </c>
      <c r="K111" s="322">
        <f>'[4]Gross Plant'!$C187</f>
        <v>916125.85007187864</v>
      </c>
      <c r="L111" s="336">
        <f t="shared" si="28"/>
        <v>1</v>
      </c>
      <c r="M111" s="336">
        <f t="shared" si="28"/>
        <v>1</v>
      </c>
      <c r="N111" s="617">
        <f t="shared" si="30"/>
        <v>916125.85007187864</v>
      </c>
    </row>
    <row r="112" spans="1:14">
      <c r="A112" s="209">
        <f t="shared" si="26"/>
        <v>98</v>
      </c>
      <c r="B112" s="1039">
        <v>39907</v>
      </c>
      <c r="C112" s="233" t="s">
        <v>505</v>
      </c>
      <c r="D112" s="322">
        <f>'[4]Gross Plant'!$Q188</f>
        <v>0</v>
      </c>
      <c r="E112" s="617">
        <v>0</v>
      </c>
      <c r="F112" s="617">
        <f t="shared" si="27"/>
        <v>0</v>
      </c>
      <c r="G112" s="336">
        <f t="shared" si="25"/>
        <v>1</v>
      </c>
      <c r="H112" s="336">
        <f t="shared" si="25"/>
        <v>1</v>
      </c>
      <c r="I112" s="617">
        <f t="shared" si="29"/>
        <v>0</v>
      </c>
      <c r="K112" s="322">
        <f>'[4]Gross Plant'!$C188</f>
        <v>0</v>
      </c>
      <c r="L112" s="336">
        <f t="shared" si="28"/>
        <v>1</v>
      </c>
      <c r="M112" s="336">
        <f t="shared" si="28"/>
        <v>1</v>
      </c>
      <c r="N112" s="617">
        <f t="shared" si="30"/>
        <v>0</v>
      </c>
    </row>
    <row r="113" spans="1:18">
      <c r="A113" s="209">
        <f t="shared" si="26"/>
        <v>99</v>
      </c>
      <c r="B113" s="1039">
        <v>39908</v>
      </c>
      <c r="C113" s="233" t="s">
        <v>179</v>
      </c>
      <c r="D113" s="322">
        <f>'[4]Gross Plant'!$Q189</f>
        <v>123514.83</v>
      </c>
      <c r="E113" s="617">
        <v>0</v>
      </c>
      <c r="F113" s="617">
        <f t="shared" si="27"/>
        <v>123514.83</v>
      </c>
      <c r="G113" s="336">
        <f t="shared" si="25"/>
        <v>1</v>
      </c>
      <c r="H113" s="336">
        <f t="shared" si="25"/>
        <v>1</v>
      </c>
      <c r="I113" s="617">
        <f t="shared" si="29"/>
        <v>123514.83</v>
      </c>
      <c r="K113" s="322">
        <f>'[4]Gross Plant'!$C189</f>
        <v>123514.83000000002</v>
      </c>
      <c r="L113" s="336">
        <f t="shared" si="28"/>
        <v>1</v>
      </c>
      <c r="M113" s="336">
        <f t="shared" si="28"/>
        <v>1</v>
      </c>
      <c r="N113" s="617">
        <f t="shared" si="30"/>
        <v>123514.83000000002</v>
      </c>
    </row>
    <row r="114" spans="1:18">
      <c r="A114" s="209">
        <f t="shared" si="26"/>
        <v>100</v>
      </c>
      <c r="B114" s="1048"/>
      <c r="C114" s="233"/>
      <c r="D114" s="619"/>
      <c r="E114" s="619"/>
      <c r="F114" s="619"/>
      <c r="I114" s="619"/>
      <c r="K114" s="724"/>
      <c r="N114" s="619"/>
    </row>
    <row r="115" spans="1:18">
      <c r="A115" s="209">
        <f t="shared" si="26"/>
        <v>101</v>
      </c>
      <c r="B115" s="1048"/>
      <c r="C115" s="233" t="s">
        <v>4</v>
      </c>
      <c r="D115" s="360">
        <f>SUM(D89:D114)</f>
        <v>22068810.807055686</v>
      </c>
      <c r="E115" s="360">
        <f>SUM(E89:E114)</f>
        <v>0</v>
      </c>
      <c r="F115" s="360">
        <f>SUM(F89:F114)</f>
        <v>22068810.807055686</v>
      </c>
      <c r="G115" s="336"/>
      <c r="H115" s="336"/>
      <c r="I115" s="360">
        <f>SUM(I89:I114)</f>
        <v>22068810.807055686</v>
      </c>
      <c r="K115" s="360">
        <f>SUM(K89:K114)</f>
        <v>21810595.075355504</v>
      </c>
      <c r="N115" s="360">
        <f>SUM(N89:N114)</f>
        <v>21810595.075355504</v>
      </c>
    </row>
    <row r="116" spans="1:18">
      <c r="A116" s="209">
        <f t="shared" si="26"/>
        <v>102</v>
      </c>
      <c r="B116" s="1048"/>
      <c r="C116" s="233"/>
      <c r="K116" s="360"/>
    </row>
    <row r="117" spans="1:18" ht="15.75" thickBot="1">
      <c r="A117" s="209">
        <f t="shared" si="26"/>
        <v>103</v>
      </c>
      <c r="B117" s="1048"/>
      <c r="C117" s="233" t="s">
        <v>1320</v>
      </c>
      <c r="D117" s="1010">
        <f>D19+D26+D47+D60+D86+D115</f>
        <v>651860851.25609291</v>
      </c>
      <c r="E117" s="1010">
        <f>E19+E26+E47+E60+E86+E115</f>
        <v>0</v>
      </c>
      <c r="F117" s="1010">
        <f>F19+F26+F47+F60+F86+F115</f>
        <v>651860851.25609291</v>
      </c>
      <c r="I117" s="1010">
        <f>I19+I26+I47+I60+I86+I115</f>
        <v>651860851.25609291</v>
      </c>
      <c r="K117" s="1010">
        <f>K19+K26+K47+K60+K86+K115</f>
        <v>613363951.63560748</v>
      </c>
      <c r="N117" s="1010">
        <f>N19+N26+N47+N60+N86+N115</f>
        <v>613363951.63560748</v>
      </c>
    </row>
    <row r="118" spans="1:18" ht="15.75" thickTop="1">
      <c r="A118" s="209">
        <f t="shared" si="26"/>
        <v>104</v>
      </c>
      <c r="B118" s="1048"/>
      <c r="C118" s="233"/>
      <c r="K118" s="360"/>
    </row>
    <row r="119" spans="1:18">
      <c r="A119" s="209">
        <f t="shared" si="26"/>
        <v>105</v>
      </c>
      <c r="B119" s="1048"/>
      <c r="C119" s="195" t="s">
        <v>749</v>
      </c>
      <c r="D119" s="322">
        <f>'[4]Gross Plant'!$Q$223</f>
        <v>38154808.559999995</v>
      </c>
      <c r="E119" s="322">
        <v>0</v>
      </c>
      <c r="F119" s="322">
        <f>D119+E119</f>
        <v>38154808.559999995</v>
      </c>
      <c r="G119" s="616">
        <f>$G$16</f>
        <v>1</v>
      </c>
      <c r="H119" s="616">
        <f>$G$16</f>
        <v>1</v>
      </c>
      <c r="I119" s="322">
        <f>F119*G119*H119</f>
        <v>38154808.559999995</v>
      </c>
      <c r="K119" s="322">
        <f>'[4]Gross Plant'!$C$223</f>
        <v>35310857.029230766</v>
      </c>
      <c r="L119" s="336">
        <f>$G$16</f>
        <v>1</v>
      </c>
      <c r="M119" s="336">
        <f>$G$16</f>
        <v>1</v>
      </c>
      <c r="N119" s="322">
        <f>K119*L119*M119</f>
        <v>35310857.029230766</v>
      </c>
      <c r="R119" s="424"/>
    </row>
    <row r="120" spans="1:18">
      <c r="A120" s="209">
        <f t="shared" si="26"/>
        <v>106</v>
      </c>
      <c r="B120" s="1048"/>
      <c r="K120" s="360"/>
    </row>
    <row r="121" spans="1:18" ht="15.75">
      <c r="A121" s="209">
        <f t="shared" si="26"/>
        <v>107</v>
      </c>
      <c r="B121" s="1044" t="s">
        <v>7</v>
      </c>
      <c r="K121" s="360"/>
    </row>
    <row r="122" spans="1:18">
      <c r="A122" s="209">
        <f t="shared" si="26"/>
        <v>108</v>
      </c>
      <c r="B122" s="1048"/>
      <c r="K122" s="360"/>
    </row>
    <row r="123" spans="1:18">
      <c r="A123" s="209">
        <f t="shared" si="26"/>
        <v>109</v>
      </c>
      <c r="B123" s="1048"/>
      <c r="C123" s="620" t="s">
        <v>297</v>
      </c>
      <c r="K123" s="360"/>
    </row>
    <row r="124" spans="1:18">
      <c r="A124" s="209">
        <f t="shared" si="26"/>
        <v>110</v>
      </c>
      <c r="B124" s="1047">
        <v>30100</v>
      </c>
      <c r="C124" s="233" t="s">
        <v>291</v>
      </c>
      <c r="D124" s="322">
        <f>'[4]Gross Plant'!$Q84</f>
        <v>185309.27</v>
      </c>
      <c r="E124" s="360">
        <v>0</v>
      </c>
      <c r="F124" s="360">
        <f>D124+E124</f>
        <v>185309.27</v>
      </c>
      <c r="G124" s="336">
        <f>$G$16</f>
        <v>1</v>
      </c>
      <c r="H124" s="324">
        <f>Allocation!$H$17</f>
        <v>0.49780000000000002</v>
      </c>
      <c r="I124" s="360">
        <f>F124*G124*H124</f>
        <v>92246.954605999999</v>
      </c>
      <c r="K124" s="322">
        <f>'[4]Gross Plant'!$C84</f>
        <v>185309.27</v>
      </c>
      <c r="L124" s="336">
        <f t="shared" ref="L124:M125" si="31">G124</f>
        <v>1</v>
      </c>
      <c r="M124" s="324">
        <f t="shared" si="31"/>
        <v>0.49780000000000002</v>
      </c>
      <c r="N124" s="617">
        <f t="shared" ref="N124:N125" si="32">K124*L124*M124</f>
        <v>92246.954605999999</v>
      </c>
      <c r="R124" s="424"/>
    </row>
    <row r="125" spans="1:18">
      <c r="A125" s="209">
        <f t="shared" si="26"/>
        <v>111</v>
      </c>
      <c r="B125" s="1047">
        <v>30300</v>
      </c>
      <c r="C125" s="233" t="s">
        <v>542</v>
      </c>
      <c r="D125" s="322">
        <f>'[4]Gross Plant'!$Q85</f>
        <v>1109551.68</v>
      </c>
      <c r="E125" s="1053">
        <v>0</v>
      </c>
      <c r="F125" s="1053">
        <f>D125+E125</f>
        <v>1109551.68</v>
      </c>
      <c r="G125" s="336">
        <f>$G$16</f>
        <v>1</v>
      </c>
      <c r="H125" s="324">
        <f>$H$124</f>
        <v>0.49780000000000002</v>
      </c>
      <c r="I125" s="1046">
        <f>F125*G125*H125</f>
        <v>552334.82630399999</v>
      </c>
      <c r="K125" s="322">
        <f>'[4]Gross Plant'!$C85</f>
        <v>1109551.68</v>
      </c>
      <c r="L125" s="336">
        <f t="shared" si="31"/>
        <v>1</v>
      </c>
      <c r="M125" s="324">
        <f t="shared" si="31"/>
        <v>0.49780000000000002</v>
      </c>
      <c r="N125" s="617">
        <f t="shared" si="32"/>
        <v>552334.82630399999</v>
      </c>
      <c r="R125" s="424"/>
    </row>
    <row r="126" spans="1:18">
      <c r="A126" s="209">
        <f t="shared" si="26"/>
        <v>112</v>
      </c>
      <c r="B126" s="1048"/>
      <c r="C126" s="233"/>
      <c r="D126" s="619"/>
      <c r="E126" s="619"/>
      <c r="F126" s="619"/>
      <c r="I126" s="619"/>
      <c r="K126" s="724"/>
      <c r="N126" s="619"/>
    </row>
    <row r="127" spans="1:18">
      <c r="A127" s="209">
        <f t="shared" si="26"/>
        <v>113</v>
      </c>
      <c r="B127" s="1048"/>
      <c r="C127" s="233" t="s">
        <v>298</v>
      </c>
      <c r="D127" s="360">
        <f>SUM(D124:D126)</f>
        <v>1294860.95</v>
      </c>
      <c r="E127" s="360">
        <f>SUM(E124:E126)</f>
        <v>0</v>
      </c>
      <c r="F127" s="360">
        <f>SUM(F124:F126)</f>
        <v>1294860.95</v>
      </c>
      <c r="G127" s="336"/>
      <c r="H127" s="336"/>
      <c r="I127" s="360">
        <f>SUM(I124:I126)</f>
        <v>644581.78090999997</v>
      </c>
      <c r="K127" s="360">
        <f>SUM(K124:K126)</f>
        <v>1294860.95</v>
      </c>
      <c r="N127" s="360">
        <f>SUM(N124:N126)</f>
        <v>644581.78090999997</v>
      </c>
    </row>
    <row r="128" spans="1:18">
      <c r="A128" s="209">
        <f t="shared" si="26"/>
        <v>114</v>
      </c>
      <c r="B128" s="1048"/>
      <c r="K128" s="360"/>
    </row>
    <row r="129" spans="1:14">
      <c r="A129" s="209">
        <f t="shared" si="26"/>
        <v>115</v>
      </c>
      <c r="B129" s="1048"/>
      <c r="C129" s="620" t="s">
        <v>299</v>
      </c>
      <c r="K129" s="360"/>
    </row>
    <row r="130" spans="1:14">
      <c r="A130" s="209">
        <f t="shared" si="26"/>
        <v>116</v>
      </c>
      <c r="B130" s="1047">
        <v>37400</v>
      </c>
      <c r="C130" s="233" t="s">
        <v>1147</v>
      </c>
      <c r="D130" s="360">
        <v>0</v>
      </c>
      <c r="E130" s="360">
        <v>0</v>
      </c>
      <c r="F130" s="360">
        <f>D130+E130</f>
        <v>0</v>
      </c>
      <c r="G130" s="336">
        <f>$G$16</f>
        <v>1</v>
      </c>
      <c r="H130" s="324">
        <f>$H$124</f>
        <v>0.49780000000000002</v>
      </c>
      <c r="I130" s="360">
        <f>F130*G130*H130</f>
        <v>0</v>
      </c>
      <c r="K130" s="360">
        <v>0</v>
      </c>
      <c r="L130" s="336">
        <f>G130</f>
        <v>1</v>
      </c>
      <c r="M130" s="324">
        <f>H130</f>
        <v>0.49780000000000002</v>
      </c>
      <c r="N130" s="360">
        <f>K130*L130*M130</f>
        <v>0</v>
      </c>
    </row>
    <row r="131" spans="1:14">
      <c r="A131" s="209">
        <f t="shared" si="26"/>
        <v>117</v>
      </c>
      <c r="B131" s="1047">
        <v>35010</v>
      </c>
      <c r="C131" s="233" t="s">
        <v>292</v>
      </c>
      <c r="D131" s="617">
        <v>0</v>
      </c>
      <c r="E131" s="617">
        <v>0</v>
      </c>
      <c r="F131" s="617">
        <f>D131+E131</f>
        <v>0</v>
      </c>
      <c r="G131" s="336">
        <f>$G$16</f>
        <v>1</v>
      </c>
      <c r="H131" s="324">
        <f>$H$124</f>
        <v>0.49780000000000002</v>
      </c>
      <c r="I131" s="617">
        <f>F131*G131*H131</f>
        <v>0</v>
      </c>
      <c r="K131" s="617">
        <v>0</v>
      </c>
      <c r="L131" s="336">
        <f t="shared" ref="L131:L150" si="33">G131</f>
        <v>1</v>
      </c>
      <c r="M131" s="324">
        <f t="shared" ref="M131:M150" si="34">H131</f>
        <v>0.49780000000000002</v>
      </c>
      <c r="N131" s="617">
        <f t="shared" ref="N131:N150" si="35">K131*L131*M131</f>
        <v>0</v>
      </c>
    </row>
    <row r="132" spans="1:14">
      <c r="A132" s="209">
        <f t="shared" si="26"/>
        <v>118</v>
      </c>
      <c r="B132" s="1047">
        <v>37402</v>
      </c>
      <c r="C132" s="233" t="s">
        <v>999</v>
      </c>
      <c r="D132" s="617">
        <v>0</v>
      </c>
      <c r="E132" s="617">
        <v>0</v>
      </c>
      <c r="F132" s="617">
        <f t="shared" ref="F132:F150" si="36">D132+E132</f>
        <v>0</v>
      </c>
      <c r="G132" s="336">
        <f t="shared" ref="G132:G150" si="37">$G$16</f>
        <v>1</v>
      </c>
      <c r="H132" s="324">
        <f t="shared" ref="H132:H150" si="38">$H$124</f>
        <v>0.49780000000000002</v>
      </c>
      <c r="I132" s="617">
        <f t="shared" ref="I132:I150" si="39">F132*G132*H132</f>
        <v>0</v>
      </c>
      <c r="K132" s="617">
        <v>0</v>
      </c>
      <c r="L132" s="336">
        <f t="shared" si="33"/>
        <v>1</v>
      </c>
      <c r="M132" s="324">
        <f t="shared" si="34"/>
        <v>0.49780000000000002</v>
      </c>
      <c r="N132" s="617">
        <f t="shared" si="35"/>
        <v>0</v>
      </c>
    </row>
    <row r="133" spans="1:14">
      <c r="A133" s="209">
        <f t="shared" si="26"/>
        <v>119</v>
      </c>
      <c r="B133" s="1047">
        <v>37403</v>
      </c>
      <c r="C133" s="233" t="s">
        <v>996</v>
      </c>
      <c r="D133" s="617">
        <v>0</v>
      </c>
      <c r="E133" s="617">
        <v>0</v>
      </c>
      <c r="F133" s="617">
        <f t="shared" si="36"/>
        <v>0</v>
      </c>
      <c r="G133" s="336">
        <f t="shared" si="37"/>
        <v>1</v>
      </c>
      <c r="H133" s="324">
        <f t="shared" si="38"/>
        <v>0.49780000000000002</v>
      </c>
      <c r="I133" s="617">
        <f t="shared" si="39"/>
        <v>0</v>
      </c>
      <c r="K133" s="617">
        <v>0</v>
      </c>
      <c r="L133" s="336">
        <f t="shared" si="33"/>
        <v>1</v>
      </c>
      <c r="M133" s="324">
        <f t="shared" si="34"/>
        <v>0.49780000000000002</v>
      </c>
      <c r="N133" s="617">
        <f t="shared" si="35"/>
        <v>0</v>
      </c>
    </row>
    <row r="134" spans="1:14">
      <c r="A134" s="209">
        <f t="shared" si="26"/>
        <v>120</v>
      </c>
      <c r="B134" s="1047">
        <v>36602</v>
      </c>
      <c r="C134" s="233" t="s">
        <v>856</v>
      </c>
      <c r="D134" s="617">
        <v>0</v>
      </c>
      <c r="E134" s="617">
        <v>0</v>
      </c>
      <c r="F134" s="617">
        <f t="shared" si="36"/>
        <v>0</v>
      </c>
      <c r="G134" s="336">
        <f t="shared" si="37"/>
        <v>1</v>
      </c>
      <c r="H134" s="324">
        <f t="shared" si="38"/>
        <v>0.49780000000000002</v>
      </c>
      <c r="I134" s="617">
        <f t="shared" si="39"/>
        <v>0</v>
      </c>
      <c r="K134" s="617">
        <v>0</v>
      </c>
      <c r="L134" s="336">
        <f t="shared" si="33"/>
        <v>1</v>
      </c>
      <c r="M134" s="324">
        <f t="shared" si="34"/>
        <v>0.49780000000000002</v>
      </c>
      <c r="N134" s="617">
        <f t="shared" si="35"/>
        <v>0</v>
      </c>
    </row>
    <row r="135" spans="1:14">
      <c r="A135" s="209">
        <f t="shared" si="26"/>
        <v>121</v>
      </c>
      <c r="B135" s="1047">
        <v>37402</v>
      </c>
      <c r="C135" s="233" t="s">
        <v>999</v>
      </c>
      <c r="D135" s="617">
        <v>0</v>
      </c>
      <c r="E135" s="617">
        <v>0</v>
      </c>
      <c r="F135" s="617">
        <f>D135+E135</f>
        <v>0</v>
      </c>
      <c r="G135" s="336">
        <f t="shared" si="37"/>
        <v>1</v>
      </c>
      <c r="H135" s="324">
        <f t="shared" si="38"/>
        <v>0.49780000000000002</v>
      </c>
      <c r="I135" s="617">
        <f>F135*G135*H135</f>
        <v>0</v>
      </c>
      <c r="K135" s="617">
        <v>0</v>
      </c>
      <c r="L135" s="336">
        <f>G135</f>
        <v>1</v>
      </c>
      <c r="M135" s="324">
        <f>H135</f>
        <v>0.49780000000000002</v>
      </c>
      <c r="N135" s="617">
        <f>K135*L135*M135</f>
        <v>0</v>
      </c>
    </row>
    <row r="136" spans="1:14">
      <c r="A136" s="209">
        <f t="shared" si="26"/>
        <v>122</v>
      </c>
      <c r="B136" s="1047">
        <v>37501</v>
      </c>
      <c r="C136" s="233" t="s">
        <v>997</v>
      </c>
      <c r="D136" s="617">
        <v>0</v>
      </c>
      <c r="E136" s="617">
        <v>0</v>
      </c>
      <c r="F136" s="617">
        <f t="shared" si="36"/>
        <v>0</v>
      </c>
      <c r="G136" s="336">
        <f t="shared" si="37"/>
        <v>1</v>
      </c>
      <c r="H136" s="324">
        <f t="shared" si="38"/>
        <v>0.49780000000000002</v>
      </c>
      <c r="I136" s="617">
        <f t="shared" si="39"/>
        <v>0</v>
      </c>
      <c r="K136" s="617">
        <v>0</v>
      </c>
      <c r="L136" s="336">
        <f t="shared" si="33"/>
        <v>1</v>
      </c>
      <c r="M136" s="324">
        <f t="shared" si="34"/>
        <v>0.49780000000000002</v>
      </c>
      <c r="N136" s="617">
        <f t="shared" si="35"/>
        <v>0</v>
      </c>
    </row>
    <row r="137" spans="1:14">
      <c r="A137" s="209">
        <f t="shared" si="26"/>
        <v>123</v>
      </c>
      <c r="B137" s="1047">
        <v>37503</v>
      </c>
      <c r="C137" s="233" t="s">
        <v>998</v>
      </c>
      <c r="D137" s="617">
        <v>0</v>
      </c>
      <c r="E137" s="617">
        <v>0</v>
      </c>
      <c r="F137" s="617">
        <f t="shared" si="36"/>
        <v>0</v>
      </c>
      <c r="G137" s="336">
        <f t="shared" si="37"/>
        <v>1</v>
      </c>
      <c r="H137" s="324">
        <f t="shared" si="38"/>
        <v>0.49780000000000002</v>
      </c>
      <c r="I137" s="617">
        <f t="shared" si="39"/>
        <v>0</v>
      </c>
      <c r="K137" s="617">
        <v>0</v>
      </c>
      <c r="L137" s="336">
        <f t="shared" si="33"/>
        <v>1</v>
      </c>
      <c r="M137" s="324">
        <f t="shared" si="34"/>
        <v>0.49780000000000002</v>
      </c>
      <c r="N137" s="617">
        <f t="shared" si="35"/>
        <v>0</v>
      </c>
    </row>
    <row r="138" spans="1:14">
      <c r="A138" s="209">
        <f t="shared" si="26"/>
        <v>124</v>
      </c>
      <c r="B138" s="1047">
        <v>36700</v>
      </c>
      <c r="C138" s="233" t="s">
        <v>844</v>
      </c>
      <c r="D138" s="617">
        <v>0</v>
      </c>
      <c r="E138" s="617">
        <v>0</v>
      </c>
      <c r="F138" s="617">
        <f t="shared" si="36"/>
        <v>0</v>
      </c>
      <c r="G138" s="336">
        <f t="shared" si="37"/>
        <v>1</v>
      </c>
      <c r="H138" s="324">
        <f t="shared" si="38"/>
        <v>0.49780000000000002</v>
      </c>
      <c r="I138" s="617">
        <f t="shared" si="39"/>
        <v>0</v>
      </c>
      <c r="K138" s="617">
        <v>0</v>
      </c>
      <c r="L138" s="336">
        <f t="shared" si="33"/>
        <v>1</v>
      </c>
      <c r="M138" s="324">
        <f t="shared" si="34"/>
        <v>0.49780000000000002</v>
      </c>
      <c r="N138" s="617">
        <f t="shared" si="35"/>
        <v>0</v>
      </c>
    </row>
    <row r="139" spans="1:14">
      <c r="A139" s="209">
        <f t="shared" si="26"/>
        <v>125</v>
      </c>
      <c r="B139" s="1047">
        <v>36701</v>
      </c>
      <c r="C139" s="233" t="s">
        <v>16</v>
      </c>
      <c r="D139" s="617">
        <v>0</v>
      </c>
      <c r="E139" s="617">
        <v>0</v>
      </c>
      <c r="F139" s="617">
        <f t="shared" si="36"/>
        <v>0</v>
      </c>
      <c r="G139" s="336">
        <f t="shared" si="37"/>
        <v>1</v>
      </c>
      <c r="H139" s="324">
        <f t="shared" si="38"/>
        <v>0.49780000000000002</v>
      </c>
      <c r="I139" s="617">
        <f t="shared" si="39"/>
        <v>0</v>
      </c>
      <c r="K139" s="617">
        <v>0</v>
      </c>
      <c r="L139" s="336">
        <f t="shared" si="33"/>
        <v>1</v>
      </c>
      <c r="M139" s="324">
        <f t="shared" si="34"/>
        <v>0.49780000000000002</v>
      </c>
      <c r="N139" s="617">
        <f t="shared" si="35"/>
        <v>0</v>
      </c>
    </row>
    <row r="140" spans="1:14">
      <c r="A140" s="209">
        <f t="shared" si="26"/>
        <v>126</v>
      </c>
      <c r="B140" s="1047">
        <v>37602</v>
      </c>
      <c r="C140" s="233" t="s">
        <v>845</v>
      </c>
      <c r="D140" s="617">
        <v>0</v>
      </c>
      <c r="E140" s="617">
        <v>0</v>
      </c>
      <c r="F140" s="617">
        <f t="shared" si="36"/>
        <v>0</v>
      </c>
      <c r="G140" s="336">
        <f t="shared" si="37"/>
        <v>1</v>
      </c>
      <c r="H140" s="324">
        <f t="shared" si="38"/>
        <v>0.49780000000000002</v>
      </c>
      <c r="I140" s="617">
        <f t="shared" si="39"/>
        <v>0</v>
      </c>
      <c r="K140" s="617">
        <v>0</v>
      </c>
      <c r="L140" s="336">
        <f t="shared" si="33"/>
        <v>1</v>
      </c>
      <c r="M140" s="324">
        <f t="shared" si="34"/>
        <v>0.49780000000000002</v>
      </c>
      <c r="N140" s="617">
        <f t="shared" si="35"/>
        <v>0</v>
      </c>
    </row>
    <row r="141" spans="1:14">
      <c r="A141" s="209">
        <f t="shared" si="26"/>
        <v>127</v>
      </c>
      <c r="B141" s="1047">
        <v>37800</v>
      </c>
      <c r="C141" s="233" t="s">
        <v>229</v>
      </c>
      <c r="D141" s="617">
        <v>0</v>
      </c>
      <c r="E141" s="617">
        <v>0</v>
      </c>
      <c r="F141" s="617">
        <f t="shared" si="36"/>
        <v>0</v>
      </c>
      <c r="G141" s="336">
        <f t="shared" si="37"/>
        <v>1</v>
      </c>
      <c r="H141" s="324">
        <f t="shared" si="38"/>
        <v>0.49780000000000002</v>
      </c>
      <c r="I141" s="617">
        <f t="shared" si="39"/>
        <v>0</v>
      </c>
      <c r="K141" s="617">
        <v>0</v>
      </c>
      <c r="L141" s="336">
        <f t="shared" si="33"/>
        <v>1</v>
      </c>
      <c r="M141" s="324">
        <f t="shared" si="34"/>
        <v>0.49780000000000002</v>
      </c>
      <c r="N141" s="617">
        <f t="shared" si="35"/>
        <v>0</v>
      </c>
    </row>
    <row r="142" spans="1:14">
      <c r="A142" s="209">
        <f t="shared" si="26"/>
        <v>128</v>
      </c>
      <c r="B142" s="1047">
        <v>37900</v>
      </c>
      <c r="C142" s="233" t="s">
        <v>1190</v>
      </c>
      <c r="D142" s="617">
        <v>0</v>
      </c>
      <c r="E142" s="617">
        <v>0</v>
      </c>
      <c r="F142" s="617">
        <f t="shared" si="36"/>
        <v>0</v>
      </c>
      <c r="G142" s="336">
        <f t="shared" si="37"/>
        <v>1</v>
      </c>
      <c r="H142" s="324">
        <f t="shared" si="38"/>
        <v>0.49780000000000002</v>
      </c>
      <c r="I142" s="617">
        <f t="shared" si="39"/>
        <v>0</v>
      </c>
      <c r="K142" s="617">
        <v>0</v>
      </c>
      <c r="L142" s="336">
        <f t="shared" si="33"/>
        <v>1</v>
      </c>
      <c r="M142" s="324">
        <f t="shared" si="34"/>
        <v>0.49780000000000002</v>
      </c>
      <c r="N142" s="617">
        <f t="shared" si="35"/>
        <v>0</v>
      </c>
    </row>
    <row r="143" spans="1:14">
      <c r="A143" s="209">
        <f t="shared" si="26"/>
        <v>129</v>
      </c>
      <c r="B143" s="1047">
        <v>37905</v>
      </c>
      <c r="C143" s="233" t="s">
        <v>725</v>
      </c>
      <c r="D143" s="617">
        <v>0</v>
      </c>
      <c r="E143" s="617">
        <v>0</v>
      </c>
      <c r="F143" s="617">
        <f t="shared" si="36"/>
        <v>0</v>
      </c>
      <c r="G143" s="336">
        <f t="shared" si="37"/>
        <v>1</v>
      </c>
      <c r="H143" s="324">
        <f t="shared" si="38"/>
        <v>0.49780000000000002</v>
      </c>
      <c r="I143" s="617">
        <f t="shared" si="39"/>
        <v>0</v>
      </c>
      <c r="K143" s="617">
        <v>0</v>
      </c>
      <c r="L143" s="336">
        <f t="shared" si="33"/>
        <v>1</v>
      </c>
      <c r="M143" s="324">
        <f t="shared" si="34"/>
        <v>0.49780000000000002</v>
      </c>
      <c r="N143" s="617">
        <f t="shared" si="35"/>
        <v>0</v>
      </c>
    </row>
    <row r="144" spans="1:14">
      <c r="A144" s="209">
        <f t="shared" si="26"/>
        <v>130</v>
      </c>
      <c r="B144" s="1047">
        <v>38000</v>
      </c>
      <c r="C144" s="233" t="s">
        <v>1052</v>
      </c>
      <c r="D144" s="617">
        <v>0</v>
      </c>
      <c r="E144" s="617">
        <v>0</v>
      </c>
      <c r="F144" s="617">
        <f t="shared" si="36"/>
        <v>0</v>
      </c>
      <c r="G144" s="336">
        <f t="shared" si="37"/>
        <v>1</v>
      </c>
      <c r="H144" s="324">
        <f t="shared" si="38"/>
        <v>0.49780000000000002</v>
      </c>
      <c r="I144" s="617">
        <f t="shared" si="39"/>
        <v>0</v>
      </c>
      <c r="K144" s="617">
        <v>0</v>
      </c>
      <c r="L144" s="336">
        <f t="shared" si="33"/>
        <v>1</v>
      </c>
      <c r="M144" s="324">
        <f t="shared" si="34"/>
        <v>0.49780000000000002</v>
      </c>
      <c r="N144" s="617">
        <f t="shared" si="35"/>
        <v>0</v>
      </c>
    </row>
    <row r="145" spans="1:18">
      <c r="A145" s="209">
        <f t="shared" si="26"/>
        <v>131</v>
      </c>
      <c r="B145" s="1047">
        <v>38100</v>
      </c>
      <c r="C145" s="233" t="s">
        <v>846</v>
      </c>
      <c r="D145" s="617">
        <v>0</v>
      </c>
      <c r="E145" s="617">
        <v>0</v>
      </c>
      <c r="F145" s="617">
        <f t="shared" si="36"/>
        <v>0</v>
      </c>
      <c r="G145" s="336">
        <f t="shared" si="37"/>
        <v>1</v>
      </c>
      <c r="H145" s="324">
        <f t="shared" si="38"/>
        <v>0.49780000000000002</v>
      </c>
      <c r="I145" s="617">
        <f t="shared" si="39"/>
        <v>0</v>
      </c>
      <c r="K145" s="617">
        <v>0</v>
      </c>
      <c r="L145" s="336">
        <f t="shared" si="33"/>
        <v>1</v>
      </c>
      <c r="M145" s="324">
        <f t="shared" si="34"/>
        <v>0.49780000000000002</v>
      </c>
      <c r="N145" s="617">
        <f t="shared" si="35"/>
        <v>0</v>
      </c>
    </row>
    <row r="146" spans="1:18">
      <c r="A146" s="209">
        <f t="shared" si="26"/>
        <v>132</v>
      </c>
      <c r="B146" s="1047">
        <v>38200</v>
      </c>
      <c r="C146" s="233" t="s">
        <v>442</v>
      </c>
      <c r="D146" s="617">
        <v>0</v>
      </c>
      <c r="E146" s="617">
        <v>0</v>
      </c>
      <c r="F146" s="617">
        <f t="shared" si="36"/>
        <v>0</v>
      </c>
      <c r="G146" s="336">
        <f t="shared" si="37"/>
        <v>1</v>
      </c>
      <c r="H146" s="324">
        <f t="shared" si="38"/>
        <v>0.49780000000000002</v>
      </c>
      <c r="I146" s="617">
        <f t="shared" si="39"/>
        <v>0</v>
      </c>
      <c r="K146" s="617">
        <v>0</v>
      </c>
      <c r="L146" s="336">
        <f t="shared" si="33"/>
        <v>1</v>
      </c>
      <c r="M146" s="324">
        <f t="shared" si="34"/>
        <v>0.49780000000000002</v>
      </c>
      <c r="N146" s="617">
        <f t="shared" si="35"/>
        <v>0</v>
      </c>
    </row>
    <row r="147" spans="1:18">
      <c r="A147" s="209">
        <f t="shared" si="26"/>
        <v>133</v>
      </c>
      <c r="B147" s="1047">
        <v>38300</v>
      </c>
      <c r="C147" s="233" t="s">
        <v>1053</v>
      </c>
      <c r="D147" s="617">
        <v>0</v>
      </c>
      <c r="E147" s="617">
        <v>0</v>
      </c>
      <c r="F147" s="617">
        <f t="shared" si="36"/>
        <v>0</v>
      </c>
      <c r="G147" s="336">
        <f t="shared" si="37"/>
        <v>1</v>
      </c>
      <c r="H147" s="324">
        <f t="shared" si="38"/>
        <v>0.49780000000000002</v>
      </c>
      <c r="I147" s="617">
        <f t="shared" si="39"/>
        <v>0</v>
      </c>
      <c r="K147" s="617">
        <v>0</v>
      </c>
      <c r="L147" s="336">
        <f t="shared" si="33"/>
        <v>1</v>
      </c>
      <c r="M147" s="324">
        <f t="shared" si="34"/>
        <v>0.49780000000000002</v>
      </c>
      <c r="N147" s="617">
        <f t="shared" si="35"/>
        <v>0</v>
      </c>
    </row>
    <row r="148" spans="1:18">
      <c r="A148" s="209">
        <f t="shared" ref="A148:A211" si="40">A147+1</f>
        <v>134</v>
      </c>
      <c r="B148" s="1047">
        <v>38400</v>
      </c>
      <c r="C148" s="233" t="s">
        <v>443</v>
      </c>
      <c r="D148" s="617">
        <v>0</v>
      </c>
      <c r="E148" s="617">
        <v>0</v>
      </c>
      <c r="F148" s="617">
        <f t="shared" si="36"/>
        <v>0</v>
      </c>
      <c r="G148" s="336">
        <f t="shared" si="37"/>
        <v>1</v>
      </c>
      <c r="H148" s="324">
        <f t="shared" si="38"/>
        <v>0.49780000000000002</v>
      </c>
      <c r="I148" s="617">
        <f t="shared" si="39"/>
        <v>0</v>
      </c>
      <c r="K148" s="617">
        <v>0</v>
      </c>
      <c r="L148" s="336">
        <f t="shared" si="33"/>
        <v>1</v>
      </c>
      <c r="M148" s="324">
        <f t="shared" si="34"/>
        <v>0.49780000000000002</v>
      </c>
      <c r="N148" s="617">
        <f t="shared" si="35"/>
        <v>0</v>
      </c>
    </row>
    <row r="149" spans="1:18">
      <c r="A149" s="209">
        <f t="shared" si="40"/>
        <v>135</v>
      </c>
      <c r="B149" s="1047">
        <v>38500</v>
      </c>
      <c r="C149" s="233" t="s">
        <v>444</v>
      </c>
      <c r="D149" s="617">
        <v>0</v>
      </c>
      <c r="E149" s="617">
        <v>0</v>
      </c>
      <c r="F149" s="617">
        <f t="shared" si="36"/>
        <v>0</v>
      </c>
      <c r="G149" s="336">
        <f t="shared" si="37"/>
        <v>1</v>
      </c>
      <c r="H149" s="324">
        <f t="shared" si="38"/>
        <v>0.49780000000000002</v>
      </c>
      <c r="I149" s="617">
        <f t="shared" si="39"/>
        <v>0</v>
      </c>
      <c r="K149" s="617">
        <v>0</v>
      </c>
      <c r="L149" s="336">
        <f t="shared" si="33"/>
        <v>1</v>
      </c>
      <c r="M149" s="324">
        <f t="shared" si="34"/>
        <v>0.49780000000000002</v>
      </c>
      <c r="N149" s="617">
        <f t="shared" si="35"/>
        <v>0</v>
      </c>
    </row>
    <row r="150" spans="1:18">
      <c r="A150" s="209">
        <f t="shared" si="40"/>
        <v>136</v>
      </c>
      <c r="B150" s="1047">
        <v>38600</v>
      </c>
      <c r="C150" s="233" t="s">
        <v>106</v>
      </c>
      <c r="D150" s="1046">
        <v>0</v>
      </c>
      <c r="E150" s="1046">
        <v>0</v>
      </c>
      <c r="F150" s="1046">
        <f t="shared" si="36"/>
        <v>0</v>
      </c>
      <c r="G150" s="336">
        <f t="shared" si="37"/>
        <v>1</v>
      </c>
      <c r="H150" s="324">
        <f t="shared" si="38"/>
        <v>0.49780000000000002</v>
      </c>
      <c r="I150" s="1046">
        <f t="shared" si="39"/>
        <v>0</v>
      </c>
      <c r="K150" s="1046">
        <v>0</v>
      </c>
      <c r="L150" s="336">
        <f t="shared" si="33"/>
        <v>1</v>
      </c>
      <c r="M150" s="324">
        <f t="shared" si="34"/>
        <v>0.49780000000000002</v>
      </c>
      <c r="N150" s="1046">
        <f t="shared" si="35"/>
        <v>0</v>
      </c>
    </row>
    <row r="151" spans="1:18">
      <c r="A151" s="209">
        <f t="shared" si="40"/>
        <v>137</v>
      </c>
      <c r="B151" s="1048"/>
      <c r="C151" s="233"/>
      <c r="M151" s="324"/>
    </row>
    <row r="152" spans="1:18">
      <c r="A152" s="209">
        <f t="shared" si="40"/>
        <v>138</v>
      </c>
      <c r="B152" s="1048"/>
      <c r="C152" s="233" t="s">
        <v>300</v>
      </c>
      <c r="D152" s="360">
        <f>SUM(D130:D151)</f>
        <v>0</v>
      </c>
      <c r="E152" s="360">
        <f>SUM(E130:E151)</f>
        <v>0</v>
      </c>
      <c r="F152" s="360">
        <f>SUM(F130:F151)</f>
        <v>0</v>
      </c>
      <c r="I152" s="360">
        <f>SUM(I130:I151)</f>
        <v>0</v>
      </c>
      <c r="K152" s="360">
        <f>SUM(K130:K151)</f>
        <v>0</v>
      </c>
      <c r="M152" s="324"/>
      <c r="N152" s="360">
        <f>SUM(N130:N151)</f>
        <v>0</v>
      </c>
    </row>
    <row r="153" spans="1:18">
      <c r="A153" s="209">
        <f t="shared" si="40"/>
        <v>139</v>
      </c>
      <c r="B153" s="1048"/>
      <c r="C153" s="233"/>
      <c r="M153" s="324"/>
    </row>
    <row r="154" spans="1:18">
      <c r="A154" s="209">
        <f t="shared" si="40"/>
        <v>140</v>
      </c>
      <c r="B154" s="1048"/>
      <c r="C154" s="620" t="s">
        <v>301</v>
      </c>
      <c r="M154" s="324"/>
    </row>
    <row r="155" spans="1:18">
      <c r="A155" s="209">
        <f t="shared" si="40"/>
        <v>141</v>
      </c>
      <c r="B155" s="1047">
        <v>39001</v>
      </c>
      <c r="C155" s="233" t="s">
        <v>540</v>
      </c>
      <c r="D155" s="322">
        <f>'[4]Gross Plant'!$Q86</f>
        <v>179338.52</v>
      </c>
      <c r="E155" s="617">
        <v>0</v>
      </c>
      <c r="F155" s="617">
        <f>D155+E155</f>
        <v>179338.52</v>
      </c>
      <c r="G155" s="336">
        <f>$G$16</f>
        <v>1</v>
      </c>
      <c r="H155" s="324">
        <f>$H$124</f>
        <v>0.49780000000000002</v>
      </c>
      <c r="I155" s="617">
        <f>F155*G155*H155</f>
        <v>89274.715255999996</v>
      </c>
      <c r="K155" s="322">
        <f>'[4]Gross Plant'!$C86</f>
        <v>179338.52</v>
      </c>
      <c r="L155" s="336">
        <f t="shared" ref="L155:L175" si="41">G155</f>
        <v>1</v>
      </c>
      <c r="M155" s="324">
        <f t="shared" ref="M155:M175" si="42">H155</f>
        <v>0.49780000000000002</v>
      </c>
      <c r="N155" s="617">
        <f t="shared" ref="N155:N175" si="43">K155*L155*M155</f>
        <v>89274.715255999996</v>
      </c>
      <c r="R155" s="424"/>
    </row>
    <row r="156" spans="1:18">
      <c r="A156" s="209">
        <f t="shared" si="40"/>
        <v>142</v>
      </c>
      <c r="B156" s="1047">
        <v>39004</v>
      </c>
      <c r="C156" s="233" t="s">
        <v>445</v>
      </c>
      <c r="D156" s="322">
        <f>'[4]Gross Plant'!$Q87</f>
        <v>15383.91</v>
      </c>
      <c r="E156" s="617">
        <v>0</v>
      </c>
      <c r="F156" s="617">
        <f t="shared" ref="F156:F175" si="44">D156+E156</f>
        <v>15383.91</v>
      </c>
      <c r="G156" s="336">
        <f t="shared" ref="G156:G175" si="45">$G$16</f>
        <v>1</v>
      </c>
      <c r="H156" s="324">
        <f t="shared" ref="H156:H175" si="46">$H$124</f>
        <v>0.49780000000000002</v>
      </c>
      <c r="I156" s="617">
        <f t="shared" ref="I156:I158" si="47">F156*G156*H156</f>
        <v>7658.1103979999998</v>
      </c>
      <c r="K156" s="322">
        <f>'[4]Gross Plant'!$C87</f>
        <v>15383.910000000002</v>
      </c>
      <c r="L156" s="336">
        <f t="shared" si="41"/>
        <v>1</v>
      </c>
      <c r="M156" s="324">
        <f t="shared" si="42"/>
        <v>0.49780000000000002</v>
      </c>
      <c r="N156" s="617">
        <f t="shared" si="43"/>
        <v>7658.1103980000007</v>
      </c>
      <c r="R156" s="424"/>
    </row>
    <row r="157" spans="1:18">
      <c r="A157" s="209">
        <f t="shared" si="40"/>
        <v>143</v>
      </c>
      <c r="B157" s="1047">
        <v>39009</v>
      </c>
      <c r="C157" s="233" t="s">
        <v>1036</v>
      </c>
      <c r="D157" s="322">
        <f>'[4]Gross Plant'!$Q88</f>
        <v>38834</v>
      </c>
      <c r="E157" s="617">
        <v>0</v>
      </c>
      <c r="F157" s="617">
        <f t="shared" si="44"/>
        <v>38834</v>
      </c>
      <c r="G157" s="336">
        <f t="shared" si="45"/>
        <v>1</v>
      </c>
      <c r="H157" s="324">
        <f t="shared" si="46"/>
        <v>0.49780000000000002</v>
      </c>
      <c r="I157" s="617">
        <f t="shared" si="47"/>
        <v>19331.565200000001</v>
      </c>
      <c r="K157" s="322">
        <f>'[4]Gross Plant'!$C88</f>
        <v>38834</v>
      </c>
      <c r="L157" s="336">
        <f t="shared" si="41"/>
        <v>1</v>
      </c>
      <c r="M157" s="324">
        <f t="shared" si="42"/>
        <v>0.49780000000000002</v>
      </c>
      <c r="N157" s="617">
        <f t="shared" si="43"/>
        <v>19331.565200000001</v>
      </c>
      <c r="R157" s="424"/>
    </row>
    <row r="158" spans="1:18">
      <c r="A158" s="209">
        <f t="shared" si="40"/>
        <v>144</v>
      </c>
      <c r="B158" s="1047">
        <v>39100</v>
      </c>
      <c r="C158" s="233" t="s">
        <v>779</v>
      </c>
      <c r="D158" s="322">
        <f>'[4]Gross Plant'!$Q89</f>
        <v>38609.33</v>
      </c>
      <c r="E158" s="617">
        <v>0</v>
      </c>
      <c r="F158" s="617">
        <f t="shared" si="44"/>
        <v>38609.33</v>
      </c>
      <c r="G158" s="336">
        <f t="shared" si="45"/>
        <v>1</v>
      </c>
      <c r="H158" s="324">
        <f t="shared" si="46"/>
        <v>0.49780000000000002</v>
      </c>
      <c r="I158" s="617">
        <f t="shared" si="47"/>
        <v>19219.724474000002</v>
      </c>
      <c r="K158" s="322">
        <f>'[4]Gross Plant'!$C89</f>
        <v>39252.686923076937</v>
      </c>
      <c r="L158" s="336">
        <f t="shared" si="41"/>
        <v>1</v>
      </c>
      <c r="M158" s="324">
        <f t="shared" si="42"/>
        <v>0.49780000000000002</v>
      </c>
      <c r="N158" s="617">
        <f t="shared" si="43"/>
        <v>19539.987550307702</v>
      </c>
      <c r="R158" s="424"/>
    </row>
    <row r="159" spans="1:18">
      <c r="A159" s="209">
        <f t="shared" si="40"/>
        <v>145</v>
      </c>
      <c r="B159" s="1047">
        <v>39101</v>
      </c>
      <c r="C159" s="233" t="s">
        <v>1502</v>
      </c>
      <c r="D159" s="322">
        <f>'[4]Gross Plant'!$Q90</f>
        <v>0</v>
      </c>
      <c r="E159" s="617">
        <v>0</v>
      </c>
      <c r="F159" s="617">
        <f t="shared" si="44"/>
        <v>0</v>
      </c>
      <c r="G159" s="336">
        <f t="shared" si="45"/>
        <v>1</v>
      </c>
      <c r="H159" s="324">
        <f t="shared" si="46"/>
        <v>0.49780000000000002</v>
      </c>
      <c r="I159" s="617">
        <f t="shared" ref="I159:I175" si="48">F159*G159*H159</f>
        <v>0</v>
      </c>
      <c r="K159" s="322">
        <f>'[4]Gross Plant'!$C90</f>
        <v>0</v>
      </c>
      <c r="L159" s="336">
        <f t="shared" ref="L159:L171" si="49">G159</f>
        <v>1</v>
      </c>
      <c r="M159" s="324">
        <f t="shared" ref="M159:M171" si="50">H159</f>
        <v>0.49780000000000002</v>
      </c>
      <c r="N159" s="617">
        <f t="shared" ref="N159:N171" si="51">K159*L159*M159</f>
        <v>0</v>
      </c>
      <c r="R159" s="424"/>
    </row>
    <row r="160" spans="1:18">
      <c r="A160" s="209">
        <f t="shared" si="40"/>
        <v>146</v>
      </c>
      <c r="B160" s="1047">
        <v>39103</v>
      </c>
      <c r="C160" s="233" t="s">
        <v>780</v>
      </c>
      <c r="D160" s="322">
        <f>'[4]Gross Plant'!$Q91</f>
        <v>0</v>
      </c>
      <c r="E160" s="617">
        <v>0</v>
      </c>
      <c r="F160" s="617">
        <f t="shared" si="44"/>
        <v>0</v>
      </c>
      <c r="G160" s="336">
        <f t="shared" si="45"/>
        <v>1</v>
      </c>
      <c r="H160" s="324">
        <f t="shared" si="46"/>
        <v>0.49780000000000002</v>
      </c>
      <c r="I160" s="617">
        <f t="shared" si="48"/>
        <v>0</v>
      </c>
      <c r="K160" s="322">
        <f>'[4]Gross Plant'!$C91</f>
        <v>0</v>
      </c>
      <c r="L160" s="336">
        <f t="shared" si="49"/>
        <v>1</v>
      </c>
      <c r="M160" s="324">
        <f t="shared" si="50"/>
        <v>0.49780000000000002</v>
      </c>
      <c r="N160" s="617">
        <f t="shared" si="51"/>
        <v>0</v>
      </c>
      <c r="R160" s="424"/>
    </row>
    <row r="161" spans="1:18">
      <c r="A161" s="209">
        <f t="shared" si="40"/>
        <v>147</v>
      </c>
      <c r="B161" s="1047">
        <v>39200</v>
      </c>
      <c r="C161" s="233" t="s">
        <v>1076</v>
      </c>
      <c r="D161" s="322">
        <f>'[4]Gross Plant'!$Q92</f>
        <v>27284.69</v>
      </c>
      <c r="E161" s="617">
        <v>0</v>
      </c>
      <c r="F161" s="617">
        <f t="shared" si="44"/>
        <v>27284.69</v>
      </c>
      <c r="G161" s="336">
        <f t="shared" si="45"/>
        <v>1</v>
      </c>
      <c r="H161" s="324">
        <f t="shared" si="46"/>
        <v>0.49780000000000002</v>
      </c>
      <c r="I161" s="617">
        <f t="shared" si="48"/>
        <v>13582.318681999999</v>
      </c>
      <c r="K161" s="322">
        <f>'[4]Gross Plant'!$C92</f>
        <v>27284.69</v>
      </c>
      <c r="L161" s="336">
        <f t="shared" si="49"/>
        <v>1</v>
      </c>
      <c r="M161" s="324">
        <f t="shared" si="50"/>
        <v>0.49780000000000002</v>
      </c>
      <c r="N161" s="617">
        <f t="shared" si="51"/>
        <v>13582.318681999999</v>
      </c>
      <c r="R161" s="424"/>
    </row>
    <row r="162" spans="1:18">
      <c r="A162" s="209">
        <f t="shared" si="40"/>
        <v>148</v>
      </c>
      <c r="B162" s="1047">
        <v>39300</v>
      </c>
      <c r="C162" s="233" t="s">
        <v>649</v>
      </c>
      <c r="D162" s="322">
        <f>'[4]Gross Plant'!$Q93</f>
        <v>0</v>
      </c>
      <c r="E162" s="617">
        <v>0</v>
      </c>
      <c r="F162" s="617">
        <f t="shared" si="44"/>
        <v>0</v>
      </c>
      <c r="G162" s="336">
        <f t="shared" si="45"/>
        <v>1</v>
      </c>
      <c r="H162" s="324">
        <f t="shared" si="46"/>
        <v>0.49780000000000002</v>
      </c>
      <c r="I162" s="617">
        <f t="shared" si="48"/>
        <v>0</v>
      </c>
      <c r="K162" s="322">
        <f>'[4]Gross Plant'!$C93</f>
        <v>0</v>
      </c>
      <c r="L162" s="336">
        <f t="shared" si="49"/>
        <v>1</v>
      </c>
      <c r="M162" s="324">
        <f t="shared" si="50"/>
        <v>0.49780000000000002</v>
      </c>
      <c r="N162" s="617">
        <f t="shared" si="51"/>
        <v>0</v>
      </c>
      <c r="R162" s="424"/>
    </row>
    <row r="163" spans="1:18">
      <c r="A163" s="209">
        <f t="shared" si="40"/>
        <v>149</v>
      </c>
      <c r="B163" s="1047">
        <v>39400</v>
      </c>
      <c r="C163" s="233" t="s">
        <v>1035</v>
      </c>
      <c r="D163" s="322">
        <f>'[4]Gross Plant'!$Q94</f>
        <v>175867.44</v>
      </c>
      <c r="E163" s="617">
        <v>0</v>
      </c>
      <c r="F163" s="617">
        <f t="shared" si="44"/>
        <v>175867.44</v>
      </c>
      <c r="G163" s="336">
        <f t="shared" si="45"/>
        <v>1</v>
      </c>
      <c r="H163" s="324">
        <f t="shared" si="46"/>
        <v>0.49780000000000002</v>
      </c>
      <c r="I163" s="617">
        <f t="shared" si="48"/>
        <v>87546.811632000012</v>
      </c>
      <c r="K163" s="322">
        <f>'[4]Gross Plant'!$C94</f>
        <v>175867.43999999997</v>
      </c>
      <c r="L163" s="336">
        <f t="shared" si="49"/>
        <v>1</v>
      </c>
      <c r="M163" s="324">
        <f t="shared" si="50"/>
        <v>0.49780000000000002</v>
      </c>
      <c r="N163" s="617">
        <f t="shared" si="51"/>
        <v>87546.811631999997</v>
      </c>
      <c r="R163" s="424"/>
    </row>
    <row r="164" spans="1:18">
      <c r="A164" s="209">
        <f t="shared" si="40"/>
        <v>150</v>
      </c>
      <c r="B164" s="1047">
        <v>39600</v>
      </c>
      <c r="C164" s="233" t="s">
        <v>541</v>
      </c>
      <c r="D164" s="322">
        <f>'[4]Gross Plant'!$Q95</f>
        <v>20515.689999999999</v>
      </c>
      <c r="E164" s="617">
        <v>0</v>
      </c>
      <c r="F164" s="617">
        <f t="shared" si="44"/>
        <v>20515.689999999999</v>
      </c>
      <c r="G164" s="336">
        <f t="shared" si="45"/>
        <v>1</v>
      </c>
      <c r="H164" s="324">
        <f t="shared" si="46"/>
        <v>0.49780000000000002</v>
      </c>
      <c r="I164" s="617">
        <f t="shared" si="48"/>
        <v>10212.710482</v>
      </c>
      <c r="K164" s="322">
        <f>'[4]Gross Plant'!$C95</f>
        <v>20515.689999999999</v>
      </c>
      <c r="L164" s="336">
        <f t="shared" si="49"/>
        <v>1</v>
      </c>
      <c r="M164" s="324">
        <f t="shared" si="50"/>
        <v>0.49780000000000002</v>
      </c>
      <c r="N164" s="617">
        <f t="shared" si="51"/>
        <v>10212.710482</v>
      </c>
      <c r="R164" s="424"/>
    </row>
    <row r="165" spans="1:18">
      <c r="A165" s="209">
        <f t="shared" si="40"/>
        <v>151</v>
      </c>
      <c r="B165" s="1047">
        <v>39700</v>
      </c>
      <c r="C165" s="233" t="s">
        <v>440</v>
      </c>
      <c r="D165" s="322">
        <f>'[4]Gross Plant'!$Q96</f>
        <v>37541</v>
      </c>
      <c r="E165" s="617">
        <v>0</v>
      </c>
      <c r="F165" s="617">
        <f t="shared" si="44"/>
        <v>37541</v>
      </c>
      <c r="G165" s="336">
        <f t="shared" si="45"/>
        <v>1</v>
      </c>
      <c r="H165" s="324">
        <f t="shared" si="46"/>
        <v>0.49780000000000002</v>
      </c>
      <c r="I165" s="617">
        <f t="shared" si="48"/>
        <v>18687.909800000001</v>
      </c>
      <c r="K165" s="322">
        <f>'[4]Gross Plant'!$C96</f>
        <v>37541</v>
      </c>
      <c r="L165" s="336">
        <f t="shared" si="49"/>
        <v>1</v>
      </c>
      <c r="M165" s="324">
        <f t="shared" si="50"/>
        <v>0.49780000000000002</v>
      </c>
      <c r="N165" s="617">
        <f t="shared" si="51"/>
        <v>18687.909800000001</v>
      </c>
      <c r="R165" s="424"/>
    </row>
    <row r="166" spans="1:18">
      <c r="A166" s="209">
        <f t="shared" si="40"/>
        <v>152</v>
      </c>
      <c r="B166" s="1047">
        <v>39701</v>
      </c>
      <c r="C166" s="233" t="s">
        <v>1499</v>
      </c>
      <c r="D166" s="322">
        <f>'[4]Gross Plant'!$Q97</f>
        <v>0</v>
      </c>
      <c r="E166" s="617">
        <v>0</v>
      </c>
      <c r="F166" s="617">
        <f t="shared" si="44"/>
        <v>0</v>
      </c>
      <c r="G166" s="336">
        <f t="shared" si="45"/>
        <v>1</v>
      </c>
      <c r="H166" s="324">
        <f t="shared" si="46"/>
        <v>0.49780000000000002</v>
      </c>
      <c r="I166" s="617">
        <f t="shared" si="48"/>
        <v>0</v>
      </c>
      <c r="K166" s="322">
        <f>'[4]Gross Plant'!$C97</f>
        <v>0</v>
      </c>
      <c r="L166" s="336">
        <f t="shared" si="49"/>
        <v>1</v>
      </c>
      <c r="M166" s="324">
        <f t="shared" si="50"/>
        <v>0.49780000000000002</v>
      </c>
      <c r="N166" s="617">
        <f t="shared" si="51"/>
        <v>0</v>
      </c>
      <c r="R166" s="424"/>
    </row>
    <row r="167" spans="1:18">
      <c r="A167" s="209">
        <f t="shared" si="40"/>
        <v>153</v>
      </c>
      <c r="B167" s="1047">
        <v>39702</v>
      </c>
      <c r="C167" s="233" t="s">
        <v>1499</v>
      </c>
      <c r="D167" s="322">
        <f>'[4]Gross Plant'!$Q98</f>
        <v>0</v>
      </c>
      <c r="E167" s="617">
        <v>0</v>
      </c>
      <c r="F167" s="617">
        <f t="shared" si="44"/>
        <v>0</v>
      </c>
      <c r="G167" s="336">
        <f t="shared" si="45"/>
        <v>1</v>
      </c>
      <c r="H167" s="324">
        <f t="shared" si="46"/>
        <v>0.49780000000000002</v>
      </c>
      <c r="I167" s="617">
        <f t="shared" si="48"/>
        <v>0</v>
      </c>
      <c r="K167" s="322">
        <f>'[4]Gross Plant'!$C98</f>
        <v>0</v>
      </c>
      <c r="L167" s="336">
        <f t="shared" si="49"/>
        <v>1</v>
      </c>
      <c r="M167" s="324">
        <f t="shared" si="50"/>
        <v>0.49780000000000002</v>
      </c>
      <c r="N167" s="617">
        <f t="shared" si="51"/>
        <v>0</v>
      </c>
      <c r="R167" s="424"/>
    </row>
    <row r="168" spans="1:18">
      <c r="A168" s="209">
        <f t="shared" si="40"/>
        <v>154</v>
      </c>
      <c r="B168" s="1047">
        <v>39800</v>
      </c>
      <c r="C168" s="233" t="s">
        <v>650</v>
      </c>
      <c r="D168" s="322">
        <f>'[4]Gross Plant'!$Q99</f>
        <v>814166.88</v>
      </c>
      <c r="E168" s="617">
        <v>0</v>
      </c>
      <c r="F168" s="617">
        <f t="shared" si="44"/>
        <v>814166.88</v>
      </c>
      <c r="G168" s="336">
        <f t="shared" si="45"/>
        <v>1</v>
      </c>
      <c r="H168" s="324">
        <f t="shared" si="46"/>
        <v>0.49780000000000002</v>
      </c>
      <c r="I168" s="617">
        <f t="shared" si="48"/>
        <v>405292.272864</v>
      </c>
      <c r="K168" s="322">
        <f>'[4]Gross Plant'!$C99</f>
        <v>814166.88000000012</v>
      </c>
      <c r="L168" s="336">
        <f t="shared" si="49"/>
        <v>1</v>
      </c>
      <c r="M168" s="324">
        <f t="shared" si="50"/>
        <v>0.49780000000000002</v>
      </c>
      <c r="N168" s="617">
        <f t="shared" si="51"/>
        <v>405292.27286400006</v>
      </c>
      <c r="R168" s="424"/>
    </row>
    <row r="169" spans="1:18">
      <c r="A169" s="209">
        <f t="shared" si="40"/>
        <v>155</v>
      </c>
      <c r="B169" s="1047">
        <v>39900</v>
      </c>
      <c r="C169" s="233" t="s">
        <v>1152</v>
      </c>
      <c r="D169" s="322">
        <f>'[4]Gross Plant'!$Q100</f>
        <v>0</v>
      </c>
      <c r="E169" s="617">
        <v>0</v>
      </c>
      <c r="F169" s="617">
        <f t="shared" si="44"/>
        <v>0</v>
      </c>
      <c r="G169" s="336">
        <f t="shared" si="45"/>
        <v>1</v>
      </c>
      <c r="H169" s="324">
        <f t="shared" si="46"/>
        <v>0.49780000000000002</v>
      </c>
      <c r="I169" s="617">
        <f t="shared" si="48"/>
        <v>0</v>
      </c>
      <c r="K169" s="322">
        <f>'[4]Gross Plant'!$C100</f>
        <v>0</v>
      </c>
      <c r="L169" s="336">
        <f t="shared" si="49"/>
        <v>1</v>
      </c>
      <c r="M169" s="324">
        <f t="shared" si="50"/>
        <v>0.49780000000000002</v>
      </c>
      <c r="N169" s="617">
        <f t="shared" si="51"/>
        <v>0</v>
      </c>
      <c r="R169" s="424"/>
    </row>
    <row r="170" spans="1:18">
      <c r="A170" s="209">
        <f t="shared" si="40"/>
        <v>156</v>
      </c>
      <c r="B170" s="1047">
        <v>39901</v>
      </c>
      <c r="C170" s="233" t="s">
        <v>474</v>
      </c>
      <c r="D170" s="322">
        <f>'[4]Gross Plant'!$Q101</f>
        <v>0</v>
      </c>
      <c r="E170" s="617">
        <v>0</v>
      </c>
      <c r="F170" s="617">
        <f t="shared" si="44"/>
        <v>0</v>
      </c>
      <c r="G170" s="336">
        <f t="shared" si="45"/>
        <v>1</v>
      </c>
      <c r="H170" s="324">
        <f t="shared" si="46"/>
        <v>0.49780000000000002</v>
      </c>
      <c r="I170" s="617">
        <f t="shared" si="48"/>
        <v>0</v>
      </c>
      <c r="K170" s="322">
        <f>'[4]Gross Plant'!$C101</f>
        <v>0</v>
      </c>
      <c r="L170" s="336">
        <f t="shared" si="49"/>
        <v>1</v>
      </c>
      <c r="M170" s="324">
        <f t="shared" si="50"/>
        <v>0.49780000000000002</v>
      </c>
      <c r="N170" s="617">
        <f t="shared" si="51"/>
        <v>0</v>
      </c>
      <c r="R170" s="424"/>
    </row>
    <row r="171" spans="1:18">
      <c r="A171" s="209">
        <f t="shared" si="40"/>
        <v>157</v>
      </c>
      <c r="B171" s="1047">
        <v>39902</v>
      </c>
      <c r="C171" s="233" t="s">
        <v>960</v>
      </c>
      <c r="D171" s="322">
        <f>'[4]Gross Plant'!$Q102</f>
        <v>0</v>
      </c>
      <c r="E171" s="617">
        <v>0</v>
      </c>
      <c r="F171" s="617">
        <f t="shared" si="44"/>
        <v>0</v>
      </c>
      <c r="G171" s="336">
        <f t="shared" si="45"/>
        <v>1</v>
      </c>
      <c r="H171" s="324">
        <f t="shared" si="46"/>
        <v>0.49780000000000002</v>
      </c>
      <c r="I171" s="617">
        <f t="shared" si="48"/>
        <v>0</v>
      </c>
      <c r="K171" s="322">
        <f>'[4]Gross Plant'!$C102</f>
        <v>0</v>
      </c>
      <c r="L171" s="336">
        <f t="shared" si="49"/>
        <v>1</v>
      </c>
      <c r="M171" s="324">
        <f t="shared" si="50"/>
        <v>0.49780000000000002</v>
      </c>
      <c r="N171" s="617">
        <f t="shared" si="51"/>
        <v>0</v>
      </c>
      <c r="R171" s="424"/>
    </row>
    <row r="172" spans="1:18">
      <c r="A172" s="209">
        <f t="shared" si="40"/>
        <v>158</v>
      </c>
      <c r="B172" s="1047">
        <v>39903</v>
      </c>
      <c r="C172" s="233" t="s">
        <v>1003</v>
      </c>
      <c r="D172" s="322">
        <f>'[4]Gross Plant'!$Q103</f>
        <v>0</v>
      </c>
      <c r="E172" s="617">
        <v>0</v>
      </c>
      <c r="F172" s="617">
        <f t="shared" si="44"/>
        <v>0</v>
      </c>
      <c r="G172" s="336">
        <f t="shared" si="45"/>
        <v>1</v>
      </c>
      <c r="H172" s="324">
        <f t="shared" si="46"/>
        <v>0.49780000000000002</v>
      </c>
      <c r="I172" s="617">
        <f t="shared" si="48"/>
        <v>0</v>
      </c>
      <c r="K172" s="322">
        <f>'[4]Gross Plant'!$C103</f>
        <v>0</v>
      </c>
      <c r="L172" s="336">
        <f t="shared" si="41"/>
        <v>1</v>
      </c>
      <c r="M172" s="324">
        <f t="shared" si="42"/>
        <v>0.49780000000000002</v>
      </c>
      <c r="N172" s="617">
        <f t="shared" si="43"/>
        <v>0</v>
      </c>
      <c r="R172" s="424"/>
    </row>
    <row r="173" spans="1:18">
      <c r="A173" s="209">
        <f t="shared" si="40"/>
        <v>159</v>
      </c>
      <c r="B173" s="1047">
        <v>39906</v>
      </c>
      <c r="C173" s="233" t="s">
        <v>451</v>
      </c>
      <c r="D173" s="322">
        <f>'[4]Gross Plant'!$Q104</f>
        <v>70177.67</v>
      </c>
      <c r="E173" s="617">
        <v>0</v>
      </c>
      <c r="F173" s="617">
        <f t="shared" si="44"/>
        <v>70177.67</v>
      </c>
      <c r="G173" s="336">
        <f t="shared" si="45"/>
        <v>1</v>
      </c>
      <c r="H173" s="324">
        <f t="shared" si="46"/>
        <v>0.49780000000000002</v>
      </c>
      <c r="I173" s="617">
        <f t="shared" si="48"/>
        <v>34934.444126000002</v>
      </c>
      <c r="K173" s="322">
        <f>'[4]Gross Plant'!$C104</f>
        <v>70177.670000000013</v>
      </c>
      <c r="L173" s="336">
        <f t="shared" si="41"/>
        <v>1</v>
      </c>
      <c r="M173" s="324">
        <f t="shared" si="42"/>
        <v>0.49780000000000002</v>
      </c>
      <c r="N173" s="617">
        <f t="shared" si="43"/>
        <v>34934.444126000009</v>
      </c>
      <c r="R173" s="424"/>
    </row>
    <row r="174" spans="1:18">
      <c r="A174" s="209">
        <f t="shared" si="40"/>
        <v>160</v>
      </c>
      <c r="B174" s="1047">
        <v>39907</v>
      </c>
      <c r="C174" s="233" t="s">
        <v>505</v>
      </c>
      <c r="D174" s="322">
        <f>'[4]Gross Plant'!$Q105</f>
        <v>137919.13</v>
      </c>
      <c r="E174" s="617">
        <v>0</v>
      </c>
      <c r="F174" s="617">
        <f t="shared" si="44"/>
        <v>137919.13</v>
      </c>
      <c r="G174" s="336">
        <f t="shared" si="45"/>
        <v>1</v>
      </c>
      <c r="H174" s="324">
        <f t="shared" si="46"/>
        <v>0.49780000000000002</v>
      </c>
      <c r="I174" s="617">
        <f t="shared" si="48"/>
        <v>68656.142914000011</v>
      </c>
      <c r="K174" s="322">
        <f>'[4]Gross Plant'!$C105</f>
        <v>88807.234615384616</v>
      </c>
      <c r="L174" s="336">
        <f t="shared" si="41"/>
        <v>1</v>
      </c>
      <c r="M174" s="324">
        <f t="shared" si="42"/>
        <v>0.49780000000000002</v>
      </c>
      <c r="N174" s="617">
        <f t="shared" si="43"/>
        <v>44208.24139153846</v>
      </c>
      <c r="R174" s="424"/>
    </row>
    <row r="175" spans="1:18">
      <c r="A175" s="209">
        <f t="shared" si="40"/>
        <v>161</v>
      </c>
      <c r="B175" s="1047">
        <v>39908</v>
      </c>
      <c r="C175" s="233" t="s">
        <v>179</v>
      </c>
      <c r="D175" s="322">
        <f>'[4]Gross Plant'!$Q106</f>
        <v>828509.36</v>
      </c>
      <c r="E175" s="1046">
        <v>0</v>
      </c>
      <c r="F175" s="1046">
        <f t="shared" si="44"/>
        <v>828509.36</v>
      </c>
      <c r="G175" s="336">
        <f t="shared" si="45"/>
        <v>1</v>
      </c>
      <c r="H175" s="324">
        <f t="shared" si="46"/>
        <v>0.49780000000000002</v>
      </c>
      <c r="I175" s="617">
        <f t="shared" si="48"/>
        <v>412431.959408</v>
      </c>
      <c r="K175" s="322">
        <f>'[4]Gross Plant'!$C106</f>
        <v>828509.36</v>
      </c>
      <c r="L175" s="336">
        <f t="shared" si="41"/>
        <v>1</v>
      </c>
      <c r="M175" s="324">
        <f t="shared" si="42"/>
        <v>0.49780000000000002</v>
      </c>
      <c r="N175" s="1046">
        <f t="shared" si="43"/>
        <v>412431.959408</v>
      </c>
      <c r="R175" s="424"/>
    </row>
    <row r="176" spans="1:18">
      <c r="A176" s="209">
        <f t="shared" si="40"/>
        <v>162</v>
      </c>
      <c r="B176" s="1048"/>
      <c r="C176" s="233"/>
      <c r="D176" s="619"/>
      <c r="E176" s="619"/>
      <c r="F176" s="619"/>
      <c r="I176" s="619"/>
      <c r="K176" s="619"/>
      <c r="N176" s="619"/>
    </row>
    <row r="177" spans="1:18">
      <c r="A177" s="209">
        <f t="shared" si="40"/>
        <v>163</v>
      </c>
      <c r="B177" s="1048"/>
      <c r="C177" s="233" t="s">
        <v>4</v>
      </c>
      <c r="D177" s="360">
        <f>SUM(D155:D176)</f>
        <v>2384147.6199999996</v>
      </c>
      <c r="E177" s="360">
        <f>SUM(E155:E176)</f>
        <v>0</v>
      </c>
      <c r="F177" s="360">
        <f>SUM(F155:F176)</f>
        <v>2384147.6199999996</v>
      </c>
      <c r="I177" s="322">
        <f>SUM(I155:I176)</f>
        <v>1186828.685236</v>
      </c>
      <c r="K177" s="322">
        <f>SUM(K155:K176)</f>
        <v>2335679.0815384616</v>
      </c>
      <c r="N177" s="322">
        <f>SUM(N155:N176)</f>
        <v>1162701.0467898462</v>
      </c>
    </row>
    <row r="178" spans="1:18">
      <c r="A178" s="209">
        <f t="shared" si="40"/>
        <v>164</v>
      </c>
      <c r="B178" s="1048"/>
      <c r="C178" s="233"/>
    </row>
    <row r="179" spans="1:18" ht="15.75" thickBot="1">
      <c r="A179" s="209">
        <f t="shared" si="40"/>
        <v>165</v>
      </c>
      <c r="B179" s="1048"/>
      <c r="C179" s="233" t="s">
        <v>1319</v>
      </c>
      <c r="D179" s="1010">
        <f>D127+D152+D177</f>
        <v>3679008.5699999994</v>
      </c>
      <c r="E179" s="1010">
        <f>E127+E152+E177</f>
        <v>0</v>
      </c>
      <c r="F179" s="1010">
        <f>F127+F152+F177</f>
        <v>3679008.5699999994</v>
      </c>
      <c r="I179" s="1010">
        <f>I127+I152+I177</f>
        <v>1831410.466146</v>
      </c>
      <c r="K179" s="1010">
        <f>K127+K152+K177</f>
        <v>3630540.0315384613</v>
      </c>
      <c r="N179" s="1010">
        <f>N127+N152+N177</f>
        <v>1807282.8276998461</v>
      </c>
    </row>
    <row r="180" spans="1:18" ht="15.75" thickTop="1">
      <c r="A180" s="209">
        <f t="shared" si="40"/>
        <v>166</v>
      </c>
      <c r="B180" s="1048"/>
      <c r="C180" s="233"/>
      <c r="D180" s="322"/>
      <c r="E180" s="322"/>
      <c r="F180" s="322"/>
      <c r="I180" s="322"/>
    </row>
    <row r="181" spans="1:18">
      <c r="A181" s="209">
        <f t="shared" si="40"/>
        <v>167</v>
      </c>
      <c r="B181" s="1048"/>
      <c r="C181" s="195" t="s">
        <v>749</v>
      </c>
      <c r="D181" s="322">
        <f>'[4]Gross Plant'!$Q$219</f>
        <v>4641.7299999999923</v>
      </c>
      <c r="E181" s="322">
        <v>0</v>
      </c>
      <c r="F181" s="322">
        <f>D181+E181</f>
        <v>4641.7299999999923</v>
      </c>
      <c r="G181" s="336">
        <f>$G$16</f>
        <v>1</v>
      </c>
      <c r="H181" s="324">
        <f>$H$124</f>
        <v>0.49780000000000002</v>
      </c>
      <c r="I181" s="322">
        <f>F181*G181*H181</f>
        <v>2310.6531939999963</v>
      </c>
      <c r="K181" s="322">
        <f>'[4]Gross Plant'!$C$219</f>
        <v>59039.563846153855</v>
      </c>
      <c r="L181" s="336">
        <f>G181</f>
        <v>1</v>
      </c>
      <c r="M181" s="324">
        <f>H181</f>
        <v>0.49780000000000002</v>
      </c>
      <c r="N181" s="322">
        <f>K181*L181*M181</f>
        <v>29389.89488261539</v>
      </c>
    </row>
    <row r="182" spans="1:18">
      <c r="A182" s="209">
        <f t="shared" si="40"/>
        <v>168</v>
      </c>
      <c r="B182" s="1048"/>
    </row>
    <row r="183" spans="1:18" ht="15.75">
      <c r="A183" s="209">
        <f t="shared" si="40"/>
        <v>169</v>
      </c>
      <c r="B183" s="1044" t="s">
        <v>8</v>
      </c>
    </row>
    <row r="184" spans="1:18">
      <c r="A184" s="209">
        <f t="shared" si="40"/>
        <v>170</v>
      </c>
      <c r="B184" s="1048"/>
      <c r="H184" s="324"/>
    </row>
    <row r="185" spans="1:18">
      <c r="A185" s="209">
        <f t="shared" si="40"/>
        <v>171</v>
      </c>
      <c r="B185" s="1048"/>
      <c r="C185" s="620" t="s">
        <v>301</v>
      </c>
    </row>
    <row r="186" spans="1:18" ht="14.25" customHeight="1">
      <c r="A186" s="209">
        <f t="shared" si="40"/>
        <v>172</v>
      </c>
      <c r="B186" s="1047">
        <v>39000</v>
      </c>
      <c r="C186" s="233" t="s">
        <v>856</v>
      </c>
      <c r="D186" s="322">
        <f>'[4]Gross Plant'!$Q7</f>
        <v>1586282.2275308841</v>
      </c>
      <c r="E186" s="360">
        <v>0</v>
      </c>
      <c r="F186" s="360">
        <f>D186+E186</f>
        <v>1586282.2275308841</v>
      </c>
      <c r="G186" s="324">
        <f>Allocation!$G$14</f>
        <v>0.104</v>
      </c>
      <c r="H186" s="324">
        <f>Allocation!$H$14</f>
        <v>0.49780000000000002</v>
      </c>
      <c r="I186" s="360">
        <f>F186*G186*H186</f>
        <v>82123.734457946906</v>
      </c>
      <c r="K186" s="322">
        <f>'[4]Gross Plant'!$C7</f>
        <v>1466644.813847549</v>
      </c>
      <c r="L186" s="324">
        <f>G186</f>
        <v>0.104</v>
      </c>
      <c r="M186" s="324">
        <f>H186</f>
        <v>0.49780000000000002</v>
      </c>
      <c r="N186" s="360">
        <f>K186*L186*M186</f>
        <v>75929.961986664232</v>
      </c>
      <c r="R186" s="424"/>
    </row>
    <row r="187" spans="1:18">
      <c r="A187" s="209">
        <f t="shared" si="40"/>
        <v>173</v>
      </c>
      <c r="B187" s="1047">
        <v>39005</v>
      </c>
      <c r="C187" s="233" t="s">
        <v>1196</v>
      </c>
      <c r="D187" s="322">
        <f>'[4]Gross Plant'!$Q8</f>
        <v>9187141.9699999988</v>
      </c>
      <c r="E187" s="621">
        <v>0</v>
      </c>
      <c r="F187" s="617">
        <f>D187+E187</f>
        <v>9187141.9699999988</v>
      </c>
      <c r="G187" s="467">
        <v>1</v>
      </c>
      <c r="H187" s="467">
        <f>Allocation!$I$20</f>
        <v>1.570628E-2</v>
      </c>
      <c r="I187" s="617">
        <f>F187*G187*H187</f>
        <v>144295.82418057157</v>
      </c>
      <c r="K187" s="322">
        <f>'[4]Gross Plant'!$C8</f>
        <v>9187158.2392307688</v>
      </c>
      <c r="L187" s="324">
        <f>G187</f>
        <v>1</v>
      </c>
      <c r="M187" s="324">
        <f t="shared" ref="M187:M221" si="52">H187</f>
        <v>1.570628E-2</v>
      </c>
      <c r="N187" s="617">
        <f t="shared" ref="N187:N223" si="53">K187*L187*M187</f>
        <v>144296.07970966544</v>
      </c>
      <c r="R187" s="424"/>
    </row>
    <row r="188" spans="1:18">
      <c r="A188" s="209">
        <f t="shared" si="40"/>
        <v>174</v>
      </c>
      <c r="B188" s="1047">
        <v>39009</v>
      </c>
      <c r="C188" s="233" t="s">
        <v>1036</v>
      </c>
      <c r="D188" s="322">
        <f>'[4]Gross Plant'!$Q9</f>
        <v>9316001.1799999997</v>
      </c>
      <c r="E188" s="621">
        <v>0</v>
      </c>
      <c r="F188" s="617">
        <f t="shared" ref="F188:F223" si="54">D188+E188</f>
        <v>9316001.1799999997</v>
      </c>
      <c r="G188" s="324">
        <f>G186</f>
        <v>0.104</v>
      </c>
      <c r="H188" s="324">
        <f>H186</f>
        <v>0.49780000000000002</v>
      </c>
      <c r="I188" s="617">
        <f t="shared" ref="I188:I223" si="55">F188*G188*H188</f>
        <v>482300.56029001594</v>
      </c>
      <c r="K188" s="322">
        <f>'[4]Gross Plant'!$C9</f>
        <v>9316001.1800000034</v>
      </c>
      <c r="L188" s="324">
        <f t="shared" ref="L188:L218" si="56">G188</f>
        <v>0.104</v>
      </c>
      <c r="M188" s="324">
        <f t="shared" si="52"/>
        <v>0.49780000000000002</v>
      </c>
      <c r="N188" s="617">
        <f t="shared" si="53"/>
        <v>482300.56029001618</v>
      </c>
      <c r="R188" s="424"/>
    </row>
    <row r="189" spans="1:18">
      <c r="A189" s="209">
        <f t="shared" si="40"/>
        <v>175</v>
      </c>
      <c r="B189" s="1047">
        <v>39020</v>
      </c>
      <c r="C189" s="233" t="s">
        <v>1503</v>
      </c>
      <c r="D189" s="322">
        <f>'[4]Gross Plant'!$Q10</f>
        <v>0</v>
      </c>
      <c r="E189" s="621">
        <v>0</v>
      </c>
      <c r="F189" s="617">
        <f t="shared" si="54"/>
        <v>0</v>
      </c>
      <c r="G189" s="324">
        <f t="shared" ref="G189" si="57">G187</f>
        <v>1</v>
      </c>
      <c r="H189" s="324">
        <f>Allocation!E22</f>
        <v>6.3622429999999994E-2</v>
      </c>
      <c r="I189" s="617">
        <f t="shared" si="55"/>
        <v>0</v>
      </c>
      <c r="K189" s="322">
        <f>'[4]Gross Plant'!$C10</f>
        <v>0</v>
      </c>
      <c r="L189" s="324">
        <f t="shared" ref="L189:L190" si="58">G189</f>
        <v>1</v>
      </c>
      <c r="M189" s="324">
        <f t="shared" si="52"/>
        <v>6.3622429999999994E-2</v>
      </c>
      <c r="N189" s="617">
        <f t="shared" si="53"/>
        <v>0</v>
      </c>
      <c r="R189" s="424"/>
    </row>
    <row r="190" spans="1:18">
      <c r="A190" s="209">
        <f t="shared" si="40"/>
        <v>176</v>
      </c>
      <c r="B190" s="1047">
        <v>39029</v>
      </c>
      <c r="C190" s="233" t="s">
        <v>1504</v>
      </c>
      <c r="D190" s="322">
        <f>'[4]Gross Plant'!$Q11</f>
        <v>7891.1869509959633</v>
      </c>
      <c r="E190" s="621">
        <v>0</v>
      </c>
      <c r="F190" s="617">
        <f t="shared" si="54"/>
        <v>7891.1869509959633</v>
      </c>
      <c r="G190" s="324">
        <f t="shared" ref="G190" si="59">G188</f>
        <v>0.104</v>
      </c>
      <c r="H190" s="324">
        <f>H189</f>
        <v>6.3622429999999994E-2</v>
      </c>
      <c r="I190" s="617">
        <f t="shared" si="55"/>
        <v>52.213874898292019</v>
      </c>
      <c r="K190" s="322">
        <f>'[4]Gross Plant'!$C11</f>
        <v>2772.3765844204895</v>
      </c>
      <c r="L190" s="324">
        <f t="shared" si="58"/>
        <v>0.104</v>
      </c>
      <c r="M190" s="324">
        <f t="shared" si="52"/>
        <v>6.3622429999999994E-2</v>
      </c>
      <c r="N190" s="617">
        <f t="shared" si="53"/>
        <v>18.344074858296892</v>
      </c>
      <c r="R190" s="424"/>
    </row>
    <row r="191" spans="1:18">
      <c r="A191" s="209">
        <f t="shared" si="40"/>
        <v>177</v>
      </c>
      <c r="B191" s="1047">
        <v>39100</v>
      </c>
      <c r="C191" s="233" t="s">
        <v>779</v>
      </c>
      <c r="D191" s="322">
        <f>'[4]Gross Plant'!$Q12</f>
        <v>5144630.4368824754</v>
      </c>
      <c r="E191" s="621">
        <v>0</v>
      </c>
      <c r="F191" s="617">
        <f t="shared" si="54"/>
        <v>5144630.4368824754</v>
      </c>
      <c r="G191" s="324">
        <f>G188</f>
        <v>0.104</v>
      </c>
      <c r="H191" s="324">
        <f>H188</f>
        <v>0.49780000000000002</v>
      </c>
      <c r="I191" s="617">
        <f t="shared" si="55"/>
        <v>266343.69127393002</v>
      </c>
      <c r="K191" s="322">
        <f>'[4]Gross Plant'!$C12</f>
        <v>5127587.4098251574</v>
      </c>
      <c r="L191" s="324">
        <f t="shared" si="56"/>
        <v>0.104</v>
      </c>
      <c r="M191" s="324">
        <f t="shared" si="52"/>
        <v>0.49780000000000002</v>
      </c>
      <c r="N191" s="617">
        <f t="shared" si="53"/>
        <v>265461.35331154021</v>
      </c>
      <c r="R191" s="424"/>
    </row>
    <row r="192" spans="1:18">
      <c r="A192" s="209">
        <f t="shared" si="40"/>
        <v>178</v>
      </c>
      <c r="B192" s="1047">
        <v>39102</v>
      </c>
      <c r="C192" s="233" t="s">
        <v>527</v>
      </c>
      <c r="D192" s="322">
        <f>'[4]Gross Plant'!$Q13</f>
        <v>0</v>
      </c>
      <c r="E192" s="621">
        <v>0</v>
      </c>
      <c r="F192" s="617">
        <f t="shared" si="54"/>
        <v>0</v>
      </c>
      <c r="G192" s="324">
        <f t="shared" ref="G192:G208" si="60">G191</f>
        <v>0.104</v>
      </c>
      <c r="H192" s="324">
        <f t="shared" ref="H192:H193" si="61">H191</f>
        <v>0.49780000000000002</v>
      </c>
      <c r="I192" s="617">
        <f t="shared" si="55"/>
        <v>0</v>
      </c>
      <c r="K192" s="322">
        <f>'[4]Gross Plant'!$C13</f>
        <v>0</v>
      </c>
      <c r="L192" s="324">
        <f t="shared" si="56"/>
        <v>0.104</v>
      </c>
      <c r="M192" s="324">
        <f t="shared" si="52"/>
        <v>0.49780000000000002</v>
      </c>
      <c r="N192" s="617">
        <f t="shared" si="53"/>
        <v>0</v>
      </c>
      <c r="R192" s="424"/>
    </row>
    <row r="193" spans="1:18">
      <c r="A193" s="209">
        <f t="shared" si="40"/>
        <v>179</v>
      </c>
      <c r="B193" s="1047">
        <v>39103</v>
      </c>
      <c r="C193" s="233" t="s">
        <v>780</v>
      </c>
      <c r="D193" s="322">
        <f>'[4]Gross Plant'!$Q14</f>
        <v>0</v>
      </c>
      <c r="E193" s="621">
        <v>0</v>
      </c>
      <c r="F193" s="617">
        <f t="shared" si="54"/>
        <v>0</v>
      </c>
      <c r="G193" s="324">
        <f t="shared" si="60"/>
        <v>0.104</v>
      </c>
      <c r="H193" s="324">
        <f t="shared" si="61"/>
        <v>0.49780000000000002</v>
      </c>
      <c r="I193" s="617">
        <f t="shared" si="55"/>
        <v>0</v>
      </c>
      <c r="K193" s="322">
        <f>'[4]Gross Plant'!$C14</f>
        <v>0</v>
      </c>
      <c r="L193" s="324">
        <f t="shared" si="56"/>
        <v>0.104</v>
      </c>
      <c r="M193" s="324">
        <f t="shared" si="52"/>
        <v>0.49780000000000002</v>
      </c>
      <c r="N193" s="617">
        <f t="shared" si="53"/>
        <v>0</v>
      </c>
      <c r="R193" s="424"/>
    </row>
    <row r="194" spans="1:18">
      <c r="A194" s="209">
        <f t="shared" si="40"/>
        <v>180</v>
      </c>
      <c r="B194" s="1047">
        <v>39104</v>
      </c>
      <c r="C194" s="233" t="s">
        <v>1197</v>
      </c>
      <c r="D194" s="322">
        <f>'[4]Gross Plant'!$Q15</f>
        <v>104316.45389568045</v>
      </c>
      <c r="E194" s="621">
        <v>0</v>
      </c>
      <c r="F194" s="617">
        <f t="shared" si="54"/>
        <v>104316.45389568045</v>
      </c>
      <c r="G194" s="467">
        <v>1</v>
      </c>
      <c r="H194" s="467">
        <f>$H$187</f>
        <v>1.570628E-2</v>
      </c>
      <c r="I194" s="617">
        <f t="shared" si="55"/>
        <v>1638.4234334926477</v>
      </c>
      <c r="K194" s="322">
        <f>'[4]Gross Plant'!$C15</f>
        <v>78243.774345026046</v>
      </c>
      <c r="L194" s="324">
        <f t="shared" ref="L194" si="62">G194</f>
        <v>1</v>
      </c>
      <c r="M194" s="324">
        <f t="shared" si="52"/>
        <v>1.570628E-2</v>
      </c>
      <c r="N194" s="617">
        <f t="shared" si="53"/>
        <v>1228.9186281197956</v>
      </c>
      <c r="R194" s="424"/>
    </row>
    <row r="195" spans="1:18">
      <c r="A195" s="209">
        <f t="shared" si="40"/>
        <v>181</v>
      </c>
      <c r="B195" s="1047">
        <v>39120</v>
      </c>
      <c r="C195" s="233" t="s">
        <v>1505</v>
      </c>
      <c r="D195" s="322">
        <f>'[4]Gross Plant'!$Q16</f>
        <v>263337.89</v>
      </c>
      <c r="E195" s="621">
        <v>0</v>
      </c>
      <c r="F195" s="617">
        <f t="shared" si="54"/>
        <v>263337.89</v>
      </c>
      <c r="G195" s="467">
        <v>1</v>
      </c>
      <c r="H195" s="467">
        <f>Allocation!E22</f>
        <v>6.3622429999999994E-2</v>
      </c>
      <c r="I195" s="617">
        <f t="shared" si="55"/>
        <v>16754.1964728727</v>
      </c>
      <c r="K195" s="322">
        <f>'[4]Gross Plant'!$C16</f>
        <v>263337.89000000007</v>
      </c>
      <c r="L195" s="324">
        <v>1</v>
      </c>
      <c r="M195" s="324">
        <f t="shared" si="52"/>
        <v>6.3622429999999994E-2</v>
      </c>
      <c r="N195" s="617">
        <f t="shared" si="53"/>
        <v>16754.196472872703</v>
      </c>
      <c r="R195" s="424"/>
    </row>
    <row r="196" spans="1:18">
      <c r="A196" s="209">
        <f t="shared" si="40"/>
        <v>182</v>
      </c>
      <c r="B196" s="1047">
        <v>39200</v>
      </c>
      <c r="C196" s="233" t="s">
        <v>1076</v>
      </c>
      <c r="D196" s="322">
        <f>'[4]Gross Plant'!$Q17</f>
        <v>7125.41</v>
      </c>
      <c r="E196" s="621">
        <v>0</v>
      </c>
      <c r="F196" s="617">
        <f t="shared" si="54"/>
        <v>7125.41</v>
      </c>
      <c r="G196" s="324">
        <f>G193</f>
        <v>0.104</v>
      </c>
      <c r="H196" s="324">
        <f>H193</f>
        <v>0.49780000000000002</v>
      </c>
      <c r="I196" s="617">
        <f t="shared" si="55"/>
        <v>368.89102619200003</v>
      </c>
      <c r="K196" s="322">
        <f>'[4]Gross Plant'!$C17</f>
        <v>7125.4100000000026</v>
      </c>
      <c r="L196" s="324">
        <f t="shared" si="56"/>
        <v>0.104</v>
      </c>
      <c r="M196" s="324">
        <f t="shared" si="52"/>
        <v>0.49780000000000002</v>
      </c>
      <c r="N196" s="617">
        <f t="shared" si="53"/>
        <v>368.89102619200014</v>
      </c>
      <c r="R196" s="424"/>
    </row>
    <row r="197" spans="1:18">
      <c r="A197" s="209">
        <f t="shared" si="40"/>
        <v>183</v>
      </c>
      <c r="B197" s="1047">
        <v>39300</v>
      </c>
      <c r="C197" s="233" t="s">
        <v>649</v>
      </c>
      <c r="D197" s="322">
        <f>'[4]Gross Plant'!$Q18</f>
        <v>0</v>
      </c>
      <c r="E197" s="621">
        <v>0</v>
      </c>
      <c r="F197" s="617">
        <f t="shared" si="54"/>
        <v>0</v>
      </c>
      <c r="G197" s="324">
        <f t="shared" si="60"/>
        <v>0.104</v>
      </c>
      <c r="H197" s="324">
        <f t="shared" ref="H197:H213" si="63">H196</f>
        <v>0.49780000000000002</v>
      </c>
      <c r="I197" s="617">
        <f t="shared" si="55"/>
        <v>0</v>
      </c>
      <c r="K197" s="322">
        <f>'[4]Gross Plant'!$C18</f>
        <v>0</v>
      </c>
      <c r="L197" s="324">
        <f t="shared" si="56"/>
        <v>0.104</v>
      </c>
      <c r="M197" s="324">
        <f t="shared" si="52"/>
        <v>0.49780000000000002</v>
      </c>
      <c r="N197" s="617">
        <f t="shared" si="53"/>
        <v>0</v>
      </c>
      <c r="R197" s="424"/>
    </row>
    <row r="198" spans="1:18">
      <c r="A198" s="209">
        <f t="shared" si="40"/>
        <v>184</v>
      </c>
      <c r="B198" s="1047">
        <v>39400</v>
      </c>
      <c r="C198" s="233" t="s">
        <v>1035</v>
      </c>
      <c r="D198" s="322">
        <f>'[4]Gross Plant'!$Q19</f>
        <v>76071.34</v>
      </c>
      <c r="E198" s="621">
        <v>0</v>
      </c>
      <c r="F198" s="617">
        <f t="shared" si="54"/>
        <v>76071.34</v>
      </c>
      <c r="G198" s="324">
        <f t="shared" si="60"/>
        <v>0.104</v>
      </c>
      <c r="H198" s="324">
        <f t="shared" si="63"/>
        <v>0.49780000000000002</v>
      </c>
      <c r="I198" s="617">
        <f t="shared" si="55"/>
        <v>3938.3045574079997</v>
      </c>
      <c r="K198" s="322">
        <f>'[4]Gross Plant'!$C19</f>
        <v>76071.339999999982</v>
      </c>
      <c r="L198" s="324">
        <f t="shared" si="56"/>
        <v>0.104</v>
      </c>
      <c r="M198" s="324">
        <f t="shared" si="52"/>
        <v>0.49780000000000002</v>
      </c>
      <c r="N198" s="617">
        <f t="shared" si="53"/>
        <v>3938.3045574079993</v>
      </c>
      <c r="R198" s="424"/>
    </row>
    <row r="199" spans="1:18">
      <c r="A199" s="209">
        <f t="shared" si="40"/>
        <v>185</v>
      </c>
      <c r="B199" s="1047">
        <v>39420</v>
      </c>
      <c r="C199" s="233" t="s">
        <v>1506</v>
      </c>
      <c r="D199" s="322">
        <f>'[4]Gross Plant'!$Q20</f>
        <v>0</v>
      </c>
      <c r="E199" s="621">
        <v>0</v>
      </c>
      <c r="F199" s="617">
        <f t="shared" si="54"/>
        <v>0</v>
      </c>
      <c r="G199" s="324">
        <v>1</v>
      </c>
      <c r="H199" s="324">
        <f>H195</f>
        <v>6.3622429999999994E-2</v>
      </c>
      <c r="I199" s="617">
        <f t="shared" si="55"/>
        <v>0</v>
      </c>
      <c r="K199" s="322">
        <f>'[4]Gross Plant'!$C20</f>
        <v>0</v>
      </c>
      <c r="L199" s="324">
        <v>1</v>
      </c>
      <c r="M199" s="324">
        <f t="shared" si="52"/>
        <v>6.3622429999999994E-2</v>
      </c>
      <c r="N199" s="617">
        <f t="shared" si="53"/>
        <v>0</v>
      </c>
      <c r="R199" s="424"/>
    </row>
    <row r="200" spans="1:18">
      <c r="A200" s="209">
        <f t="shared" si="40"/>
        <v>186</v>
      </c>
      <c r="B200" s="1047">
        <v>39500</v>
      </c>
      <c r="C200" s="233" t="s">
        <v>1198</v>
      </c>
      <c r="D200" s="322">
        <f>'[4]Gross Plant'!$Q21</f>
        <v>0</v>
      </c>
      <c r="E200" s="621">
        <v>0</v>
      </c>
      <c r="F200" s="617">
        <f t="shared" si="54"/>
        <v>0</v>
      </c>
      <c r="G200" s="324">
        <f>G198</f>
        <v>0.104</v>
      </c>
      <c r="H200" s="324">
        <f>H198</f>
        <v>0.49780000000000002</v>
      </c>
      <c r="I200" s="617">
        <f t="shared" si="55"/>
        <v>0</v>
      </c>
      <c r="K200" s="322">
        <f>'[4]Gross Plant'!$C21</f>
        <v>0</v>
      </c>
      <c r="L200" s="324">
        <f t="shared" si="56"/>
        <v>0.104</v>
      </c>
      <c r="M200" s="324">
        <f t="shared" si="52"/>
        <v>0.49780000000000002</v>
      </c>
      <c r="N200" s="617">
        <f t="shared" si="53"/>
        <v>0</v>
      </c>
      <c r="R200" s="424"/>
    </row>
    <row r="201" spans="1:18">
      <c r="A201" s="209">
        <f t="shared" si="40"/>
        <v>187</v>
      </c>
      <c r="B201" s="1047">
        <v>39700</v>
      </c>
      <c r="C201" s="233" t="s">
        <v>440</v>
      </c>
      <c r="D201" s="322">
        <f>'[4]Gross Plant'!$Q22</f>
        <v>1039344.41</v>
      </c>
      <c r="E201" s="621">
        <v>0</v>
      </c>
      <c r="F201" s="617">
        <f t="shared" si="54"/>
        <v>1039344.41</v>
      </c>
      <c r="G201" s="324">
        <f t="shared" si="60"/>
        <v>0.104</v>
      </c>
      <c r="H201" s="324">
        <f t="shared" si="63"/>
        <v>0.49780000000000002</v>
      </c>
      <c r="I201" s="617">
        <f t="shared" si="55"/>
        <v>53808.107318991999</v>
      </c>
      <c r="K201" s="322">
        <f>'[4]Gross Plant'!$C22</f>
        <v>1039344.41</v>
      </c>
      <c r="L201" s="324">
        <f t="shared" si="56"/>
        <v>0.104</v>
      </c>
      <c r="M201" s="324">
        <f t="shared" si="52"/>
        <v>0.49780000000000002</v>
      </c>
      <c r="N201" s="617">
        <f t="shared" si="53"/>
        <v>53808.107318991999</v>
      </c>
      <c r="R201" s="424"/>
    </row>
    <row r="202" spans="1:18">
      <c r="A202" s="209">
        <f t="shared" si="40"/>
        <v>188</v>
      </c>
      <c r="B202" s="1047">
        <v>39720</v>
      </c>
      <c r="C202" s="233" t="s">
        <v>1507</v>
      </c>
      <c r="D202" s="322">
        <f>'[4]Gross Plant'!$Q23</f>
        <v>8824.34</v>
      </c>
      <c r="E202" s="621">
        <v>0</v>
      </c>
      <c r="F202" s="617">
        <f t="shared" si="54"/>
        <v>8824.34</v>
      </c>
      <c r="G202" s="324">
        <v>1</v>
      </c>
      <c r="H202" s="324">
        <f>H195</f>
        <v>6.3622429999999994E-2</v>
      </c>
      <c r="I202" s="617">
        <f t="shared" si="55"/>
        <v>561.42595394619991</v>
      </c>
      <c r="K202" s="322">
        <f>'[4]Gross Plant'!$C23</f>
        <v>8824.3399999999983</v>
      </c>
      <c r="L202" s="324">
        <v>1</v>
      </c>
      <c r="M202" s="324">
        <f t="shared" si="52"/>
        <v>6.3622429999999994E-2</v>
      </c>
      <c r="N202" s="617">
        <f t="shared" si="53"/>
        <v>561.4259539461998</v>
      </c>
      <c r="R202" s="424"/>
    </row>
    <row r="203" spans="1:18">
      <c r="A203" s="209">
        <f t="shared" si="40"/>
        <v>189</v>
      </c>
      <c r="B203" s="1047">
        <v>39800</v>
      </c>
      <c r="C203" s="233" t="s">
        <v>650</v>
      </c>
      <c r="D203" s="322">
        <f>'[4]Gross Plant'!$Q24</f>
        <v>136509.51999999999</v>
      </c>
      <c r="E203" s="621">
        <v>0</v>
      </c>
      <c r="F203" s="617">
        <f t="shared" si="54"/>
        <v>136509.51999999999</v>
      </c>
      <c r="G203" s="324">
        <f>G201</f>
        <v>0.104</v>
      </c>
      <c r="H203" s="324">
        <f>H201</f>
        <v>0.49780000000000002</v>
      </c>
      <c r="I203" s="617">
        <f t="shared" si="55"/>
        <v>7067.261661823999</v>
      </c>
      <c r="K203" s="322">
        <f>'[4]Gross Plant'!$C24</f>
        <v>136509.51999999999</v>
      </c>
      <c r="L203" s="324">
        <f t="shared" si="56"/>
        <v>0.104</v>
      </c>
      <c r="M203" s="324">
        <f t="shared" si="52"/>
        <v>0.49780000000000002</v>
      </c>
      <c r="N203" s="617">
        <f t="shared" si="53"/>
        <v>7067.261661823999</v>
      </c>
      <c r="R203" s="424"/>
    </row>
    <row r="204" spans="1:18">
      <c r="A204" s="209">
        <f t="shared" si="40"/>
        <v>190</v>
      </c>
      <c r="B204" s="1047">
        <v>39820</v>
      </c>
      <c r="C204" s="233" t="s">
        <v>1508</v>
      </c>
      <c r="D204" s="322">
        <f>'[4]Gross Plant'!$Q25</f>
        <v>7388.39</v>
      </c>
      <c r="E204" s="621">
        <v>0</v>
      </c>
      <c r="F204" s="617">
        <f t="shared" si="54"/>
        <v>7388.39</v>
      </c>
      <c r="G204" s="324">
        <v>1</v>
      </c>
      <c r="H204" s="324">
        <f>H195</f>
        <v>6.3622429999999994E-2</v>
      </c>
      <c r="I204" s="617">
        <f t="shared" si="55"/>
        <v>470.0673255877</v>
      </c>
      <c r="K204" s="322">
        <f>'[4]Gross Plant'!$C25</f>
        <v>7388.39</v>
      </c>
      <c r="L204" s="324">
        <v>1</v>
      </c>
      <c r="M204" s="324">
        <f t="shared" si="52"/>
        <v>6.3622429999999994E-2</v>
      </c>
      <c r="N204" s="617">
        <f t="shared" si="53"/>
        <v>470.0673255877</v>
      </c>
      <c r="R204" s="424"/>
    </row>
    <row r="205" spans="1:18">
      <c r="A205" s="209">
        <f t="shared" si="40"/>
        <v>191</v>
      </c>
      <c r="B205" s="1047">
        <v>39900</v>
      </c>
      <c r="C205" s="233" t="s">
        <v>1152</v>
      </c>
      <c r="D205" s="322">
        <f>'[4]Gross Plant'!$Q26</f>
        <v>162075.01267508627</v>
      </c>
      <c r="E205" s="621">
        <v>0</v>
      </c>
      <c r="F205" s="617">
        <f t="shared" si="54"/>
        <v>162075.01267508627</v>
      </c>
      <c r="G205" s="324">
        <f>G203</f>
        <v>0.104</v>
      </c>
      <c r="H205" s="324">
        <f>H203</f>
        <v>0.49780000000000002</v>
      </c>
      <c r="I205" s="617">
        <f t="shared" si="55"/>
        <v>8390.8178962044258</v>
      </c>
      <c r="K205" s="322">
        <f>'[4]Gross Plant'!$C26</f>
        <v>162203.40513103298</v>
      </c>
      <c r="L205" s="324">
        <f t="shared" si="56"/>
        <v>0.104</v>
      </c>
      <c r="M205" s="324">
        <f t="shared" si="52"/>
        <v>0.49780000000000002</v>
      </c>
      <c r="N205" s="617">
        <f t="shared" si="53"/>
        <v>8397.4649277197332</v>
      </c>
      <c r="R205" s="424"/>
    </row>
    <row r="206" spans="1:18">
      <c r="A206" s="209">
        <f t="shared" si="40"/>
        <v>192</v>
      </c>
      <c r="B206" s="1047">
        <v>39901</v>
      </c>
      <c r="C206" s="233" t="s">
        <v>474</v>
      </c>
      <c r="D206" s="322">
        <f>'[4]Gross Plant'!$Q27</f>
        <v>39780342.823798552</v>
      </c>
      <c r="E206" s="621">
        <v>0</v>
      </c>
      <c r="F206" s="617">
        <f t="shared" si="54"/>
        <v>39780342.823798552</v>
      </c>
      <c r="G206" s="324">
        <f t="shared" si="60"/>
        <v>0.104</v>
      </c>
      <c r="H206" s="324">
        <f t="shared" si="63"/>
        <v>0.49780000000000002</v>
      </c>
      <c r="I206" s="617">
        <f t="shared" si="55"/>
        <v>2059476.0843994396</v>
      </c>
      <c r="K206" s="322">
        <f>'[4]Gross Plant'!$C27</f>
        <v>37881111.426958598</v>
      </c>
      <c r="L206" s="324">
        <f t="shared" si="56"/>
        <v>0.104</v>
      </c>
      <c r="M206" s="324">
        <f t="shared" si="52"/>
        <v>0.49780000000000002</v>
      </c>
      <c r="N206" s="617">
        <f t="shared" si="53"/>
        <v>1961150.5959073589</v>
      </c>
      <c r="R206" s="424"/>
    </row>
    <row r="207" spans="1:18">
      <c r="A207" s="209">
        <f t="shared" si="40"/>
        <v>193</v>
      </c>
      <c r="B207" s="1047">
        <v>39902</v>
      </c>
      <c r="C207" s="233" t="s">
        <v>960</v>
      </c>
      <c r="D207" s="322">
        <f>'[4]Gross Plant'!$Q28</f>
        <v>22284605.143400677</v>
      </c>
      <c r="E207" s="621">
        <v>0</v>
      </c>
      <c r="F207" s="617">
        <f t="shared" si="54"/>
        <v>22284605.143400677</v>
      </c>
      <c r="G207" s="324">
        <f t="shared" si="60"/>
        <v>0.104</v>
      </c>
      <c r="H207" s="324">
        <f t="shared" si="63"/>
        <v>0.49780000000000002</v>
      </c>
      <c r="I207" s="617">
        <f t="shared" si="55"/>
        <v>1153700.749800025</v>
      </c>
      <c r="K207" s="322">
        <f>'[4]Gross Plant'!$C28</f>
        <v>20046455.105479833</v>
      </c>
      <c r="L207" s="324">
        <f t="shared" si="56"/>
        <v>0.104</v>
      </c>
      <c r="M207" s="324">
        <f t="shared" si="52"/>
        <v>0.49780000000000002</v>
      </c>
      <c r="N207" s="617">
        <f t="shared" si="53"/>
        <v>1037829.0365568175</v>
      </c>
      <c r="R207" s="424"/>
    </row>
    <row r="208" spans="1:18">
      <c r="A208" s="209">
        <f t="shared" si="40"/>
        <v>194</v>
      </c>
      <c r="B208" s="1047">
        <v>39903</v>
      </c>
      <c r="C208" s="233" t="s">
        <v>1003</v>
      </c>
      <c r="D208" s="322">
        <f>'[4]Gross Plant'!$Q29</f>
        <v>5886586.9159924621</v>
      </c>
      <c r="E208" s="621">
        <v>0</v>
      </c>
      <c r="F208" s="617">
        <f t="shared" si="54"/>
        <v>5886586.9159924621</v>
      </c>
      <c r="G208" s="324">
        <f t="shared" si="60"/>
        <v>0.104</v>
      </c>
      <c r="H208" s="324">
        <f t="shared" si="63"/>
        <v>0.49780000000000002</v>
      </c>
      <c r="I208" s="617">
        <f t="shared" si="55"/>
        <v>304755.66854522895</v>
      </c>
      <c r="K208" s="322">
        <f>'[4]Gross Plant'!$C29</f>
        <v>4287497.3489874136</v>
      </c>
      <c r="L208" s="324">
        <f t="shared" si="56"/>
        <v>0.104</v>
      </c>
      <c r="M208" s="324">
        <f t="shared" si="52"/>
        <v>0.49780000000000002</v>
      </c>
      <c r="N208" s="617">
        <f t="shared" si="53"/>
        <v>221968.8827538972</v>
      </c>
      <c r="R208" s="424"/>
    </row>
    <row r="209" spans="1:18">
      <c r="A209" s="209">
        <f t="shared" si="40"/>
        <v>195</v>
      </c>
      <c r="B209" s="1047">
        <v>39904</v>
      </c>
      <c r="C209" s="233" t="s">
        <v>1177</v>
      </c>
      <c r="D209" s="322">
        <f>'[4]Gross Plant'!$Q30</f>
        <v>0</v>
      </c>
      <c r="E209" s="621">
        <v>0</v>
      </c>
      <c r="F209" s="617">
        <f t="shared" si="54"/>
        <v>0</v>
      </c>
      <c r="G209" s="324">
        <f t="shared" ref="G209:G213" si="64">G208</f>
        <v>0.104</v>
      </c>
      <c r="H209" s="324">
        <f t="shared" si="63"/>
        <v>0.49780000000000002</v>
      </c>
      <c r="I209" s="617">
        <f t="shared" si="55"/>
        <v>0</v>
      </c>
      <c r="K209" s="322">
        <f>'[4]Gross Plant'!$C30</f>
        <v>0</v>
      </c>
      <c r="L209" s="324">
        <f t="shared" si="56"/>
        <v>0.104</v>
      </c>
      <c r="M209" s="324">
        <f t="shared" si="52"/>
        <v>0.49780000000000002</v>
      </c>
      <c r="N209" s="617">
        <f t="shared" si="53"/>
        <v>0</v>
      </c>
      <c r="R209" s="424"/>
    </row>
    <row r="210" spans="1:18">
      <c r="A210" s="209">
        <f t="shared" si="40"/>
        <v>196</v>
      </c>
      <c r="B210" s="1047">
        <v>39905</v>
      </c>
      <c r="C210" s="233" t="s">
        <v>497</v>
      </c>
      <c r="D210" s="322">
        <f>'[4]Gross Plant'!$Q31</f>
        <v>0</v>
      </c>
      <c r="E210" s="621">
        <v>0</v>
      </c>
      <c r="F210" s="617">
        <f t="shared" si="54"/>
        <v>0</v>
      </c>
      <c r="G210" s="324">
        <f t="shared" si="64"/>
        <v>0.104</v>
      </c>
      <c r="H210" s="324">
        <f t="shared" si="63"/>
        <v>0.49780000000000002</v>
      </c>
      <c r="I210" s="617">
        <f t="shared" si="55"/>
        <v>0</v>
      </c>
      <c r="K210" s="322">
        <f>'[4]Gross Plant'!$C31</f>
        <v>0</v>
      </c>
      <c r="L210" s="324">
        <f t="shared" si="56"/>
        <v>0.104</v>
      </c>
      <c r="M210" s="324">
        <f t="shared" si="52"/>
        <v>0.49780000000000002</v>
      </c>
      <c r="N210" s="617">
        <f t="shared" si="53"/>
        <v>0</v>
      </c>
      <c r="R210" s="424"/>
    </row>
    <row r="211" spans="1:18">
      <c r="A211" s="209">
        <f t="shared" si="40"/>
        <v>197</v>
      </c>
      <c r="B211" s="1047">
        <v>39906</v>
      </c>
      <c r="C211" s="233" t="s">
        <v>451</v>
      </c>
      <c r="D211" s="322">
        <f>'[4]Gross Plant'!$Q32</f>
        <v>2537000.2289227215</v>
      </c>
      <c r="E211" s="621">
        <v>0</v>
      </c>
      <c r="F211" s="617">
        <f t="shared" si="54"/>
        <v>2537000.2289227215</v>
      </c>
      <c r="G211" s="324">
        <f t="shared" si="64"/>
        <v>0.104</v>
      </c>
      <c r="H211" s="324">
        <f t="shared" si="63"/>
        <v>0.49780000000000002</v>
      </c>
      <c r="I211" s="617">
        <f t="shared" si="55"/>
        <v>131343.54625160398</v>
      </c>
      <c r="K211" s="322">
        <f>'[4]Gross Plant'!$C32</f>
        <v>2484331.0274204458</v>
      </c>
      <c r="L211" s="324">
        <f t="shared" si="56"/>
        <v>0.104</v>
      </c>
      <c r="M211" s="324">
        <f t="shared" si="52"/>
        <v>0.49780000000000002</v>
      </c>
      <c r="N211" s="617">
        <f t="shared" si="53"/>
        <v>128616.79848678938</v>
      </c>
      <c r="R211" s="424"/>
    </row>
    <row r="212" spans="1:18">
      <c r="A212" s="209">
        <f t="shared" ref="A212:A268" si="65">A211+1</f>
        <v>198</v>
      </c>
      <c r="B212" s="1047">
        <v>39907</v>
      </c>
      <c r="C212" s="233" t="s">
        <v>505</v>
      </c>
      <c r="D212" s="322">
        <f>'[4]Gross Plant'!$Q33</f>
        <v>1564492.3401954449</v>
      </c>
      <c r="E212" s="621">
        <v>0</v>
      </c>
      <c r="F212" s="617">
        <f t="shared" si="54"/>
        <v>1564492.3401954449</v>
      </c>
      <c r="G212" s="324">
        <f t="shared" si="64"/>
        <v>0.104</v>
      </c>
      <c r="H212" s="324">
        <f t="shared" si="63"/>
        <v>0.49780000000000002</v>
      </c>
      <c r="I212" s="617">
        <f t="shared" si="55"/>
        <v>80995.645842726415</v>
      </c>
      <c r="K212" s="322">
        <f>'[4]Gross Plant'!$C33</f>
        <v>1504610.5911255197</v>
      </c>
      <c r="L212" s="324">
        <f t="shared" si="56"/>
        <v>0.104</v>
      </c>
      <c r="M212" s="324">
        <f t="shared" si="52"/>
        <v>0.49780000000000002</v>
      </c>
      <c r="N212" s="617">
        <f t="shared" si="53"/>
        <v>77895.495835277499</v>
      </c>
      <c r="R212" s="424"/>
    </row>
    <row r="213" spans="1:18">
      <c r="A213" s="209">
        <f t="shared" si="65"/>
        <v>199</v>
      </c>
      <c r="B213" s="1047">
        <v>39908</v>
      </c>
      <c r="C213" s="233" t="s">
        <v>179</v>
      </c>
      <c r="D213" s="322">
        <f>'[4]Gross Plant'!$Q34</f>
        <v>70884070.994293749</v>
      </c>
      <c r="E213" s="621">
        <v>0</v>
      </c>
      <c r="F213" s="617">
        <f t="shared" si="54"/>
        <v>70884070.994293749</v>
      </c>
      <c r="G213" s="324">
        <f t="shared" si="64"/>
        <v>0.104</v>
      </c>
      <c r="H213" s="324">
        <f t="shared" si="63"/>
        <v>0.49780000000000002</v>
      </c>
      <c r="I213" s="617">
        <f t="shared" si="55"/>
        <v>3669753.4162597805</v>
      </c>
      <c r="K213" s="322">
        <f>'[4]Gross Plant'!$C34</f>
        <v>68387776.507712141</v>
      </c>
      <c r="L213" s="324">
        <f t="shared" si="56"/>
        <v>0.104</v>
      </c>
      <c r="M213" s="324">
        <f t="shared" si="52"/>
        <v>0.49780000000000002</v>
      </c>
      <c r="N213" s="617">
        <f t="shared" si="53"/>
        <v>3540517.255136067</v>
      </c>
      <c r="R213" s="424"/>
    </row>
    <row r="214" spans="1:18">
      <c r="A214" s="209">
        <f t="shared" si="65"/>
        <v>200</v>
      </c>
      <c r="B214" s="1047">
        <v>39909</v>
      </c>
      <c r="C214" s="233" t="s">
        <v>342</v>
      </c>
      <c r="D214" s="322">
        <f>'[4]Gross Plant'!$Q35</f>
        <v>39251.620000000003</v>
      </c>
      <c r="E214" s="621">
        <v>0</v>
      </c>
      <c r="F214" s="617">
        <f t="shared" si="54"/>
        <v>39251.620000000003</v>
      </c>
      <c r="G214" s="324">
        <f>G212</f>
        <v>0.104</v>
      </c>
      <c r="H214" s="324">
        <f>H212</f>
        <v>0.49780000000000002</v>
      </c>
      <c r="I214" s="617">
        <f t="shared" si="55"/>
        <v>2032.1034693440001</v>
      </c>
      <c r="K214" s="322">
        <f>'[4]Gross Plant'!$C35</f>
        <v>39251.620000000003</v>
      </c>
      <c r="L214" s="324">
        <f t="shared" ref="L214" si="66">G214</f>
        <v>0.104</v>
      </c>
      <c r="M214" s="324">
        <f>H214</f>
        <v>0.49780000000000002</v>
      </c>
      <c r="N214" s="617">
        <f t="shared" si="53"/>
        <v>2032.1034693440001</v>
      </c>
      <c r="R214" s="424"/>
    </row>
    <row r="215" spans="1:18">
      <c r="A215" s="209">
        <f t="shared" si="65"/>
        <v>201</v>
      </c>
      <c r="B215" s="1047">
        <v>39921</v>
      </c>
      <c r="C215" s="233" t="s">
        <v>1509</v>
      </c>
      <c r="D215" s="322">
        <f>'[4]Gross Plant'!$Q36</f>
        <v>1628899.91</v>
      </c>
      <c r="E215" s="621">
        <v>0</v>
      </c>
      <c r="F215" s="617">
        <f t="shared" si="54"/>
        <v>1628899.91</v>
      </c>
      <c r="G215" s="324">
        <v>1</v>
      </c>
      <c r="H215" s="324">
        <f>$H$195</f>
        <v>6.3622429999999994E-2</v>
      </c>
      <c r="I215" s="617">
        <f t="shared" si="55"/>
        <v>103634.57050098128</v>
      </c>
      <c r="K215" s="322">
        <f>'[4]Gross Plant'!$C36</f>
        <v>1628899.91</v>
      </c>
      <c r="L215" s="324">
        <v>1</v>
      </c>
      <c r="M215" s="324">
        <f t="shared" si="52"/>
        <v>6.3622429999999994E-2</v>
      </c>
      <c r="N215" s="617">
        <f t="shared" si="53"/>
        <v>103634.57050098128</v>
      </c>
      <c r="R215" s="424"/>
    </row>
    <row r="216" spans="1:18">
      <c r="A216" s="209">
        <f t="shared" si="65"/>
        <v>202</v>
      </c>
      <c r="B216" s="1047">
        <v>39922</v>
      </c>
      <c r="C216" s="233" t="s">
        <v>1510</v>
      </c>
      <c r="D216" s="322">
        <f>'[4]Gross Plant'!$Q37</f>
        <v>961255.64</v>
      </c>
      <c r="E216" s="621">
        <v>0</v>
      </c>
      <c r="F216" s="617">
        <f t="shared" si="54"/>
        <v>961255.64</v>
      </c>
      <c r="G216" s="324">
        <v>1</v>
      </c>
      <c r="H216" s="324">
        <f t="shared" ref="H216:H217" si="67">$H$195</f>
        <v>6.3622429999999994E-2</v>
      </c>
      <c r="I216" s="617">
        <f t="shared" si="55"/>
        <v>61157.419668005197</v>
      </c>
      <c r="K216" s="322">
        <f>'[4]Gross Plant'!$C37</f>
        <v>961255.64000000013</v>
      </c>
      <c r="L216" s="324">
        <v>1</v>
      </c>
      <c r="M216" s="324">
        <f t="shared" si="52"/>
        <v>6.3622429999999994E-2</v>
      </c>
      <c r="N216" s="617">
        <f t="shared" si="53"/>
        <v>61157.419668005205</v>
      </c>
      <c r="R216" s="424"/>
    </row>
    <row r="217" spans="1:18">
      <c r="A217" s="209">
        <f t="shared" si="65"/>
        <v>203</v>
      </c>
      <c r="B217" s="1047">
        <v>39923</v>
      </c>
      <c r="C217" s="233" t="s">
        <v>1511</v>
      </c>
      <c r="D217" s="322">
        <f>'[4]Gross Plant'!$Q38</f>
        <v>60170.36</v>
      </c>
      <c r="E217" s="621">
        <v>0</v>
      </c>
      <c r="F217" s="617">
        <f t="shared" si="54"/>
        <v>60170.36</v>
      </c>
      <c r="G217" s="324">
        <v>1</v>
      </c>
      <c r="H217" s="324">
        <f t="shared" si="67"/>
        <v>6.3622429999999994E-2</v>
      </c>
      <c r="I217" s="617">
        <f t="shared" si="55"/>
        <v>3828.1845171747996</v>
      </c>
      <c r="K217" s="322">
        <f>'[4]Gross Plant'!$C38</f>
        <v>60170.359999999993</v>
      </c>
      <c r="L217" s="324">
        <v>1</v>
      </c>
      <c r="M217" s="324">
        <f t="shared" si="52"/>
        <v>6.3622429999999994E-2</v>
      </c>
      <c r="N217" s="617">
        <f t="shared" si="53"/>
        <v>3828.1845171747991</v>
      </c>
      <c r="R217" s="424"/>
    </row>
    <row r="218" spans="1:18">
      <c r="A218" s="209">
        <f t="shared" si="65"/>
        <v>204</v>
      </c>
      <c r="B218" s="1047">
        <v>39924</v>
      </c>
      <c r="C218" s="233" t="s">
        <v>1392</v>
      </c>
      <c r="D218" s="322">
        <f>'[4]Gross Plant'!$Q39</f>
        <v>0</v>
      </c>
      <c r="E218" s="621">
        <v>0</v>
      </c>
      <c r="F218" s="617">
        <f t="shared" si="54"/>
        <v>0</v>
      </c>
      <c r="G218" s="324">
        <f>G213</f>
        <v>0.104</v>
      </c>
      <c r="H218" s="324">
        <f>H213</f>
        <v>0.49780000000000002</v>
      </c>
      <c r="I218" s="617">
        <f t="shared" si="55"/>
        <v>0</v>
      </c>
      <c r="K218" s="322">
        <f>'[4]Gross Plant'!$C39</f>
        <v>0</v>
      </c>
      <c r="L218" s="324">
        <f t="shared" si="56"/>
        <v>0.104</v>
      </c>
      <c r="M218" s="324">
        <f t="shared" si="52"/>
        <v>0.49780000000000002</v>
      </c>
      <c r="N218" s="617">
        <f t="shared" si="53"/>
        <v>0</v>
      </c>
      <c r="R218" s="424"/>
    </row>
    <row r="219" spans="1:18">
      <c r="A219" s="209">
        <f t="shared" si="65"/>
        <v>205</v>
      </c>
      <c r="B219" s="1047">
        <v>39926</v>
      </c>
      <c r="C219" s="233" t="s">
        <v>1520</v>
      </c>
      <c r="D219" s="322">
        <f>'[4]Gross Plant'!$Q40</f>
        <v>314379.42</v>
      </c>
      <c r="E219" s="621">
        <v>0</v>
      </c>
      <c r="F219" s="617">
        <f t="shared" si="54"/>
        <v>314379.42</v>
      </c>
      <c r="G219" s="324">
        <v>1</v>
      </c>
      <c r="H219" s="324">
        <f>$H$217</f>
        <v>6.3622429999999994E-2</v>
      </c>
      <c r="I219" s="617">
        <f t="shared" si="55"/>
        <v>20001.582642390596</v>
      </c>
      <c r="K219" s="322">
        <f>'[4]Gross Plant'!$C40</f>
        <v>314379.42</v>
      </c>
      <c r="L219" s="324">
        <v>1</v>
      </c>
      <c r="M219" s="324">
        <f t="shared" si="52"/>
        <v>6.3622429999999994E-2</v>
      </c>
      <c r="N219" s="617">
        <f t="shared" si="53"/>
        <v>20001.582642390596</v>
      </c>
      <c r="R219" s="424"/>
    </row>
    <row r="220" spans="1:18">
      <c r="A220" s="209">
        <f t="shared" si="65"/>
        <v>206</v>
      </c>
      <c r="B220" s="1047">
        <v>39928</v>
      </c>
      <c r="C220" s="233" t="s">
        <v>1521</v>
      </c>
      <c r="D220" s="322">
        <f>'[4]Gross Plant'!$Q41</f>
        <v>20716774.299255569</v>
      </c>
      <c r="E220" s="621">
        <v>0</v>
      </c>
      <c r="F220" s="617">
        <f t="shared" si="54"/>
        <v>20716774.299255569</v>
      </c>
      <c r="G220" s="324">
        <v>1</v>
      </c>
      <c r="H220" s="324">
        <f t="shared" ref="H220" si="68">$H$217</f>
        <v>6.3622429999999994E-2</v>
      </c>
      <c r="I220" s="617">
        <f t="shared" si="55"/>
        <v>1318051.5226801864</v>
      </c>
      <c r="K220" s="322">
        <f>'[4]Gross Plant'!$C41</f>
        <v>20690005.245267909</v>
      </c>
      <c r="L220" s="324">
        <v>1</v>
      </c>
      <c r="M220" s="324">
        <f t="shared" si="52"/>
        <v>6.3622429999999994E-2</v>
      </c>
      <c r="N220" s="617">
        <f t="shared" si="53"/>
        <v>1316348.4104166902</v>
      </c>
      <c r="R220" s="424"/>
    </row>
    <row r="221" spans="1:18">
      <c r="A221" s="209">
        <f t="shared" si="65"/>
        <v>207</v>
      </c>
      <c r="B221" s="1047">
        <v>39931</v>
      </c>
      <c r="C221" s="233" t="s">
        <v>1522</v>
      </c>
      <c r="D221" s="322">
        <f>'[4]Gross Plant'!$Q42</f>
        <v>297266.61</v>
      </c>
      <c r="E221" s="621">
        <v>0</v>
      </c>
      <c r="F221" s="617">
        <f t="shared" si="54"/>
        <v>297266.61</v>
      </c>
      <c r="G221" s="324">
        <v>1</v>
      </c>
      <c r="H221" s="324">
        <f>Allocation!$E$23</f>
        <v>0</v>
      </c>
      <c r="I221" s="617">
        <f t="shared" si="55"/>
        <v>0</v>
      </c>
      <c r="K221" s="322">
        <f>'[4]Gross Plant'!$C42</f>
        <v>297266.60999999993</v>
      </c>
      <c r="L221" s="324">
        <v>1</v>
      </c>
      <c r="M221" s="324">
        <f t="shared" si="52"/>
        <v>0</v>
      </c>
      <c r="N221" s="617">
        <f t="shared" si="53"/>
        <v>0</v>
      </c>
      <c r="R221" s="424"/>
    </row>
    <row r="222" spans="1:18">
      <c r="A222" s="209">
        <f t="shared" si="65"/>
        <v>208</v>
      </c>
      <c r="B222" s="1047">
        <v>39932</v>
      </c>
      <c r="C222" s="233" t="s">
        <v>1523</v>
      </c>
      <c r="D222" s="322">
        <f>'[4]Gross Plant'!$Q43</f>
        <v>345729.64</v>
      </c>
      <c r="E222" s="621">
        <v>0</v>
      </c>
      <c r="F222" s="617">
        <f t="shared" si="54"/>
        <v>345729.64</v>
      </c>
      <c r="G222" s="324">
        <v>1</v>
      </c>
      <c r="H222" s="324">
        <f>Allocation!$E$23</f>
        <v>0</v>
      </c>
      <c r="I222" s="617">
        <f t="shared" si="55"/>
        <v>0</v>
      </c>
      <c r="K222" s="322">
        <f>'[4]Gross Plant'!$C43</f>
        <v>345729.64000000007</v>
      </c>
      <c r="L222" s="324">
        <v>1</v>
      </c>
      <c r="M222" s="324">
        <f t="shared" ref="M222:M223" si="69">H222</f>
        <v>0</v>
      </c>
      <c r="N222" s="617">
        <f t="shared" si="53"/>
        <v>0</v>
      </c>
      <c r="R222" s="424"/>
    </row>
    <row r="223" spans="1:18">
      <c r="A223" s="209">
        <f t="shared" si="65"/>
        <v>209</v>
      </c>
      <c r="B223" s="1047">
        <v>39938</v>
      </c>
      <c r="C223" s="233" t="s">
        <v>1524</v>
      </c>
      <c r="D223" s="322">
        <f>'[4]Gross Plant'!$Q44</f>
        <v>18754055.436205696</v>
      </c>
      <c r="E223" s="621">
        <v>0</v>
      </c>
      <c r="F223" s="617">
        <f t="shared" si="54"/>
        <v>18754055.436205696</v>
      </c>
      <c r="G223" s="324">
        <v>1</v>
      </c>
      <c r="H223" s="324">
        <f>Allocation!$E$23</f>
        <v>0</v>
      </c>
      <c r="I223" s="617">
        <f t="shared" si="55"/>
        <v>0</v>
      </c>
      <c r="K223" s="322">
        <f>'[4]Gross Plant'!$C44</f>
        <v>17976335.601161104</v>
      </c>
      <c r="L223" s="324">
        <v>1</v>
      </c>
      <c r="M223" s="324">
        <f t="shared" si="69"/>
        <v>0</v>
      </c>
      <c r="N223" s="617">
        <f t="shared" si="53"/>
        <v>0</v>
      </c>
      <c r="R223" s="424"/>
    </row>
    <row r="224" spans="1:18">
      <c r="A224" s="209">
        <f t="shared" si="65"/>
        <v>210</v>
      </c>
      <c r="B224" s="1048"/>
      <c r="C224" s="233"/>
      <c r="D224" s="619"/>
      <c r="E224" s="619"/>
      <c r="F224" s="619"/>
      <c r="H224" s="324"/>
      <c r="K224" s="619"/>
      <c r="N224" s="619"/>
    </row>
    <row r="225" spans="1:18" ht="15.75" thickBot="1">
      <c r="A225" s="209">
        <f t="shared" si="65"/>
        <v>211</v>
      </c>
      <c r="B225" s="1048"/>
      <c r="C225" s="233" t="s">
        <v>1321</v>
      </c>
      <c r="D225" s="512">
        <f>SUM(D186:D223)</f>
        <v>213101821.15000001</v>
      </c>
      <c r="E225" s="512">
        <f>SUM(E186:E223)</f>
        <v>0</v>
      </c>
      <c r="F225" s="512">
        <f>SUM(F186:F223)</f>
        <v>213101821.15000001</v>
      </c>
      <c r="G225" s="1026"/>
      <c r="H225" s="1026"/>
      <c r="I225" s="512">
        <f>SUM(I186:I223)</f>
        <v>9976844.0143007711</v>
      </c>
      <c r="J225" s="807"/>
      <c r="K225" s="512">
        <f>SUM(K186:K223)</f>
        <v>203784288.55307689</v>
      </c>
      <c r="L225" s="1026"/>
      <c r="M225" s="1026"/>
      <c r="N225" s="512">
        <f>SUM(N186:N223)</f>
        <v>9535581.2731362004</v>
      </c>
    </row>
    <row r="226" spans="1:18" ht="15.75" thickTop="1">
      <c r="A226" s="209">
        <f t="shared" si="65"/>
        <v>212</v>
      </c>
      <c r="B226" s="1048"/>
      <c r="C226" s="233"/>
      <c r="D226" s="322"/>
      <c r="E226" s="322"/>
      <c r="F226" s="322"/>
      <c r="I226" s="322"/>
    </row>
    <row r="227" spans="1:18">
      <c r="A227" s="209">
        <f t="shared" si="65"/>
        <v>213</v>
      </c>
      <c r="B227" s="1048"/>
      <c r="C227" s="195" t="s">
        <v>749</v>
      </c>
      <c r="D227" s="322">
        <f>'[4]Gross Plant'!$Q$211</f>
        <v>14454840.959999993</v>
      </c>
      <c r="E227" s="322">
        <v>0</v>
      </c>
      <c r="F227" s="322">
        <f>D227+E227</f>
        <v>14454840.959999993</v>
      </c>
      <c r="G227" s="324">
        <f>G218</f>
        <v>0.104</v>
      </c>
      <c r="H227" s="324">
        <f>H218</f>
        <v>0.49780000000000002</v>
      </c>
      <c r="I227" s="322">
        <f>F227*G227*H227</f>
        <v>748344.46230835165</v>
      </c>
      <c r="K227" s="322">
        <f>'[4]Gross Plant'!$C$211</f>
        <v>12321402.153846148</v>
      </c>
      <c r="L227" s="324">
        <f>G227</f>
        <v>0.104</v>
      </c>
      <c r="M227" s="324">
        <f>H227</f>
        <v>0.49780000000000002</v>
      </c>
      <c r="N227" s="322">
        <f>K227*L227*M227</f>
        <v>637893.7751871997</v>
      </c>
    </row>
    <row r="228" spans="1:18">
      <c r="A228" s="209">
        <f t="shared" si="65"/>
        <v>214</v>
      </c>
      <c r="B228" s="1048"/>
    </row>
    <row r="229" spans="1:18" ht="15.75">
      <c r="A229" s="209">
        <f t="shared" si="65"/>
        <v>215</v>
      </c>
      <c r="B229" s="1044" t="s">
        <v>9</v>
      </c>
    </row>
    <row r="230" spans="1:18">
      <c r="A230" s="209">
        <f t="shared" si="65"/>
        <v>216</v>
      </c>
      <c r="B230" s="1048"/>
    </row>
    <row r="231" spans="1:18">
      <c r="A231" s="209">
        <f t="shared" si="65"/>
        <v>217</v>
      </c>
      <c r="B231" s="1048"/>
      <c r="C231" s="620" t="s">
        <v>301</v>
      </c>
    </row>
    <row r="232" spans="1:18">
      <c r="A232" s="209">
        <f t="shared" si="65"/>
        <v>218</v>
      </c>
      <c r="B232" s="1047">
        <v>38900</v>
      </c>
      <c r="C232" s="233" t="s">
        <v>292</v>
      </c>
      <c r="D232" s="322">
        <f>'[4]Gross Plant'!$Q50</f>
        <v>2874239.86</v>
      </c>
      <c r="E232" s="360">
        <v>0</v>
      </c>
      <c r="F232" s="360">
        <f>D232+E232</f>
        <v>2874239.86</v>
      </c>
      <c r="G232" s="324">
        <f>Allocation!$G$15</f>
        <v>0.1095</v>
      </c>
      <c r="H232" s="324">
        <f>Allocation!$H$15</f>
        <v>0.51517972406888612</v>
      </c>
      <c r="I232" s="360">
        <f>F232*G232*H232</f>
        <v>162142.13572909404</v>
      </c>
      <c r="K232" s="322">
        <f>'[4]Gross Plant'!$C50</f>
        <v>2874239.86</v>
      </c>
      <c r="L232" s="324">
        <f>G232</f>
        <v>0.1095</v>
      </c>
      <c r="M232" s="324">
        <f>H232</f>
        <v>0.51517972406888612</v>
      </c>
      <c r="N232" s="360">
        <f>K232*L232*M232</f>
        <v>162142.13572909404</v>
      </c>
      <c r="P232" s="1047"/>
      <c r="R232" s="424"/>
    </row>
    <row r="233" spans="1:18">
      <c r="A233" s="209">
        <f t="shared" si="65"/>
        <v>219</v>
      </c>
      <c r="B233" s="1047">
        <v>38910</v>
      </c>
      <c r="C233" s="233" t="s">
        <v>1199</v>
      </c>
      <c r="D233" s="322">
        <f>'[4]Gross Plant'!$Q51</f>
        <v>1886442.92</v>
      </c>
      <c r="E233" s="617">
        <v>0</v>
      </c>
      <c r="F233" s="618">
        <f>D233+E233</f>
        <v>1886442.92</v>
      </c>
      <c r="G233" s="467">
        <v>1</v>
      </c>
      <c r="H233" s="467">
        <f>Allocation!$I$21</f>
        <v>2.3186160000000001E-2</v>
      </c>
      <c r="I233" s="617">
        <f>F233*G233*H233</f>
        <v>43739.367373987203</v>
      </c>
      <c r="K233" s="322">
        <f>'[4]Gross Plant'!$C51</f>
        <v>1886442.9200000006</v>
      </c>
      <c r="L233" s="324">
        <f>G233</f>
        <v>1</v>
      </c>
      <c r="M233" s="324">
        <f>H233</f>
        <v>2.3186160000000001E-2</v>
      </c>
      <c r="N233" s="617">
        <f>K233*L233*M233</f>
        <v>43739.367373987217</v>
      </c>
      <c r="P233" s="1047"/>
      <c r="R233" s="424"/>
    </row>
    <row r="234" spans="1:18">
      <c r="A234" s="209">
        <f t="shared" si="65"/>
        <v>220</v>
      </c>
      <c r="B234" s="1047">
        <v>39000</v>
      </c>
      <c r="C234" s="233" t="s">
        <v>856</v>
      </c>
      <c r="D234" s="322">
        <f>'[4]Gross Plant'!$Q52</f>
        <v>12669002.609999999</v>
      </c>
      <c r="E234" s="617">
        <v>0</v>
      </c>
      <c r="F234" s="618">
        <f t="shared" ref="F234:F255" si="70">D234+E234</f>
        <v>12669002.609999999</v>
      </c>
      <c r="G234" s="324">
        <f>$G$232</f>
        <v>0.1095</v>
      </c>
      <c r="H234" s="324">
        <f>$H$232</f>
        <v>0.51517972406888612</v>
      </c>
      <c r="I234" s="617">
        <f t="shared" ref="I234:I260" si="71">F234*G234*H234</f>
        <v>714686.05293883383</v>
      </c>
      <c r="K234" s="322">
        <f>'[4]Gross Plant'!$C52</f>
        <v>12669002.610000001</v>
      </c>
      <c r="L234" s="324">
        <f t="shared" ref="L234:L255" si="72">G234</f>
        <v>0.1095</v>
      </c>
      <c r="M234" s="324">
        <f t="shared" ref="M234:M255" si="73">H234</f>
        <v>0.51517972406888612</v>
      </c>
      <c r="N234" s="617">
        <f t="shared" ref="N234:N260" si="74">K234*L234*M234</f>
        <v>714686.05293883395</v>
      </c>
      <c r="P234" s="1047"/>
      <c r="R234" s="424"/>
    </row>
    <row r="235" spans="1:18">
      <c r="A235" s="209">
        <f t="shared" si="65"/>
        <v>221</v>
      </c>
      <c r="B235" s="1047">
        <v>39009</v>
      </c>
      <c r="C235" s="233" t="s">
        <v>1036</v>
      </c>
      <c r="D235" s="322">
        <f>'[4]Gross Plant'!$Q53</f>
        <v>2820613.55</v>
      </c>
      <c r="E235" s="617">
        <v>0</v>
      </c>
      <c r="F235" s="618">
        <f t="shared" si="70"/>
        <v>2820613.55</v>
      </c>
      <c r="G235" s="324">
        <f>$G$232</f>
        <v>0.1095</v>
      </c>
      <c r="H235" s="324">
        <f>$H$232</f>
        <v>0.51517972406888612</v>
      </c>
      <c r="I235" s="617">
        <f t="shared" si="71"/>
        <v>159116.95868813875</v>
      </c>
      <c r="K235" s="322">
        <f>'[4]Gross Plant'!$C53</f>
        <v>2820613.55</v>
      </c>
      <c r="L235" s="324">
        <f t="shared" si="72"/>
        <v>0.1095</v>
      </c>
      <c r="M235" s="324">
        <f t="shared" si="73"/>
        <v>0.51517972406888612</v>
      </c>
      <c r="N235" s="617">
        <f t="shared" si="74"/>
        <v>159116.95868813875</v>
      </c>
      <c r="P235" s="1047"/>
      <c r="R235" s="424"/>
    </row>
    <row r="236" spans="1:18">
      <c r="A236" s="209">
        <f t="shared" si="65"/>
        <v>222</v>
      </c>
      <c r="B236" s="1047">
        <v>39010</v>
      </c>
      <c r="C236" s="233" t="s">
        <v>1200</v>
      </c>
      <c r="D236" s="322">
        <f>'[4]Gross Plant'!$Q54</f>
        <v>12305840</v>
      </c>
      <c r="E236" s="617">
        <v>0</v>
      </c>
      <c r="F236" s="618">
        <f t="shared" ref="F236" si="75">D236+E236</f>
        <v>12305840</v>
      </c>
      <c r="G236" s="467">
        <v>1</v>
      </c>
      <c r="H236" s="467">
        <f>$H$233</f>
        <v>2.3186160000000001E-2</v>
      </c>
      <c r="I236" s="617">
        <f t="shared" si="71"/>
        <v>285325.17517440004</v>
      </c>
      <c r="K236" s="322">
        <f>'[4]Gross Plant'!$C54</f>
        <v>12305840</v>
      </c>
      <c r="L236" s="324">
        <f t="shared" ref="L236" si="76">G236</f>
        <v>1</v>
      </c>
      <c r="M236" s="324">
        <f t="shared" ref="M236" si="77">H236</f>
        <v>2.3186160000000001E-2</v>
      </c>
      <c r="N236" s="617">
        <f t="shared" si="74"/>
        <v>285325.17517440004</v>
      </c>
      <c r="P236" s="1047"/>
      <c r="R236" s="424"/>
    </row>
    <row r="237" spans="1:18">
      <c r="A237" s="209">
        <f t="shared" si="65"/>
        <v>223</v>
      </c>
      <c r="B237" s="1047">
        <v>39100</v>
      </c>
      <c r="C237" s="233" t="s">
        <v>779</v>
      </c>
      <c r="D237" s="322">
        <f>'[4]Gross Plant'!$Q55</f>
        <v>2418422.2050698451</v>
      </c>
      <c r="E237" s="617">
        <v>0</v>
      </c>
      <c r="F237" s="618">
        <f t="shared" si="70"/>
        <v>2418422.2050698451</v>
      </c>
      <c r="G237" s="324">
        <f>$G$232</f>
        <v>0.1095</v>
      </c>
      <c r="H237" s="324">
        <f>$H$232</f>
        <v>0.51517972406888612</v>
      </c>
      <c r="I237" s="617">
        <f t="shared" si="71"/>
        <v>136428.4682297495</v>
      </c>
      <c r="K237" s="322">
        <f>'[4]Gross Plant'!$C55</f>
        <v>2389011.0344963623</v>
      </c>
      <c r="L237" s="324">
        <f t="shared" si="72"/>
        <v>0.1095</v>
      </c>
      <c r="M237" s="324">
        <f t="shared" si="73"/>
        <v>0.51517972406888612</v>
      </c>
      <c r="N237" s="617">
        <f t="shared" si="74"/>
        <v>134769.31998765495</v>
      </c>
      <c r="P237" s="1047"/>
      <c r="R237" s="424"/>
    </row>
    <row r="238" spans="1:18">
      <c r="A238" s="209">
        <f t="shared" si="65"/>
        <v>224</v>
      </c>
      <c r="B238" s="1047">
        <v>39101</v>
      </c>
      <c r="C238" s="233" t="s">
        <v>1502</v>
      </c>
      <c r="D238" s="322">
        <f>'[4]Gross Plant'!$Q56</f>
        <v>0</v>
      </c>
      <c r="E238" s="617">
        <v>0</v>
      </c>
      <c r="F238" s="618">
        <f t="shared" si="70"/>
        <v>0</v>
      </c>
      <c r="G238" s="324">
        <f t="shared" ref="G238:G239" si="78">$G$232</f>
        <v>0.1095</v>
      </c>
      <c r="H238" s="324">
        <f t="shared" ref="H238:H239" si="79">$H$232</f>
        <v>0.51517972406888612</v>
      </c>
      <c r="I238" s="617">
        <f t="shared" si="71"/>
        <v>0</v>
      </c>
      <c r="K238" s="322">
        <f>'[4]Gross Plant'!$C56</f>
        <v>0</v>
      </c>
      <c r="L238" s="324">
        <f t="shared" ref="L238:L239" si="80">G238</f>
        <v>0.1095</v>
      </c>
      <c r="M238" s="324">
        <f t="shared" ref="M238:M239" si="81">H238</f>
        <v>0.51517972406888612</v>
      </c>
      <c r="N238" s="617">
        <f t="shared" si="74"/>
        <v>0</v>
      </c>
      <c r="P238" s="1047"/>
      <c r="R238" s="424"/>
    </row>
    <row r="239" spans="1:18">
      <c r="A239" s="209">
        <f t="shared" si="65"/>
        <v>225</v>
      </c>
      <c r="B239" s="1047">
        <v>39102</v>
      </c>
      <c r="C239" s="233" t="s">
        <v>1512</v>
      </c>
      <c r="D239" s="322">
        <f>'[4]Gross Plant'!$Q57</f>
        <v>0</v>
      </c>
      <c r="E239" s="617">
        <v>0</v>
      </c>
      <c r="F239" s="618">
        <f t="shared" si="70"/>
        <v>0</v>
      </c>
      <c r="G239" s="324">
        <f t="shared" si="78"/>
        <v>0.1095</v>
      </c>
      <c r="H239" s="324">
        <f t="shared" si="79"/>
        <v>0.51517972406888612</v>
      </c>
      <c r="I239" s="617">
        <f t="shared" si="71"/>
        <v>0</v>
      </c>
      <c r="K239" s="322">
        <f>'[4]Gross Plant'!$C57</f>
        <v>0</v>
      </c>
      <c r="L239" s="324">
        <f t="shared" si="80"/>
        <v>0.1095</v>
      </c>
      <c r="M239" s="324">
        <f t="shared" si="81"/>
        <v>0.51517972406888612</v>
      </c>
      <c r="N239" s="617">
        <f t="shared" si="74"/>
        <v>0</v>
      </c>
      <c r="P239" s="1047"/>
      <c r="R239" s="424"/>
    </row>
    <row r="240" spans="1:18">
      <c r="A240" s="209">
        <f t="shared" si="65"/>
        <v>226</v>
      </c>
      <c r="B240" s="1047">
        <v>39103</v>
      </c>
      <c r="C240" s="233" t="s">
        <v>1323</v>
      </c>
      <c r="D240" s="322">
        <f>'[4]Gross Plant'!$Q58</f>
        <v>0</v>
      </c>
      <c r="E240" s="617">
        <v>0</v>
      </c>
      <c r="F240" s="618">
        <f t="shared" ref="F240:F244" si="82">D240+E240</f>
        <v>0</v>
      </c>
      <c r="G240" s="324">
        <f>$G$232</f>
        <v>0.1095</v>
      </c>
      <c r="H240" s="324">
        <f>$H$232</f>
        <v>0.51517972406888612</v>
      </c>
      <c r="I240" s="617">
        <f t="shared" si="71"/>
        <v>0</v>
      </c>
      <c r="K240" s="322">
        <f>'[4]Gross Plant'!$C58</f>
        <v>0</v>
      </c>
      <c r="L240" s="324">
        <f t="shared" ref="L240:L241" si="83">G240</f>
        <v>0.1095</v>
      </c>
      <c r="M240" s="324">
        <f t="shared" ref="M240:M241" si="84">H240</f>
        <v>0.51517972406888612</v>
      </c>
      <c r="N240" s="617">
        <f t="shared" si="74"/>
        <v>0</v>
      </c>
      <c r="P240" s="1047"/>
      <c r="R240" s="424"/>
    </row>
    <row r="241" spans="1:18">
      <c r="A241" s="209">
        <f t="shared" si="65"/>
        <v>227</v>
      </c>
      <c r="B241" s="1047">
        <v>39110</v>
      </c>
      <c r="C241" s="233" t="s">
        <v>1513</v>
      </c>
      <c r="D241" s="322">
        <f>'[4]Gross Plant'!$Q59</f>
        <v>417639.07316438382</v>
      </c>
      <c r="E241" s="617">
        <v>0</v>
      </c>
      <c r="F241" s="618">
        <f t="shared" si="82"/>
        <v>417639.07316438382</v>
      </c>
      <c r="G241" s="467">
        <v>1</v>
      </c>
      <c r="H241" s="467">
        <f>$H$233</f>
        <v>2.3186160000000001E-2</v>
      </c>
      <c r="I241" s="617">
        <f t="shared" si="71"/>
        <v>9683.4463726411104</v>
      </c>
      <c r="K241" s="322">
        <f>'[4]Gross Plant'!$C59</f>
        <v>395234.07290416886</v>
      </c>
      <c r="L241" s="324">
        <f t="shared" si="83"/>
        <v>1</v>
      </c>
      <c r="M241" s="324">
        <f t="shared" si="84"/>
        <v>2.3186160000000001E-2</v>
      </c>
      <c r="N241" s="617">
        <f t="shared" si="74"/>
        <v>9163.9604518077249</v>
      </c>
      <c r="P241" s="1047"/>
      <c r="R241" s="424"/>
    </row>
    <row r="242" spans="1:18">
      <c r="A242" s="209">
        <f t="shared" si="65"/>
        <v>228</v>
      </c>
      <c r="B242" s="1047">
        <v>39210</v>
      </c>
      <c r="C242" s="233" t="s">
        <v>1514</v>
      </c>
      <c r="D242" s="322">
        <f>'[4]Gross Plant'!$Q60</f>
        <v>96290.22</v>
      </c>
      <c r="E242" s="617">
        <v>0</v>
      </c>
      <c r="F242" s="618">
        <f t="shared" si="82"/>
        <v>96290.22</v>
      </c>
      <c r="G242" s="467">
        <v>1</v>
      </c>
      <c r="H242" s="467">
        <f t="shared" ref="H242:H244" si="85">$H$233</f>
        <v>2.3186160000000001E-2</v>
      </c>
      <c r="I242" s="617">
        <f t="shared" si="71"/>
        <v>2232.6004473552002</v>
      </c>
      <c r="K242" s="322">
        <f>'[4]Gross Plant'!$C60</f>
        <v>96290.219999999987</v>
      </c>
      <c r="L242" s="324">
        <f t="shared" ref="L242:L244" si="86">G242</f>
        <v>1</v>
      </c>
      <c r="M242" s="324">
        <f t="shared" ref="M242:M244" si="87">H242</f>
        <v>2.3186160000000001E-2</v>
      </c>
      <c r="N242" s="617">
        <f t="shared" si="74"/>
        <v>2232.6004473551998</v>
      </c>
      <c r="P242" s="1047"/>
      <c r="R242" s="424"/>
    </row>
    <row r="243" spans="1:18">
      <c r="A243" s="209">
        <f t="shared" si="65"/>
        <v>229</v>
      </c>
      <c r="B243" s="1047">
        <v>39410</v>
      </c>
      <c r="C243" s="233" t="s">
        <v>1515</v>
      </c>
      <c r="D243" s="322">
        <f>'[4]Gross Plant'!$Q61</f>
        <v>458264.58504472178</v>
      </c>
      <c r="E243" s="617">
        <v>0</v>
      </c>
      <c r="F243" s="618">
        <f t="shared" si="82"/>
        <v>458264.58504472178</v>
      </c>
      <c r="G243" s="467">
        <v>1</v>
      </c>
      <c r="H243" s="467">
        <f t="shared" si="85"/>
        <v>2.3186160000000001E-2</v>
      </c>
      <c r="I243" s="617">
        <f t="shared" si="71"/>
        <v>10625.395991180527</v>
      </c>
      <c r="K243" s="322">
        <f>'[4]Gross Plant'!$C61</f>
        <v>419762.49121308059</v>
      </c>
      <c r="L243" s="324">
        <f t="shared" si="86"/>
        <v>1</v>
      </c>
      <c r="M243" s="324">
        <f t="shared" si="87"/>
        <v>2.3186160000000001E-2</v>
      </c>
      <c r="N243" s="617">
        <f t="shared" si="74"/>
        <v>9732.680283265081</v>
      </c>
      <c r="P243" s="1047"/>
      <c r="R243" s="424"/>
    </row>
    <row r="244" spans="1:18">
      <c r="A244" s="209">
        <f t="shared" si="65"/>
        <v>230</v>
      </c>
      <c r="B244" s="1047">
        <v>39510</v>
      </c>
      <c r="C244" s="233" t="s">
        <v>1516</v>
      </c>
      <c r="D244" s="322">
        <f>'[4]Gross Plant'!$Q62</f>
        <v>23632.07</v>
      </c>
      <c r="E244" s="617">
        <v>0</v>
      </c>
      <c r="F244" s="618">
        <f t="shared" si="82"/>
        <v>23632.07</v>
      </c>
      <c r="G244" s="467">
        <v>1</v>
      </c>
      <c r="H244" s="467">
        <f t="shared" si="85"/>
        <v>2.3186160000000001E-2</v>
      </c>
      <c r="I244" s="617">
        <f t="shared" si="71"/>
        <v>547.93695615119998</v>
      </c>
      <c r="K244" s="322">
        <f>'[4]Gross Plant'!$C62</f>
        <v>23632.070000000003</v>
      </c>
      <c r="L244" s="324">
        <f t="shared" si="86"/>
        <v>1</v>
      </c>
      <c r="M244" s="324">
        <f t="shared" si="87"/>
        <v>2.3186160000000001E-2</v>
      </c>
      <c r="N244" s="617">
        <f t="shared" si="74"/>
        <v>547.93695615120009</v>
      </c>
      <c r="P244" s="1047"/>
      <c r="R244" s="424"/>
    </row>
    <row r="245" spans="1:18">
      <c r="A245" s="209">
        <f t="shared" si="65"/>
        <v>231</v>
      </c>
      <c r="B245" s="1047">
        <v>39700</v>
      </c>
      <c r="C245" s="233" t="s">
        <v>440</v>
      </c>
      <c r="D245" s="322">
        <f>'[4]Gross Plant'!$Q63</f>
        <v>1913117.11</v>
      </c>
      <c r="E245" s="617">
        <v>0</v>
      </c>
      <c r="F245" s="618">
        <f t="shared" si="70"/>
        <v>1913117.11</v>
      </c>
      <c r="G245" s="324">
        <f>$G$232</f>
        <v>0.1095</v>
      </c>
      <c r="H245" s="324">
        <f>$H$232</f>
        <v>0.51517972406888612</v>
      </c>
      <c r="I245" s="617">
        <f t="shared" si="71"/>
        <v>107923.10636011852</v>
      </c>
      <c r="K245" s="322">
        <f>'[4]Gross Plant'!$C63</f>
        <v>1913117.1099999996</v>
      </c>
      <c r="L245" s="324">
        <f t="shared" si="72"/>
        <v>0.1095</v>
      </c>
      <c r="M245" s="324">
        <f t="shared" si="73"/>
        <v>0.51517972406888612</v>
      </c>
      <c r="N245" s="617">
        <f t="shared" si="74"/>
        <v>107923.10636011849</v>
      </c>
      <c r="P245" s="1047"/>
      <c r="R245" s="424"/>
    </row>
    <row r="246" spans="1:18">
      <c r="A246" s="209">
        <f t="shared" si="65"/>
        <v>232</v>
      </c>
      <c r="B246" s="1047">
        <v>39710</v>
      </c>
      <c r="C246" s="233" t="s">
        <v>1201</v>
      </c>
      <c r="D246" s="322">
        <f>'[4]Gross Plant'!$Q64</f>
        <v>291500.62</v>
      </c>
      <c r="E246" s="617">
        <v>0</v>
      </c>
      <c r="F246" s="618">
        <f>D246+E246</f>
        <v>291500.62</v>
      </c>
      <c r="G246" s="467">
        <v>1</v>
      </c>
      <c r="H246" s="467">
        <f>$H$233</f>
        <v>2.3186160000000001E-2</v>
      </c>
      <c r="I246" s="617">
        <f t="shared" si="71"/>
        <v>6758.7800154192</v>
      </c>
      <c r="K246" s="322">
        <f>'[4]Gross Plant'!$C64</f>
        <v>291500.62000000005</v>
      </c>
      <c r="L246" s="324">
        <f>G246</f>
        <v>1</v>
      </c>
      <c r="M246" s="324">
        <f>H246</f>
        <v>2.3186160000000001E-2</v>
      </c>
      <c r="N246" s="617">
        <f t="shared" si="74"/>
        <v>6758.7800154192018</v>
      </c>
      <c r="P246" s="1047"/>
      <c r="R246" s="424"/>
    </row>
    <row r="247" spans="1:18">
      <c r="A247" s="209">
        <f t="shared" si="65"/>
        <v>233</v>
      </c>
      <c r="B247" s="1047">
        <v>39800</v>
      </c>
      <c r="C247" s="233" t="s">
        <v>650</v>
      </c>
      <c r="D247" s="322">
        <f>'[4]Gross Plant'!$Q65</f>
        <v>70015.66</v>
      </c>
      <c r="E247" s="617">
        <v>0</v>
      </c>
      <c r="F247" s="618">
        <f t="shared" si="70"/>
        <v>70015.66</v>
      </c>
      <c r="G247" s="324">
        <f t="shared" ref="G247:G255" si="88">$G$232</f>
        <v>0.1095</v>
      </c>
      <c r="H247" s="324">
        <f t="shared" ref="H247:H255" si="89">$H$232</f>
        <v>0.51517972406888612</v>
      </c>
      <c r="I247" s="617">
        <f t="shared" si="71"/>
        <v>3949.7359997234539</v>
      </c>
      <c r="K247" s="322">
        <f>'[4]Gross Plant'!$C65</f>
        <v>70015.660000000018</v>
      </c>
      <c r="L247" s="324">
        <f t="shared" si="72"/>
        <v>0.1095</v>
      </c>
      <c r="M247" s="324">
        <f t="shared" si="73"/>
        <v>0.51517972406888612</v>
      </c>
      <c r="N247" s="617">
        <f t="shared" si="74"/>
        <v>3949.7359997234548</v>
      </c>
      <c r="P247" s="1047"/>
      <c r="R247" s="424"/>
    </row>
    <row r="248" spans="1:18">
      <c r="A248" s="209">
        <f t="shared" si="65"/>
        <v>234</v>
      </c>
      <c r="B248" s="1047">
        <v>39810</v>
      </c>
      <c r="C248" s="233" t="s">
        <v>1517</v>
      </c>
      <c r="D248" s="322">
        <f>'[4]Gross Plant'!$Q66</f>
        <v>509282.85</v>
      </c>
      <c r="E248" s="617">
        <v>0</v>
      </c>
      <c r="F248" s="618">
        <f t="shared" si="70"/>
        <v>509282.85</v>
      </c>
      <c r="G248" s="324">
        <v>1</v>
      </c>
      <c r="H248" s="467">
        <f t="shared" ref="H248" si="90">$H$233</f>
        <v>2.3186160000000001E-2</v>
      </c>
      <c r="I248" s="617">
        <f t="shared" si="71"/>
        <v>11808.313645356</v>
      </c>
      <c r="K248" s="322">
        <f>'[4]Gross Plant'!$C66</f>
        <v>509282.84999999992</v>
      </c>
      <c r="L248" s="324">
        <f t="shared" si="72"/>
        <v>1</v>
      </c>
      <c r="M248" s="324">
        <f t="shared" si="73"/>
        <v>2.3186160000000001E-2</v>
      </c>
      <c r="N248" s="617">
        <f t="shared" si="74"/>
        <v>11808.313645355998</v>
      </c>
      <c r="P248" s="1047"/>
      <c r="R248" s="424"/>
    </row>
    <row r="249" spans="1:18">
      <c r="A249" s="209">
        <f t="shared" si="65"/>
        <v>235</v>
      </c>
      <c r="B249" s="1047">
        <v>39900</v>
      </c>
      <c r="C249" s="233" t="s">
        <v>1152</v>
      </c>
      <c r="D249" s="322">
        <f>'[4]Gross Plant'!$Q67</f>
        <v>629166.46</v>
      </c>
      <c r="E249" s="617">
        <v>0</v>
      </c>
      <c r="F249" s="618">
        <f t="shared" si="70"/>
        <v>629166.46</v>
      </c>
      <c r="G249" s="324">
        <f t="shared" si="88"/>
        <v>0.1095</v>
      </c>
      <c r="H249" s="324">
        <f t="shared" si="89"/>
        <v>0.51517972406888612</v>
      </c>
      <c r="I249" s="617">
        <f t="shared" si="71"/>
        <v>35492.651456553664</v>
      </c>
      <c r="K249" s="322">
        <f>'[4]Gross Plant'!$C67</f>
        <v>629166.46</v>
      </c>
      <c r="L249" s="324">
        <f t="shared" si="72"/>
        <v>0.1095</v>
      </c>
      <c r="M249" s="324">
        <f t="shared" si="73"/>
        <v>0.51517972406888612</v>
      </c>
      <c r="N249" s="617">
        <f t="shared" si="74"/>
        <v>35492.651456553664</v>
      </c>
      <c r="P249" s="1047"/>
      <c r="R249" s="424"/>
    </row>
    <row r="250" spans="1:18">
      <c r="A250" s="209">
        <f t="shared" si="65"/>
        <v>236</v>
      </c>
      <c r="B250" s="1047">
        <v>39901</v>
      </c>
      <c r="C250" s="233" t="s">
        <v>474</v>
      </c>
      <c r="D250" s="322">
        <f>'[4]Gross Plant'!$Q68</f>
        <v>10343248.640000001</v>
      </c>
      <c r="E250" s="617">
        <v>0</v>
      </c>
      <c r="F250" s="618">
        <f t="shared" si="70"/>
        <v>10343248.640000001</v>
      </c>
      <c r="G250" s="324">
        <f t="shared" si="88"/>
        <v>0.1095</v>
      </c>
      <c r="H250" s="324">
        <f t="shared" si="89"/>
        <v>0.51517972406888612</v>
      </c>
      <c r="I250" s="617">
        <f t="shared" si="71"/>
        <v>583485.20184625348</v>
      </c>
      <c r="K250" s="322">
        <f>'[4]Gross Plant'!$C68</f>
        <v>10343248.639999999</v>
      </c>
      <c r="L250" s="324">
        <f t="shared" si="72"/>
        <v>0.1095</v>
      </c>
      <c r="M250" s="324">
        <f t="shared" si="73"/>
        <v>0.51517972406888612</v>
      </c>
      <c r="N250" s="617">
        <f t="shared" si="74"/>
        <v>583485.20184625336</v>
      </c>
      <c r="P250" s="1047"/>
      <c r="R250" s="424"/>
    </row>
    <row r="251" spans="1:18">
      <c r="A251" s="209">
        <f t="shared" si="65"/>
        <v>237</v>
      </c>
      <c r="B251" s="1047">
        <v>39902</v>
      </c>
      <c r="C251" s="233" t="s">
        <v>960</v>
      </c>
      <c r="D251" s="322">
        <f>'[4]Gross Plant'!$Q69</f>
        <v>2023936.45</v>
      </c>
      <c r="E251" s="617">
        <v>0</v>
      </c>
      <c r="F251" s="618">
        <f t="shared" si="70"/>
        <v>2023936.45</v>
      </c>
      <c r="G251" s="324">
        <f t="shared" si="88"/>
        <v>0.1095</v>
      </c>
      <c r="H251" s="324">
        <f t="shared" si="89"/>
        <v>0.51517972406888612</v>
      </c>
      <c r="I251" s="617">
        <f t="shared" si="71"/>
        <v>114174.66689191372</v>
      </c>
      <c r="K251" s="322">
        <f>'[4]Gross Plant'!$C69</f>
        <v>2023936.4499999995</v>
      </c>
      <c r="L251" s="324">
        <f t="shared" si="72"/>
        <v>0.1095</v>
      </c>
      <c r="M251" s="324">
        <f t="shared" si="73"/>
        <v>0.51517972406888612</v>
      </c>
      <c r="N251" s="617">
        <f t="shared" si="74"/>
        <v>114174.66689191369</v>
      </c>
      <c r="P251" s="1047"/>
      <c r="R251" s="424"/>
    </row>
    <row r="252" spans="1:18">
      <c r="A252" s="209">
        <f t="shared" si="65"/>
        <v>238</v>
      </c>
      <c r="B252" s="1047">
        <v>39903</v>
      </c>
      <c r="C252" s="233" t="s">
        <v>1003</v>
      </c>
      <c r="D252" s="322">
        <f>'[4]Gross Plant'!$Q70</f>
        <v>629225.62</v>
      </c>
      <c r="E252" s="617">
        <v>0</v>
      </c>
      <c r="F252" s="618">
        <f t="shared" si="70"/>
        <v>629225.62</v>
      </c>
      <c r="G252" s="324">
        <f t="shared" si="88"/>
        <v>0.1095</v>
      </c>
      <c r="H252" s="324">
        <f t="shared" si="89"/>
        <v>0.51517972406888612</v>
      </c>
      <c r="I252" s="617">
        <f>F252*G252*H252</f>
        <v>35495.988801109779</v>
      </c>
      <c r="K252" s="322">
        <f>'[4]Gross Plant'!$C70</f>
        <v>629225.62</v>
      </c>
      <c r="L252" s="324">
        <f t="shared" si="72"/>
        <v>0.1095</v>
      </c>
      <c r="M252" s="324">
        <f t="shared" si="73"/>
        <v>0.51517972406888612</v>
      </c>
      <c r="N252" s="617">
        <f t="shared" si="74"/>
        <v>35495.988801109779</v>
      </c>
      <c r="P252" s="1047"/>
      <c r="R252" s="424"/>
    </row>
    <row r="253" spans="1:18">
      <c r="A253" s="209">
        <f t="shared" si="65"/>
        <v>239</v>
      </c>
      <c r="B253" s="1047">
        <v>39906</v>
      </c>
      <c r="C253" s="233" t="s">
        <v>451</v>
      </c>
      <c r="D253" s="322">
        <f>'[4]Gross Plant'!$Q71</f>
        <v>1012629.3512530879</v>
      </c>
      <c r="E253" s="617">
        <v>0</v>
      </c>
      <c r="F253" s="618">
        <f t="shared" si="70"/>
        <v>1012629.3512530879</v>
      </c>
      <c r="G253" s="324">
        <f t="shared" si="88"/>
        <v>0.1095</v>
      </c>
      <c r="H253" s="324">
        <f t="shared" si="89"/>
        <v>0.51517972406888612</v>
      </c>
      <c r="I253" s="617">
        <f t="shared" si="71"/>
        <v>57124.629019006992</v>
      </c>
      <c r="K253" s="322">
        <f>'[4]Gross Plant'!$C71</f>
        <v>1003829.4933386662</v>
      </c>
      <c r="L253" s="324">
        <f t="shared" si="72"/>
        <v>0.1095</v>
      </c>
      <c r="M253" s="324">
        <f t="shared" si="73"/>
        <v>0.51517972406888612</v>
      </c>
      <c r="N253" s="617">
        <f t="shared" si="74"/>
        <v>56628.209852251399</v>
      </c>
      <c r="P253" s="1047"/>
      <c r="R253" s="424"/>
    </row>
    <row r="254" spans="1:18">
      <c r="A254" s="209">
        <f t="shared" si="65"/>
        <v>240</v>
      </c>
      <c r="B254" s="1047">
        <v>39907</v>
      </c>
      <c r="C254" s="233" t="s">
        <v>505</v>
      </c>
      <c r="D254" s="322">
        <f>'[4]Gross Plant'!$Q72</f>
        <v>190246.97</v>
      </c>
      <c r="E254" s="617">
        <v>0</v>
      </c>
      <c r="F254" s="618">
        <f t="shared" si="70"/>
        <v>190246.97</v>
      </c>
      <c r="G254" s="324">
        <f t="shared" si="88"/>
        <v>0.1095</v>
      </c>
      <c r="H254" s="324">
        <f t="shared" si="89"/>
        <v>0.51517972406888612</v>
      </c>
      <c r="I254" s="617">
        <f t="shared" si="71"/>
        <v>10732.246275294812</v>
      </c>
      <c r="K254" s="322">
        <f>'[4]Gross Plant'!$C72</f>
        <v>190246.97000000003</v>
      </c>
      <c r="L254" s="324">
        <f t="shared" si="72"/>
        <v>0.1095</v>
      </c>
      <c r="M254" s="324">
        <f t="shared" si="73"/>
        <v>0.51517972406888612</v>
      </c>
      <c r="N254" s="617">
        <f t="shared" si="74"/>
        <v>10732.246275294814</v>
      </c>
      <c r="P254" s="1047"/>
      <c r="R254" s="424"/>
    </row>
    <row r="255" spans="1:18">
      <c r="A255" s="209">
        <f t="shared" si="65"/>
        <v>241</v>
      </c>
      <c r="B255" s="1047">
        <v>39908</v>
      </c>
      <c r="C255" s="233" t="s">
        <v>179</v>
      </c>
      <c r="D255" s="322">
        <f>'[4]Gross Plant'!$Q73</f>
        <v>90927931.236683995</v>
      </c>
      <c r="E255" s="617">
        <v>0</v>
      </c>
      <c r="F255" s="618">
        <f t="shared" si="70"/>
        <v>90927931.236683995</v>
      </c>
      <c r="G255" s="324">
        <f t="shared" si="88"/>
        <v>0.1095</v>
      </c>
      <c r="H255" s="324">
        <f t="shared" si="89"/>
        <v>0.51517972406888612</v>
      </c>
      <c r="I255" s="617">
        <f t="shared" si="71"/>
        <v>5129442.8044513119</v>
      </c>
      <c r="K255" s="322">
        <f>'[4]Gross Plant'!$C73</f>
        <v>90401788.944546491</v>
      </c>
      <c r="L255" s="324">
        <f t="shared" si="72"/>
        <v>0.1095</v>
      </c>
      <c r="M255" s="324">
        <f t="shared" si="73"/>
        <v>0.51517972406888612</v>
      </c>
      <c r="N255" s="617">
        <f t="shared" si="74"/>
        <v>5099761.9708744725</v>
      </c>
      <c r="P255" s="1047"/>
      <c r="R255" s="424"/>
    </row>
    <row r="256" spans="1:18">
      <c r="A256" s="209">
        <f t="shared" si="65"/>
        <v>242</v>
      </c>
      <c r="B256" s="1047">
        <v>39910</v>
      </c>
      <c r="C256" s="233" t="s">
        <v>1202</v>
      </c>
      <c r="D256" s="322">
        <f>'[4]Gross Plant'!$Q74</f>
        <v>339657.73</v>
      </c>
      <c r="E256" s="617">
        <v>0</v>
      </c>
      <c r="F256" s="618">
        <f>D256+E256</f>
        <v>339657.73</v>
      </c>
      <c r="G256" s="467">
        <v>1</v>
      </c>
      <c r="H256" s="467">
        <f>$H$233</f>
        <v>2.3186160000000001E-2</v>
      </c>
      <c r="I256" s="617">
        <f t="shared" si="71"/>
        <v>7875.3584730167995</v>
      </c>
      <c r="K256" s="322">
        <f>'[4]Gross Plant'!$C74</f>
        <v>339657.73000000004</v>
      </c>
      <c r="L256" s="324">
        <f>G256</f>
        <v>1</v>
      </c>
      <c r="M256" s="324">
        <f>H256</f>
        <v>2.3186160000000001E-2</v>
      </c>
      <c r="N256" s="617">
        <f t="shared" si="74"/>
        <v>7875.3584730168013</v>
      </c>
      <c r="P256" s="1047"/>
      <c r="R256" s="424"/>
    </row>
    <row r="257" spans="1:18">
      <c r="A257" s="209">
        <f t="shared" si="65"/>
        <v>243</v>
      </c>
      <c r="B257" s="1047">
        <v>39916</v>
      </c>
      <c r="C257" s="80" t="s">
        <v>1203</v>
      </c>
      <c r="D257" s="322">
        <f>'[4]Gross Plant'!$Q75</f>
        <v>309715.19878395781</v>
      </c>
      <c r="E257" s="617">
        <v>0</v>
      </c>
      <c r="F257" s="618">
        <f t="shared" ref="F257:F260" si="91">D257+E257</f>
        <v>309715.19878395781</v>
      </c>
      <c r="G257" s="467">
        <v>1</v>
      </c>
      <c r="H257" s="467">
        <f>$H$233</f>
        <v>2.3186160000000001E-2</v>
      </c>
      <c r="I257" s="617">
        <f t="shared" si="71"/>
        <v>7181.1061534366518</v>
      </c>
      <c r="K257" s="322">
        <f>'[4]Gross Plant'!$C75</f>
        <v>274365.75350122631</v>
      </c>
      <c r="L257" s="324">
        <f t="shared" ref="L257:L258" si="92">G257</f>
        <v>1</v>
      </c>
      <c r="M257" s="324">
        <f t="shared" ref="M257:M258" si="93">H257</f>
        <v>2.3186160000000001E-2</v>
      </c>
      <c r="N257" s="617">
        <f t="shared" si="74"/>
        <v>6361.488259199994</v>
      </c>
      <c r="P257" s="1047"/>
      <c r="R257" s="424"/>
    </row>
    <row r="258" spans="1:18">
      <c r="A258" s="209">
        <f t="shared" si="65"/>
        <v>244</v>
      </c>
      <c r="B258" s="1047">
        <v>39917</v>
      </c>
      <c r="C258" s="80" t="s">
        <v>1204</v>
      </c>
      <c r="D258" s="322">
        <f>'[4]Gross Plant'!$Q76</f>
        <v>103891.78</v>
      </c>
      <c r="E258" s="617">
        <v>0</v>
      </c>
      <c r="F258" s="618">
        <f t="shared" si="91"/>
        <v>103891.78</v>
      </c>
      <c r="G258" s="467">
        <v>1</v>
      </c>
      <c r="H258" s="467">
        <f>$H$233</f>
        <v>2.3186160000000001E-2</v>
      </c>
      <c r="I258" s="617">
        <f t="shared" si="71"/>
        <v>2408.8514337648003</v>
      </c>
      <c r="K258" s="322">
        <f>'[4]Gross Plant'!$C76</f>
        <v>103891.78000000001</v>
      </c>
      <c r="L258" s="324">
        <f t="shared" si="92"/>
        <v>1</v>
      </c>
      <c r="M258" s="324">
        <f t="shared" si="93"/>
        <v>2.3186160000000001E-2</v>
      </c>
      <c r="N258" s="617">
        <f t="shared" si="74"/>
        <v>2408.8514337648003</v>
      </c>
      <c r="P258" s="1047"/>
      <c r="R258" s="424"/>
    </row>
    <row r="259" spans="1:18">
      <c r="A259" s="209">
        <f t="shared" si="65"/>
        <v>245</v>
      </c>
      <c r="B259" s="1047">
        <v>39918</v>
      </c>
      <c r="C259" s="80" t="s">
        <v>1518</v>
      </c>
      <c r="D259" s="322">
        <f>'[4]Gross Plant'!$Q77</f>
        <v>20560.16</v>
      </c>
      <c r="E259" s="617">
        <v>0</v>
      </c>
      <c r="F259" s="618">
        <f t="shared" si="91"/>
        <v>20560.16</v>
      </c>
      <c r="G259" s="467">
        <v>1</v>
      </c>
      <c r="H259" s="467">
        <f>$H$233</f>
        <v>2.3186160000000001E-2</v>
      </c>
      <c r="I259" s="617">
        <f t="shared" si="71"/>
        <v>476.71115938560001</v>
      </c>
      <c r="K259" s="322">
        <f>'[4]Gross Plant'!$C77</f>
        <v>20560.16</v>
      </c>
      <c r="L259" s="324">
        <f t="shared" ref="L259:L260" si="94">G259</f>
        <v>1</v>
      </c>
      <c r="M259" s="324">
        <f t="shared" ref="M259:M260" si="95">H259</f>
        <v>2.3186160000000001E-2</v>
      </c>
      <c r="N259" s="617">
        <f t="shared" si="74"/>
        <v>476.71115938560001</v>
      </c>
      <c r="P259" s="1047"/>
      <c r="R259" s="424"/>
    </row>
    <row r="260" spans="1:18">
      <c r="A260" s="209">
        <f t="shared" si="65"/>
        <v>246</v>
      </c>
      <c r="B260" s="1047">
        <v>39924</v>
      </c>
      <c r="C260" s="80" t="s">
        <v>1519</v>
      </c>
      <c r="D260" s="322">
        <f>'[4]Gross Plant'!$Q78</f>
        <v>0</v>
      </c>
      <c r="E260" s="617">
        <v>0</v>
      </c>
      <c r="F260" s="618">
        <f t="shared" si="91"/>
        <v>0</v>
      </c>
      <c r="G260" s="324">
        <f t="shared" ref="G260" si="96">$G$232</f>
        <v>0.1095</v>
      </c>
      <c r="H260" s="324">
        <f t="shared" ref="H260" si="97">$H$232</f>
        <v>0.51517972406888612</v>
      </c>
      <c r="I260" s="617">
        <f t="shared" si="71"/>
        <v>0</v>
      </c>
      <c r="K260" s="322">
        <f>'[4]Gross Plant'!$C78</f>
        <v>0</v>
      </c>
      <c r="L260" s="324">
        <f t="shared" si="94"/>
        <v>0.1095</v>
      </c>
      <c r="M260" s="324">
        <f t="shared" si="95"/>
        <v>0.51517972406888612</v>
      </c>
      <c r="N260" s="617">
        <f t="shared" si="74"/>
        <v>0</v>
      </c>
      <c r="P260" s="1047"/>
      <c r="R260" s="424"/>
    </row>
    <row r="261" spans="1:18">
      <c r="A261" s="209">
        <f t="shared" si="65"/>
        <v>247</v>
      </c>
      <c r="B261" s="195"/>
      <c r="C261" s="233"/>
      <c r="D261" s="619"/>
      <c r="E261" s="619"/>
      <c r="F261" s="619"/>
      <c r="I261" s="619"/>
      <c r="K261" s="619"/>
      <c r="N261" s="619"/>
    </row>
    <row r="262" spans="1:18" ht="15.75" thickBot="1">
      <c r="A262" s="209">
        <f t="shared" si="65"/>
        <v>248</v>
      </c>
      <c r="B262" s="195"/>
      <c r="C262" s="233" t="s">
        <v>1322</v>
      </c>
      <c r="D262" s="512">
        <f>SUM(D232:D260)</f>
        <v>145284512.92999998</v>
      </c>
      <c r="E262" s="512">
        <f>SUM(E232:E260)</f>
        <v>0</v>
      </c>
      <c r="F262" s="512">
        <f>SUM(F232:F260)</f>
        <v>145284512.92999998</v>
      </c>
      <c r="G262" s="1026"/>
      <c r="H262" s="1026"/>
      <c r="I262" s="512">
        <f>SUM(I232:I260)</f>
        <v>7638857.6898831986</v>
      </c>
      <c r="J262" s="807"/>
      <c r="K262" s="512">
        <f>SUM(K232:K260)</f>
        <v>144623903.06999999</v>
      </c>
      <c r="L262" s="1026"/>
      <c r="M262" s="1026"/>
      <c r="N262" s="512">
        <f>SUM(N232:N260)</f>
        <v>7604789.4693745235</v>
      </c>
      <c r="P262" s="617"/>
      <c r="Q262" s="617"/>
    </row>
    <row r="263" spans="1:18" ht="15.75" thickTop="1">
      <c r="A263" s="209">
        <f t="shared" si="65"/>
        <v>249</v>
      </c>
      <c r="B263" s="195"/>
      <c r="C263" s="233"/>
      <c r="D263" s="322"/>
      <c r="E263" s="322"/>
      <c r="F263" s="322"/>
      <c r="I263" s="322"/>
      <c r="K263" s="322"/>
      <c r="N263" s="322"/>
    </row>
    <row r="264" spans="1:18">
      <c r="A264" s="209">
        <f t="shared" si="65"/>
        <v>250</v>
      </c>
      <c r="B264" s="195"/>
      <c r="C264" s="195" t="s">
        <v>749</v>
      </c>
      <c r="D264" s="322">
        <f>'[4]Gross Plant'!$Q$215</f>
        <v>3983793.9399999995</v>
      </c>
      <c r="E264" s="322">
        <v>0</v>
      </c>
      <c r="F264" s="322">
        <f>D264+E264</f>
        <v>3983793.9399999995</v>
      </c>
      <c r="G264" s="324">
        <f>$G$232</f>
        <v>0.1095</v>
      </c>
      <c r="H264" s="324">
        <f>$H$232</f>
        <v>0.51517972406888612</v>
      </c>
      <c r="I264" s="322">
        <f>F264*G264*H264</f>
        <v>224734.49997183681</v>
      </c>
      <c r="K264" s="322">
        <f>'[4]Gross Plant'!$C$215</f>
        <v>3282347.9423076911</v>
      </c>
      <c r="L264" s="324">
        <f>G264</f>
        <v>0.1095</v>
      </c>
      <c r="M264" s="324">
        <f>H264</f>
        <v>0.51517972406888612</v>
      </c>
      <c r="N264" s="322">
        <f>K264*L264*M264</f>
        <v>185164.40224016868</v>
      </c>
    </row>
    <row r="265" spans="1:18">
      <c r="A265" s="209">
        <f t="shared" si="65"/>
        <v>251</v>
      </c>
    </row>
    <row r="266" spans="1:18" ht="15.75" thickBot="1">
      <c r="A266" s="209">
        <f t="shared" si="65"/>
        <v>252</v>
      </c>
      <c r="C266" s="233" t="s">
        <v>748</v>
      </c>
      <c r="D266" s="512">
        <f>D262+D225+D179+D117</f>
        <v>1013926193.9060929</v>
      </c>
      <c r="E266" s="512">
        <f>E262+E225+E179+E117</f>
        <v>0</v>
      </c>
      <c r="F266" s="512">
        <f>F262+F225+F179+F117</f>
        <v>1013926193.9060929</v>
      </c>
      <c r="I266" s="512">
        <f>I262+I225+I179+I117</f>
        <v>671307963.42642283</v>
      </c>
      <c r="K266" s="512">
        <f>K262+K225+K179+K117</f>
        <v>965402683.29022288</v>
      </c>
      <c r="N266" s="512">
        <f>N262+N225+N179+N117</f>
        <v>632311605.20581806</v>
      </c>
    </row>
    <row r="267" spans="1:18" ht="15.75" thickTop="1">
      <c r="A267" s="209">
        <f t="shared" si="65"/>
        <v>253</v>
      </c>
    </row>
    <row r="268" spans="1:18" ht="30.75" thickBot="1">
      <c r="A268" s="209">
        <f t="shared" si="65"/>
        <v>254</v>
      </c>
      <c r="C268" s="614" t="s">
        <v>5</v>
      </c>
      <c r="D268" s="512">
        <f>D264+D227+D181+D119</f>
        <v>56598085.189999983</v>
      </c>
      <c r="E268" s="1049"/>
      <c r="F268" s="512">
        <f>F264+F227+F181+F119</f>
        <v>56598085.189999983</v>
      </c>
      <c r="I268" s="512">
        <f>I264+I227+I181+I119</f>
        <v>39130198.175474182</v>
      </c>
      <c r="K268" s="512">
        <f>K264+K227+K181+K119</f>
        <v>50973646.689230762</v>
      </c>
      <c r="N268" s="512">
        <f>N264+N227+N181+N119</f>
        <v>36163305.101540752</v>
      </c>
    </row>
    <row r="269" spans="1:18" ht="15.75" thickTop="1"/>
    <row r="272" spans="1:18">
      <c r="C272" s="80" t="s">
        <v>518</v>
      </c>
    </row>
    <row r="273" spans="3:3">
      <c r="C273" s="80" t="s">
        <v>1699</v>
      </c>
    </row>
  </sheetData>
  <mergeCells count="4">
    <mergeCell ref="A1:N1"/>
    <mergeCell ref="A2:N2"/>
    <mergeCell ref="A3:N3"/>
    <mergeCell ref="A4:N4"/>
  </mergeCells>
  <phoneticPr fontId="22" type="noConversion"/>
  <pageMargins left="0.72" right="0.57999999999999996" top="1" bottom="1" header="0.5" footer="0.5"/>
  <pageSetup scale="52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8" max="1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N46"/>
  <sheetViews>
    <sheetView view="pageBreakPreview" zoomScale="80" zoomScaleNormal="90" zoomScaleSheetLayoutView="80" workbookViewId="0">
      <selection activeCell="G21" sqref="G21"/>
    </sheetView>
  </sheetViews>
  <sheetFormatPr defaultColWidth="8.5546875" defaultRowHeight="15"/>
  <cols>
    <col min="1" max="1" width="3.88671875" style="103" customWidth="1"/>
    <col min="2" max="2" width="1" style="103" customWidth="1"/>
    <col min="3" max="3" width="34.77734375" style="103" customWidth="1"/>
    <col min="4" max="4" width="4.109375" style="103" customWidth="1"/>
    <col min="5" max="5" width="14.88671875" style="103" customWidth="1"/>
    <col min="6" max="6" width="1.6640625" style="103" customWidth="1"/>
    <col min="7" max="7" width="6.44140625" style="103" customWidth="1"/>
    <col min="8" max="8" width="2" style="103" customWidth="1"/>
    <col min="9" max="9" width="13.33203125" style="103" customWidth="1"/>
    <col min="10" max="10" width="2.109375" style="103" customWidth="1"/>
    <col min="11" max="11" width="8.5546875" style="103" customWidth="1"/>
    <col min="12" max="12" width="8.5546875" style="103"/>
    <col min="13" max="13" width="12.6640625" style="103" customWidth="1"/>
    <col min="14" max="16384" width="8.5546875" style="103"/>
  </cols>
  <sheetData>
    <row r="1" spans="1:12">
      <c r="A1" s="1223" t="str">
        <f>'Table of Contents'!A1:C1</f>
        <v>Atmos Energy Corporation, Kentucky/Mid-States Division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</row>
    <row r="2" spans="1:12">
      <c r="A2" s="1223" t="str">
        <f>'Table of Contents'!A2:C2</f>
        <v>Kentucky Jurisdiction Case No. 2018-00281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</row>
    <row r="3" spans="1:12">
      <c r="A3" s="1223" t="s">
        <v>1084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</row>
    <row r="4" spans="1:12">
      <c r="A4" s="1223" t="str">
        <f>'Table of Contents'!A4:C4</f>
        <v>Forecasted Test Period: Twelve Months Ended March 31, 2020</v>
      </c>
      <c r="B4" s="1223"/>
      <c r="C4" s="1223"/>
      <c r="D4" s="1223"/>
      <c r="E4" s="1223"/>
      <c r="F4" s="1223"/>
      <c r="G4" s="1223"/>
      <c r="H4" s="1223"/>
      <c r="I4" s="1223"/>
      <c r="J4" s="1223"/>
      <c r="K4" s="1223"/>
    </row>
    <row r="5" spans="1:12">
      <c r="A5" s="765"/>
      <c r="B5" s="765"/>
      <c r="C5" s="765"/>
      <c r="D5" s="765"/>
      <c r="E5" s="765"/>
      <c r="F5" s="765"/>
      <c r="G5" s="765"/>
      <c r="H5" s="765"/>
      <c r="I5" s="765"/>
      <c r="J5" s="765"/>
      <c r="K5" s="765"/>
    </row>
    <row r="6" spans="1:12">
      <c r="K6" s="950" t="s">
        <v>1414</v>
      </c>
    </row>
    <row r="7" spans="1:12">
      <c r="A7" s="584" t="s">
        <v>1146</v>
      </c>
      <c r="K7" s="922" t="s">
        <v>48</v>
      </c>
    </row>
    <row r="8" spans="1:12">
      <c r="A8" s="695" t="s">
        <v>615</v>
      </c>
      <c r="K8" s="922" t="s">
        <v>853</v>
      </c>
    </row>
    <row r="9" spans="1:12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58"/>
      <c r="K9" s="982" t="str">
        <f>'J-1 Base'!$M$9</f>
        <v>Witness:  Christian</v>
      </c>
    </row>
    <row r="10" spans="1:12">
      <c r="E10" s="765" t="s">
        <v>1049</v>
      </c>
      <c r="I10" s="121" t="s">
        <v>350</v>
      </c>
      <c r="K10" s="121" t="s">
        <v>1144</v>
      </c>
    </row>
    <row r="11" spans="1:12">
      <c r="A11" s="121" t="s">
        <v>93</v>
      </c>
      <c r="E11" s="121" t="s">
        <v>104</v>
      </c>
      <c r="G11" s="121" t="s">
        <v>269</v>
      </c>
      <c r="I11" s="121" t="s">
        <v>351</v>
      </c>
      <c r="K11" s="121" t="s">
        <v>269</v>
      </c>
    </row>
    <row r="12" spans="1:12">
      <c r="A12" s="649" t="s">
        <v>99</v>
      </c>
      <c r="B12" s="930"/>
      <c r="C12" s="649" t="s">
        <v>352</v>
      </c>
      <c r="D12" s="930"/>
      <c r="E12" s="649" t="s">
        <v>349</v>
      </c>
      <c r="F12" s="930"/>
      <c r="G12" s="649" t="s">
        <v>570</v>
      </c>
      <c r="H12" s="930"/>
      <c r="I12" s="649" t="s">
        <v>0</v>
      </c>
      <c r="J12" s="930"/>
      <c r="K12" s="649" t="s">
        <v>570</v>
      </c>
    </row>
    <row r="13" spans="1:12">
      <c r="C13" s="121" t="s">
        <v>1081</v>
      </c>
      <c r="E13" s="121" t="s">
        <v>1082</v>
      </c>
      <c r="G13" s="121" t="s">
        <v>1083</v>
      </c>
      <c r="I13" s="121" t="s">
        <v>15</v>
      </c>
      <c r="K13" s="121" t="s">
        <v>168</v>
      </c>
    </row>
    <row r="14" spans="1:12">
      <c r="E14" s="121"/>
      <c r="I14" s="121"/>
    </row>
    <row r="16" spans="1:12">
      <c r="A16" s="121">
        <v>1</v>
      </c>
      <c r="C16" s="584" t="str">
        <f>'J-3 B'!C16</f>
        <v>6.75% Debentures Unsecured due July 2028</v>
      </c>
      <c r="E16" s="340">
        <f>'J-3 B'!E16</f>
        <v>150000000</v>
      </c>
      <c r="F16" s="108"/>
      <c r="G16" s="984">
        <f>'J-3 B'!G16</f>
        <v>6.7500000000000004E-2</v>
      </c>
      <c r="H16" s="135"/>
      <c r="I16" s="572">
        <f t="shared" ref="I16" si="0">(E16*G16)</f>
        <v>10125000</v>
      </c>
      <c r="J16" s="108"/>
      <c r="K16" s="1000"/>
      <c r="L16" s="108"/>
    </row>
    <row r="17" spans="1:14">
      <c r="A17" s="121">
        <f>A16+1</f>
        <v>2</v>
      </c>
      <c r="C17" s="584" t="str">
        <f>'J-3 B'!C17</f>
        <v>6.67% MTN A1 due Dec 2025</v>
      </c>
      <c r="E17" s="86">
        <f>'J-3 B'!E17</f>
        <v>10000000</v>
      </c>
      <c r="F17" s="108"/>
      <c r="G17" s="984">
        <f>'J-3 B'!G17</f>
        <v>6.6699999999999995E-2</v>
      </c>
      <c r="H17" s="135"/>
      <c r="I17" s="628">
        <f t="shared" ref="I17:I24" si="1">(E17*G17)</f>
        <v>667000</v>
      </c>
    </row>
    <row r="18" spans="1:14">
      <c r="A18" s="121">
        <f t="shared" ref="A18:A33" si="2">A17+1</f>
        <v>3</v>
      </c>
      <c r="C18" s="584" t="str">
        <f>'J-3 B'!C18</f>
        <v>5.95% Sr Note due 10/15/2034</v>
      </c>
      <c r="E18" s="86">
        <f>'J-3 B'!E18</f>
        <v>200000000</v>
      </c>
      <c r="G18" s="984">
        <f>'J-3 B'!G18</f>
        <v>5.9499999999999997E-2</v>
      </c>
      <c r="H18" s="108"/>
      <c r="I18" s="628">
        <f t="shared" si="1"/>
        <v>11900000</v>
      </c>
      <c r="J18" s="108"/>
      <c r="K18" s="1000"/>
      <c r="L18" s="108"/>
    </row>
    <row r="19" spans="1:14">
      <c r="A19" s="121">
        <f t="shared" si="2"/>
        <v>4</v>
      </c>
      <c r="C19" s="584" t="str">
        <f>'J-3 B'!C19</f>
        <v>Sr Note 5.50% Due 06/15/2041</v>
      </c>
      <c r="E19" s="86">
        <f>'J-3 B'!E19</f>
        <v>400000000</v>
      </c>
      <c r="G19" s="984">
        <f>'J-3 B'!G19</f>
        <v>5.5E-2</v>
      </c>
      <c r="H19" s="135"/>
      <c r="I19" s="628">
        <f t="shared" si="1"/>
        <v>22000000</v>
      </c>
      <c r="J19" s="108"/>
      <c r="K19" s="1000"/>
      <c r="L19" s="108"/>
    </row>
    <row r="20" spans="1:14">
      <c r="A20" s="121">
        <f t="shared" si="2"/>
        <v>5</v>
      </c>
      <c r="C20" s="584" t="str">
        <f>'J-3 B'!C20</f>
        <v>8.50% Sr Note due 3/15/2019</v>
      </c>
      <c r="E20" s="86">
        <f>'[34]LTD rate'!$P$22</f>
        <v>513000000</v>
      </c>
      <c r="G20" s="984">
        <f>'[34]LTD rate'!$Q$22</f>
        <v>5.0743976608187136E-2</v>
      </c>
      <c r="H20" s="135"/>
      <c r="I20" s="628">
        <f t="shared" si="1"/>
        <v>26031660</v>
      </c>
      <c r="J20" s="108"/>
      <c r="K20" s="1000"/>
      <c r="L20" s="108"/>
    </row>
    <row r="21" spans="1:14">
      <c r="A21" s="121">
        <f t="shared" si="2"/>
        <v>6</v>
      </c>
      <c r="C21" s="584" t="str">
        <f>'J-3 B'!C21</f>
        <v>4.15% Sr Note due 1/15/2043</v>
      </c>
      <c r="E21" s="86">
        <f>'J-3 B'!E21</f>
        <v>500000000</v>
      </c>
      <c r="G21" s="984">
        <f>'J-3 B'!G21</f>
        <v>4.1500000000000002E-2</v>
      </c>
      <c r="H21" s="135"/>
      <c r="I21" s="628">
        <f t="shared" si="1"/>
        <v>20750000</v>
      </c>
      <c r="J21" s="108"/>
      <c r="K21" s="1000"/>
      <c r="L21" s="108"/>
    </row>
    <row r="22" spans="1:14">
      <c r="A22" s="121">
        <f t="shared" si="2"/>
        <v>7</v>
      </c>
      <c r="C22" s="584" t="str">
        <f>'J-3 B'!C22</f>
        <v>4.125% Sr Note due 10/15/2044</v>
      </c>
      <c r="E22" s="86">
        <f>'J-3 B'!E22</f>
        <v>750000000</v>
      </c>
      <c r="G22" s="984">
        <f>'J-3 B'!G22</f>
        <v>4.1250000000000002E-2</v>
      </c>
      <c r="H22" s="135"/>
      <c r="I22" s="628">
        <f t="shared" si="1"/>
        <v>30937500</v>
      </c>
      <c r="K22" s="424"/>
    </row>
    <row r="23" spans="1:14">
      <c r="A23" s="121">
        <f t="shared" si="2"/>
        <v>8</v>
      </c>
      <c r="C23" s="584" t="s">
        <v>1572</v>
      </c>
      <c r="E23" s="86">
        <f>'J-3 B'!E23</f>
        <v>500000000</v>
      </c>
      <c r="G23" s="984">
        <f>'J-3 B'!G23</f>
        <v>0.03</v>
      </c>
      <c r="H23" s="135"/>
      <c r="I23" s="628">
        <f t="shared" si="1"/>
        <v>15000000</v>
      </c>
      <c r="K23" s="424"/>
    </row>
    <row r="24" spans="1:14">
      <c r="A24" s="121">
        <f t="shared" si="2"/>
        <v>9</v>
      </c>
      <c r="C24" s="584" t="s">
        <v>1573</v>
      </c>
      <c r="E24" s="86">
        <f>'[34]LTD rate'!$T$27</f>
        <v>125000000</v>
      </c>
      <c r="F24" s="108"/>
      <c r="G24" s="984">
        <f>'[34]LTD rate'!$Q$27</f>
        <v>3.0599999999999999E-2</v>
      </c>
      <c r="H24" s="135"/>
      <c r="I24" s="427">
        <f t="shared" si="1"/>
        <v>3825000</v>
      </c>
      <c r="K24" s="424"/>
    </row>
    <row r="25" spans="1:14">
      <c r="A25" s="121">
        <f t="shared" si="2"/>
        <v>10</v>
      </c>
      <c r="C25" s="584" t="s">
        <v>96</v>
      </c>
      <c r="E25" s="730">
        <f>SUM(E16:E24)</f>
        <v>3148000000</v>
      </c>
      <c r="F25" s="108"/>
      <c r="G25" s="1008"/>
      <c r="I25" s="702">
        <f>SUM(I16:I24)</f>
        <v>141236160</v>
      </c>
    </row>
    <row r="26" spans="1:14">
      <c r="A26" s="121">
        <f t="shared" si="2"/>
        <v>11</v>
      </c>
      <c r="C26" s="584"/>
      <c r="E26" s="86"/>
      <c r="G26" s="1008"/>
      <c r="I26" s="108"/>
    </row>
    <row r="27" spans="1:14">
      <c r="A27" s="121">
        <f t="shared" si="2"/>
        <v>12</v>
      </c>
      <c r="C27" s="584" t="s">
        <v>1317</v>
      </c>
      <c r="E27" s="96"/>
      <c r="G27" s="1008"/>
      <c r="I27" s="353">
        <f>'J-3 B'!I27</f>
        <v>6580965.7455365621</v>
      </c>
    </row>
    <row r="28" spans="1:14">
      <c r="A28" s="121">
        <f t="shared" si="2"/>
        <v>13</v>
      </c>
      <c r="C28" s="584" t="s">
        <v>1318</v>
      </c>
      <c r="E28" s="408">
        <f>'J-3 B'!E28</f>
        <v>4425157.5699999994</v>
      </c>
      <c r="F28" s="108"/>
      <c r="G28" s="1008"/>
      <c r="H28" s="135"/>
      <c r="I28" s="108"/>
      <c r="N28" s="695"/>
    </row>
    <row r="29" spans="1:14">
      <c r="A29" s="121">
        <f t="shared" si="2"/>
        <v>14</v>
      </c>
      <c r="C29" s="584" t="s">
        <v>1574</v>
      </c>
      <c r="E29" s="408">
        <f>'J-3 B'!E29</f>
        <v>-21110454.75</v>
      </c>
      <c r="G29" s="1009"/>
    </row>
    <row r="30" spans="1:14">
      <c r="A30" s="121">
        <f t="shared" si="2"/>
        <v>15</v>
      </c>
    </row>
    <row r="31" spans="1:14">
      <c r="A31" s="121">
        <f t="shared" si="2"/>
        <v>16</v>
      </c>
      <c r="E31" s="108"/>
      <c r="G31" s="1009"/>
    </row>
    <row r="32" spans="1:14">
      <c r="A32" s="121">
        <f t="shared" si="2"/>
        <v>17</v>
      </c>
    </row>
    <row r="33" spans="1:11" ht="15.75" thickBot="1">
      <c r="A33" s="121">
        <f t="shared" si="2"/>
        <v>18</v>
      </c>
      <c r="C33" s="584" t="s">
        <v>1179</v>
      </c>
      <c r="E33" s="1010">
        <f>+E25+E28+E29</f>
        <v>3131314702.8200002</v>
      </c>
      <c r="G33" s="1009"/>
      <c r="I33" s="1010">
        <f>+I25+I27</f>
        <v>147817125.74553657</v>
      </c>
      <c r="K33" s="1011">
        <f>+I33/E33</f>
        <v>4.7206090659752398E-2</v>
      </c>
    </row>
    <row r="34" spans="1:11" ht="15.75" thickTop="1"/>
    <row r="35" spans="1:11">
      <c r="A35" s="584"/>
      <c r="C35" s="584"/>
    </row>
    <row r="36" spans="1:11">
      <c r="C36" s="584"/>
    </row>
    <row r="37" spans="1:11">
      <c r="C37" s="584"/>
    </row>
    <row r="39" spans="1:11">
      <c r="G39" s="984"/>
    </row>
    <row r="40" spans="1:11">
      <c r="G40" s="984"/>
    </row>
    <row r="41" spans="1:11">
      <c r="G41" s="984"/>
    </row>
    <row r="42" spans="1:11">
      <c r="G42" s="984"/>
    </row>
    <row r="43" spans="1:11">
      <c r="G43" s="984"/>
    </row>
    <row r="44" spans="1:11">
      <c r="G44" s="984"/>
    </row>
    <row r="45" spans="1:11">
      <c r="G45" s="984"/>
    </row>
    <row r="46" spans="1:11">
      <c r="G46" s="984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80" zoomScaleNormal="90" zoomScaleSheetLayoutView="80" workbookViewId="0">
      <pane xSplit="6" ySplit="13" topLeftCell="G14" activePane="bottomRight" state="frozen"/>
      <selection activeCell="F37" sqref="F37"/>
      <selection pane="topRight" activeCell="F37" sqref="F37"/>
      <selection pane="bottomLeft" activeCell="F37" sqref="F37"/>
      <selection pane="bottomRight" activeCell="E122" sqref="E122"/>
    </sheetView>
  </sheetViews>
  <sheetFormatPr defaultColWidth="6.44140625" defaultRowHeight="15"/>
  <cols>
    <col min="1" max="1" width="4.33203125" style="81" customWidth="1"/>
    <col min="2" max="2" width="11.44140625" style="81" customWidth="1"/>
    <col min="3" max="4" width="6.44140625" style="81"/>
    <col min="5" max="5" width="7.109375" style="81" customWidth="1"/>
    <col min="6" max="6" width="7.33203125" style="81" customWidth="1"/>
    <col min="7" max="7" width="12.77734375" style="81" customWidth="1"/>
    <col min="8" max="8" width="13.6640625" style="81" customWidth="1"/>
    <col min="9" max="10" width="9.88671875" style="81" customWidth="1"/>
    <col min="11" max="11" width="9.44140625" style="81" customWidth="1"/>
    <col min="12" max="12" width="9.77734375" style="81" customWidth="1"/>
    <col min="13" max="13" width="9.44140625" style="81" bestFit="1" customWidth="1"/>
    <col min="14" max="14" width="9.88671875" style="81" customWidth="1"/>
    <col min="15" max="15" width="9.5546875" style="81" customWidth="1"/>
    <col min="16" max="18" width="9.77734375" style="81" customWidth="1"/>
    <col min="19" max="19" width="9.44140625" style="81" customWidth="1"/>
    <col min="20" max="20" width="7.21875" style="81" customWidth="1"/>
    <col min="21" max="22" width="6.44140625" style="81"/>
    <col min="23" max="23" width="9.33203125" style="81" customWidth="1"/>
    <col min="24" max="24" width="6.44140625" style="81"/>
    <col min="25" max="25" width="10.6640625" style="81" customWidth="1"/>
    <col min="26" max="16384" width="6.44140625" style="81"/>
  </cols>
  <sheetData>
    <row r="1" spans="1:36" ht="15.75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1210"/>
      <c r="R1" s="1210"/>
      <c r="S1" s="1012"/>
    </row>
    <row r="2" spans="1:36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1210"/>
      <c r="R2" s="1210"/>
      <c r="S2" s="1013"/>
    </row>
    <row r="3" spans="1:36">
      <c r="A3" s="1210" t="s">
        <v>25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210"/>
      <c r="R3" s="1210"/>
      <c r="S3" s="1014"/>
    </row>
    <row r="4" spans="1:36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210"/>
      <c r="R4" s="1210"/>
    </row>
    <row r="5" spans="1:36">
      <c r="A5" s="1210" t="str">
        <f>'Table of Contents'!A4:C4</f>
        <v>Forecasted Test Period: Twelve Months Ended March 31, 2020</v>
      </c>
      <c r="B5" s="1210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  <c r="O5" s="1210"/>
      <c r="P5" s="1210"/>
      <c r="Q5" s="1210"/>
      <c r="R5" s="1210"/>
    </row>
    <row r="6" spans="1:36">
      <c r="A6" s="1210" t="s">
        <v>1233</v>
      </c>
      <c r="B6" s="1210"/>
      <c r="C6" s="1210"/>
      <c r="D6" s="1210"/>
      <c r="E6" s="1210"/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  <c r="R6" s="1210"/>
      <c r="S6" s="671"/>
    </row>
    <row r="7" spans="1:36">
      <c r="A7" s="849"/>
      <c r="N7" s="88"/>
    </row>
    <row r="8" spans="1:36">
      <c r="A8" s="88" t="s">
        <v>198</v>
      </c>
      <c r="N8" s="88"/>
      <c r="O8" s="88"/>
      <c r="Q8" s="88"/>
      <c r="R8" s="170" t="s">
        <v>1415</v>
      </c>
    </row>
    <row r="9" spans="1:36">
      <c r="A9" s="695" t="s">
        <v>1048</v>
      </c>
      <c r="N9" s="88"/>
      <c r="O9" s="88"/>
      <c r="Q9" s="88"/>
      <c r="R9" s="979" t="s">
        <v>46</v>
      </c>
    </row>
    <row r="10" spans="1:36">
      <c r="A10" s="433" t="s">
        <v>365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391"/>
      <c r="P10" s="151"/>
      <c r="Q10" s="433"/>
      <c r="R10" s="1015" t="s">
        <v>1606</v>
      </c>
    </row>
    <row r="11" spans="1:36">
      <c r="T11" s="691"/>
    </row>
    <row r="12" spans="1:36">
      <c r="A12" s="88" t="s">
        <v>93</v>
      </c>
      <c r="G12" s="849" t="s">
        <v>43</v>
      </c>
      <c r="H12" s="849" t="s">
        <v>44</v>
      </c>
      <c r="I12" s="151"/>
      <c r="J12" s="151"/>
      <c r="K12" s="151"/>
      <c r="L12" s="151"/>
      <c r="M12" s="435" t="s">
        <v>619</v>
      </c>
      <c r="N12" s="435"/>
      <c r="O12" s="151"/>
      <c r="P12" s="151"/>
      <c r="Q12" s="151"/>
      <c r="R12" s="151"/>
    </row>
    <row r="13" spans="1:36">
      <c r="A13" s="433" t="s">
        <v>99</v>
      </c>
      <c r="B13" s="151"/>
      <c r="C13" s="435" t="s">
        <v>985</v>
      </c>
      <c r="D13" s="151"/>
      <c r="E13" s="151"/>
      <c r="F13" s="151"/>
      <c r="G13" s="435" t="s">
        <v>538</v>
      </c>
      <c r="H13" s="435" t="s">
        <v>538</v>
      </c>
      <c r="I13" s="690">
        <v>2017</v>
      </c>
      <c r="J13" s="690">
        <v>2016</v>
      </c>
      <c r="K13" s="690">
        <v>2015</v>
      </c>
      <c r="L13" s="690">
        <v>2014</v>
      </c>
      <c r="M13" s="690">
        <v>2013</v>
      </c>
      <c r="N13" s="690">
        <v>2012</v>
      </c>
      <c r="O13" s="690">
        <v>2011</v>
      </c>
      <c r="P13" s="690">
        <v>2010</v>
      </c>
      <c r="Q13" s="690">
        <v>2009</v>
      </c>
      <c r="R13" s="690">
        <v>2008</v>
      </c>
    </row>
    <row r="14" spans="1:36">
      <c r="K14" s="81" t="s">
        <v>323</v>
      </c>
    </row>
    <row r="15" spans="1:36" ht="15.75">
      <c r="A15" s="849">
        <v>1</v>
      </c>
      <c r="B15" s="620" t="s">
        <v>1154</v>
      </c>
      <c r="C15" s="988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12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5.75">
      <c r="A16" s="849">
        <f>A15+1</f>
        <v>2</v>
      </c>
      <c r="B16" s="88" t="s">
        <v>308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12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.75">
      <c r="A17" s="849">
        <f t="shared" ref="A17:A80" si="0">A16+1</f>
        <v>3</v>
      </c>
      <c r="B17" s="88" t="s">
        <v>178</v>
      </c>
      <c r="G17" s="108">
        <f>('B.2 F'!I19+'B.2 F'!I127)/1000</f>
        <v>772.76419091000002</v>
      </c>
      <c r="H17" s="108">
        <f>('B.2 B'!I19+'B.2 B'!I127)/1000</f>
        <v>772.76419091000002</v>
      </c>
      <c r="I17" s="108">
        <f>[35]K!I17</f>
        <v>128</v>
      </c>
      <c r="J17" s="108">
        <f>[35]K!J17</f>
        <v>128</v>
      </c>
      <c r="K17" s="108">
        <f>[35]K!K17</f>
        <v>128</v>
      </c>
      <c r="L17" s="108">
        <f>[35]K!L17</f>
        <v>128</v>
      </c>
      <c r="M17" s="108">
        <f>[35]K!M17</f>
        <v>128</v>
      </c>
      <c r="N17" s="108">
        <f>[35]K!N17</f>
        <v>128</v>
      </c>
      <c r="O17" s="108">
        <f>[35]K!O17</f>
        <v>128</v>
      </c>
      <c r="P17" s="108">
        <f>[35]K!P17</f>
        <v>128</v>
      </c>
      <c r="Q17" s="108">
        <f>[35]K!Q17</f>
        <v>128</v>
      </c>
      <c r="R17" s="108">
        <f>[35]K!R17</f>
        <v>128</v>
      </c>
      <c r="S17" s="1012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>
      <c r="A18" s="849">
        <f t="shared" si="0"/>
        <v>4</v>
      </c>
      <c r="B18" s="88" t="s">
        <v>26</v>
      </c>
      <c r="G18" s="108">
        <f>('B.2 F'!I26)/1000</f>
        <v>0</v>
      </c>
      <c r="H18" s="108">
        <f>('B.2 B'!I26)/1000</f>
        <v>0</v>
      </c>
      <c r="I18" s="108">
        <f>[35]K!I18</f>
        <v>0</v>
      </c>
      <c r="J18" s="108">
        <f>[35]K!J18</f>
        <v>0</v>
      </c>
      <c r="K18" s="108">
        <f>[35]K!K18</f>
        <v>0</v>
      </c>
      <c r="L18" s="108">
        <f>[35]K!L18</f>
        <v>636</v>
      </c>
      <c r="M18" s="108">
        <f>[35]K!M18</f>
        <v>901</v>
      </c>
      <c r="N18" s="108">
        <f>[35]K!N18</f>
        <v>901</v>
      </c>
      <c r="O18" s="108">
        <f>[35]K!O18</f>
        <v>901</v>
      </c>
      <c r="P18" s="108">
        <f>[35]K!P18</f>
        <v>901</v>
      </c>
      <c r="Q18" s="108">
        <f>[35]K!Q18</f>
        <v>901</v>
      </c>
      <c r="R18" s="108">
        <f>[35]K!R18</f>
        <v>901</v>
      </c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>
      <c r="A19" s="849">
        <f t="shared" si="0"/>
        <v>5</v>
      </c>
      <c r="B19" s="88" t="s">
        <v>27</v>
      </c>
      <c r="G19" s="108">
        <f>('B.2 F'!I47)/1000</f>
        <v>15017.625798266803</v>
      </c>
      <c r="H19" s="108">
        <f>('B.2 B'!I47)/1000</f>
        <v>15021.167638698926</v>
      </c>
      <c r="I19" s="108">
        <f>[35]K!I19</f>
        <v>13329</v>
      </c>
      <c r="J19" s="108">
        <f>[35]K!J19</f>
        <v>12454</v>
      </c>
      <c r="K19" s="108">
        <f>[35]K!K19</f>
        <v>11560</v>
      </c>
      <c r="L19" s="108">
        <f>[35]K!L19</f>
        <v>10792</v>
      </c>
      <c r="M19" s="108">
        <f>[35]K!M19</f>
        <v>9630</v>
      </c>
      <c r="N19" s="108">
        <f>[35]K!N19</f>
        <v>10104</v>
      </c>
      <c r="O19" s="108">
        <f>[35]K!O19</f>
        <v>9388</v>
      </c>
      <c r="P19" s="108">
        <f>[35]K!P19</f>
        <v>7731</v>
      </c>
      <c r="Q19" s="108">
        <f>[35]K!Q19</f>
        <v>7540</v>
      </c>
      <c r="R19" s="108">
        <f>[35]K!R19</f>
        <v>6950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>
      <c r="A20" s="849">
        <f t="shared" si="0"/>
        <v>6</v>
      </c>
      <c r="B20" s="88" t="s">
        <v>28</v>
      </c>
      <c r="G20" s="108">
        <f>('B.2 F'!I60)/1000</f>
        <v>31004.373073646973</v>
      </c>
      <c r="H20" s="108">
        <f>('B.2 B'!I60)/1000</f>
        <v>31454.563912538553</v>
      </c>
      <c r="I20" s="108">
        <f>[35]K!I20</f>
        <v>31784</v>
      </c>
      <c r="J20" s="108">
        <f>[35]K!J20</f>
        <v>31814</v>
      </c>
      <c r="K20" s="108">
        <f>[35]K!K20</f>
        <v>31808</v>
      </c>
      <c r="L20" s="108">
        <f>[35]K!L20</f>
        <v>31877</v>
      </c>
      <c r="M20" s="108">
        <f>[35]K!M20</f>
        <v>32962</v>
      </c>
      <c r="N20" s="108">
        <f>[35]K!N20</f>
        <v>32836</v>
      </c>
      <c r="O20" s="108">
        <f>[35]K!O20</f>
        <v>33144</v>
      </c>
      <c r="P20" s="108">
        <f>[35]K!P20</f>
        <v>31189</v>
      </c>
      <c r="Q20" s="108">
        <f>[35]K!Q20</f>
        <v>31202</v>
      </c>
      <c r="R20" s="108">
        <f>[35]K!R20</f>
        <v>28807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>
      <c r="A21" s="849">
        <f t="shared" si="0"/>
        <v>7</v>
      </c>
      <c r="B21" s="88" t="s">
        <v>499</v>
      </c>
      <c r="G21" s="108">
        <f>('B.2 F'!I86+'B.2 F'!I152)/1000</f>
        <v>673469.00766965665</v>
      </c>
      <c r="H21" s="108">
        <f>('B.2 B'!I86+'B.2 B'!I152)/1000</f>
        <v>583188.1264877998</v>
      </c>
      <c r="I21" s="108">
        <f>[35]K!I21</f>
        <v>517179</v>
      </c>
      <c r="J21" s="108">
        <f>[35]K!J21</f>
        <v>472849</v>
      </c>
      <c r="K21" s="108">
        <f>[35]K!K21</f>
        <v>413302</v>
      </c>
      <c r="L21" s="108">
        <f>[35]K!L21</f>
        <v>381623</v>
      </c>
      <c r="M21" s="108">
        <f>[35]K!M21</f>
        <v>340200</v>
      </c>
      <c r="N21" s="108">
        <f>[35]K!N21</f>
        <v>323036</v>
      </c>
      <c r="O21" s="108">
        <f>[35]K!O21</f>
        <v>296493</v>
      </c>
      <c r="P21" s="108">
        <f>[35]K!P21</f>
        <v>283474</v>
      </c>
      <c r="Q21" s="108">
        <f>[35]K!Q21</f>
        <v>271463</v>
      </c>
      <c r="R21" s="108">
        <f>[35]K!R21</f>
        <v>260621</v>
      </c>
    </row>
    <row r="22" spans="1:36">
      <c r="A22" s="849">
        <f t="shared" si="0"/>
        <v>8</v>
      </c>
      <c r="B22" s="88" t="s">
        <v>956</v>
      </c>
      <c r="G22" s="108">
        <f>('B.2 F'!I115+'B.2 F'!I177+'B.2 F'!I225+'B.2 F'!I262)/1000</f>
        <v>42857.372076581058</v>
      </c>
      <c r="H22" s="108">
        <f>('B.2 B'!I115+'B.2 B'!I177+'B.2 B'!I225+'B.2 B'!I262)/1000</f>
        <v>40871.341196475652</v>
      </c>
      <c r="I22" s="108">
        <f>[35]K!I22</f>
        <v>21675</v>
      </c>
      <c r="J22" s="108">
        <f>[35]K!J22</f>
        <v>21271</v>
      </c>
      <c r="K22" s="108">
        <f>[35]K!K22</f>
        <v>18126</v>
      </c>
      <c r="L22" s="108">
        <f>[35]K!L22</f>
        <v>16683</v>
      </c>
      <c r="M22" s="108">
        <f>[35]K!M22</f>
        <v>15589</v>
      </c>
      <c r="N22" s="108">
        <f>[35]K!N22</f>
        <v>15238</v>
      </c>
      <c r="O22" s="108">
        <f>[35]K!O22</f>
        <v>16000</v>
      </c>
      <c r="P22" s="108">
        <f>[35]K!P22</f>
        <v>15103</v>
      </c>
      <c r="Q22" s="108">
        <f>[35]K!Q22</f>
        <v>14696</v>
      </c>
      <c r="R22" s="108">
        <f>[35]K!R22</f>
        <v>15422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>
      <c r="A23" s="849">
        <f t="shared" si="0"/>
        <v>9</v>
      </c>
      <c r="B23" s="88" t="s">
        <v>382</v>
      </c>
      <c r="G23" s="108"/>
      <c r="H23" s="108"/>
      <c r="I23" s="108">
        <f>[35]K!I23</f>
        <v>3279</v>
      </c>
      <c r="J23" s="108">
        <f>[35]K!J23</f>
        <v>3279</v>
      </c>
      <c r="K23" s="108">
        <f>[35]K!K23</f>
        <v>3279</v>
      </c>
      <c r="L23" s="108">
        <f>[35]K!L23</f>
        <v>3279</v>
      </c>
      <c r="M23" s="108">
        <f>[35]K!M23</f>
        <v>3279</v>
      </c>
      <c r="N23" s="108">
        <f>[35]K!N23</f>
        <v>3279</v>
      </c>
      <c r="O23" s="108">
        <f>[35]K!O23</f>
        <v>3279</v>
      </c>
      <c r="P23" s="108">
        <f>[35]K!P23</f>
        <v>3337</v>
      </c>
      <c r="Q23" s="108">
        <f>[35]K!Q23</f>
        <v>3337</v>
      </c>
      <c r="R23" s="108">
        <f>[35]K!R23</f>
        <v>3337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>
      <c r="A24" s="849">
        <f t="shared" si="0"/>
        <v>10</v>
      </c>
      <c r="B24" s="88" t="s">
        <v>323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>
      <c r="A25" s="849">
        <f t="shared" si="0"/>
        <v>11</v>
      </c>
      <c r="B25" s="88" t="s">
        <v>165</v>
      </c>
      <c r="G25" s="108">
        <f t="shared" ref="G25:R25" si="1">SUM(G17:G24)</f>
        <v>763121.14280906157</v>
      </c>
      <c r="H25" s="108">
        <f t="shared" si="1"/>
        <v>671307.96342642291</v>
      </c>
      <c r="I25" s="108">
        <f t="shared" si="1"/>
        <v>587374</v>
      </c>
      <c r="J25" s="108">
        <f t="shared" si="1"/>
        <v>541795</v>
      </c>
      <c r="K25" s="108">
        <f t="shared" si="1"/>
        <v>478203</v>
      </c>
      <c r="L25" s="108">
        <f t="shared" si="1"/>
        <v>445018</v>
      </c>
      <c r="M25" s="108">
        <f t="shared" si="1"/>
        <v>402689</v>
      </c>
      <c r="N25" s="108">
        <f t="shared" si="1"/>
        <v>385522</v>
      </c>
      <c r="O25" s="108">
        <f t="shared" si="1"/>
        <v>359333</v>
      </c>
      <c r="P25" s="108">
        <f t="shared" si="1"/>
        <v>341863</v>
      </c>
      <c r="Q25" s="108">
        <f t="shared" si="1"/>
        <v>329267</v>
      </c>
      <c r="R25" s="108">
        <f t="shared" si="1"/>
        <v>316166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>
      <c r="A26" s="849">
        <f t="shared" si="0"/>
        <v>12</v>
      </c>
      <c r="B26" s="88" t="s">
        <v>383</v>
      </c>
      <c r="G26" s="109">
        <f>-'B.1 F '!D17/1000</f>
        <v>192058.97710581712</v>
      </c>
      <c r="H26" s="427">
        <f>-'B.1 B'!D17/1000</f>
        <v>197392.16106254607</v>
      </c>
      <c r="I26" s="108">
        <f>[35]K!I26</f>
        <v>175150</v>
      </c>
      <c r="J26" s="108">
        <f>[35]K!J26</f>
        <v>167228</v>
      </c>
      <c r="K26" s="108">
        <f>[35]K!K26</f>
        <v>165298</v>
      </c>
      <c r="L26" s="108">
        <f>[35]K!L26</f>
        <v>160839</v>
      </c>
      <c r="M26" s="108">
        <f>[35]K!M26</f>
        <v>158300</v>
      </c>
      <c r="N26" s="108">
        <f>[35]K!N26</f>
        <v>151849</v>
      </c>
      <c r="O26" s="108">
        <f>[35]K!O26</f>
        <v>150795</v>
      </c>
      <c r="P26" s="108">
        <f>[35]K!P26</f>
        <v>147462</v>
      </c>
      <c r="Q26" s="108">
        <f>[35]K!Q26</f>
        <v>144016</v>
      </c>
      <c r="R26" s="108">
        <f>[35]K!R26</f>
        <v>139212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>
      <c r="A27" s="849">
        <f t="shared" si="0"/>
        <v>13</v>
      </c>
      <c r="B27" s="88" t="s">
        <v>384</v>
      </c>
      <c r="G27" s="108">
        <f t="shared" ref="G27:R27" si="2">G25-G26</f>
        <v>571062.16570324451</v>
      </c>
      <c r="H27" s="684">
        <f t="shared" si="2"/>
        <v>473915.80236387684</v>
      </c>
      <c r="I27" s="1016">
        <f t="shared" si="2"/>
        <v>412224</v>
      </c>
      <c r="J27" s="1016">
        <f t="shared" si="2"/>
        <v>374567</v>
      </c>
      <c r="K27" s="1016">
        <f t="shared" si="2"/>
        <v>312905</v>
      </c>
      <c r="L27" s="1016">
        <f t="shared" si="2"/>
        <v>284179</v>
      </c>
      <c r="M27" s="1016">
        <f t="shared" si="2"/>
        <v>244389</v>
      </c>
      <c r="N27" s="1016">
        <f t="shared" si="2"/>
        <v>233673</v>
      </c>
      <c r="O27" s="1016">
        <f t="shared" si="2"/>
        <v>208538</v>
      </c>
      <c r="P27" s="1016">
        <f t="shared" si="2"/>
        <v>194401</v>
      </c>
      <c r="Q27" s="1016">
        <f t="shared" si="2"/>
        <v>185251</v>
      </c>
      <c r="R27" s="1016">
        <f t="shared" si="2"/>
        <v>176954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>
      <c r="A28" s="849">
        <f t="shared" si="0"/>
        <v>14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36">
      <c r="A29" s="849">
        <f t="shared" si="0"/>
        <v>15</v>
      </c>
      <c r="B29" s="88" t="s">
        <v>783</v>
      </c>
      <c r="G29" s="108">
        <f>'B.1 F '!D16/1000</f>
        <v>39130.198175474179</v>
      </c>
      <c r="H29" s="108">
        <f>'B.1 B'!D16/1000</f>
        <v>39130.198175474179</v>
      </c>
      <c r="I29" s="108">
        <f>[35]K!I29</f>
        <v>32838</v>
      </c>
      <c r="J29" s="108">
        <f>[35]K!J29</f>
        <v>10146.378000000001</v>
      </c>
      <c r="K29" s="108">
        <f>[35]K!K29</f>
        <v>26310.035</v>
      </c>
      <c r="L29" s="108">
        <f>[35]K!L29</f>
        <v>12708</v>
      </c>
      <c r="M29" s="108">
        <f>[35]K!M29</f>
        <v>16578</v>
      </c>
      <c r="N29" s="108">
        <f>[35]K!N29</f>
        <v>6006</v>
      </c>
      <c r="O29" s="108">
        <f>[35]K!O29</f>
        <v>3306</v>
      </c>
      <c r="P29" s="108">
        <f>[35]K!P29</f>
        <v>7197</v>
      </c>
      <c r="Q29" s="108">
        <f>[35]K!Q29</f>
        <v>4851</v>
      </c>
      <c r="R29" s="108">
        <f>[35]K!R29</f>
        <v>5215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>
      <c r="A30" s="849">
        <f t="shared" si="0"/>
        <v>16</v>
      </c>
      <c r="B30" s="88" t="s">
        <v>323</v>
      </c>
      <c r="G30" s="109"/>
      <c r="H30" s="109"/>
      <c r="I30" s="109"/>
      <c r="J30" s="109"/>
      <c r="K30" s="1017"/>
      <c r="L30" s="109"/>
      <c r="M30" s="109"/>
      <c r="N30" s="109"/>
      <c r="O30" s="109"/>
      <c r="P30" s="109"/>
      <c r="Q30" s="109"/>
      <c r="R30" s="109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>
      <c r="A31" s="849">
        <f t="shared" si="0"/>
        <v>17</v>
      </c>
      <c r="B31" s="88" t="s">
        <v>1178</v>
      </c>
      <c r="G31" s="108">
        <f t="shared" ref="G31:R31" si="3">SUM(G29:G30)</f>
        <v>39130.198175474179</v>
      </c>
      <c r="H31" s="108">
        <f t="shared" si="3"/>
        <v>39130.198175474179</v>
      </c>
      <c r="I31" s="108">
        <f t="shared" si="3"/>
        <v>32838</v>
      </c>
      <c r="J31" s="108">
        <f t="shared" si="3"/>
        <v>10146.378000000001</v>
      </c>
      <c r="K31" s="108">
        <f t="shared" si="3"/>
        <v>26310.035</v>
      </c>
      <c r="L31" s="108">
        <f t="shared" si="3"/>
        <v>12708</v>
      </c>
      <c r="M31" s="108">
        <f t="shared" si="3"/>
        <v>16578</v>
      </c>
      <c r="N31" s="108">
        <f t="shared" si="3"/>
        <v>6006</v>
      </c>
      <c r="O31" s="108">
        <f t="shared" si="3"/>
        <v>3306</v>
      </c>
      <c r="P31" s="108">
        <f t="shared" si="3"/>
        <v>7197</v>
      </c>
      <c r="Q31" s="108">
        <f t="shared" si="3"/>
        <v>4851</v>
      </c>
      <c r="R31" s="108">
        <f t="shared" si="3"/>
        <v>5215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>
      <c r="A32" s="849">
        <f t="shared" si="0"/>
        <v>18</v>
      </c>
      <c r="G32" s="108"/>
      <c r="H32" s="108"/>
      <c r="I32" s="108"/>
      <c r="J32" s="108"/>
      <c r="K32" s="108"/>
      <c r="L32" s="108"/>
      <c r="M32" s="108"/>
      <c r="N32" s="108"/>
      <c r="O32" s="103"/>
      <c r="P32" s="108"/>
      <c r="Q32" s="108"/>
      <c r="R32" s="10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>
      <c r="A33" s="849">
        <f t="shared" si="0"/>
        <v>19</v>
      </c>
      <c r="B33" s="88" t="s">
        <v>96</v>
      </c>
      <c r="G33" s="113">
        <f t="shared" ref="G33:R33" si="4">G27+G31</f>
        <v>610192.36387871869</v>
      </c>
      <c r="H33" s="113">
        <f t="shared" si="4"/>
        <v>513046.00053935102</v>
      </c>
      <c r="I33" s="113">
        <f t="shared" si="4"/>
        <v>445062</v>
      </c>
      <c r="J33" s="113">
        <f t="shared" si="4"/>
        <v>384713.37800000003</v>
      </c>
      <c r="K33" s="113">
        <f t="shared" si="4"/>
        <v>339215.03499999997</v>
      </c>
      <c r="L33" s="113">
        <f t="shared" si="4"/>
        <v>296887</v>
      </c>
      <c r="M33" s="113">
        <f t="shared" si="4"/>
        <v>260967</v>
      </c>
      <c r="N33" s="113">
        <f t="shared" si="4"/>
        <v>239679</v>
      </c>
      <c r="O33" s="113">
        <f t="shared" si="4"/>
        <v>211844</v>
      </c>
      <c r="P33" s="113">
        <f t="shared" si="4"/>
        <v>201598</v>
      </c>
      <c r="Q33" s="113">
        <f t="shared" si="4"/>
        <v>190102</v>
      </c>
      <c r="R33" s="113">
        <f t="shared" si="4"/>
        <v>182169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>
      <c r="A34" s="849">
        <f t="shared" si="0"/>
        <v>20</v>
      </c>
      <c r="G34" s="108"/>
      <c r="H34" s="103"/>
      <c r="I34" s="108"/>
      <c r="J34" s="108"/>
      <c r="K34" s="108"/>
      <c r="L34" s="103"/>
      <c r="M34" s="108"/>
      <c r="N34" s="108"/>
      <c r="O34" s="108"/>
      <c r="P34" s="108"/>
      <c r="Q34" s="108"/>
      <c r="R34" s="108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>
      <c r="A35" s="849">
        <f t="shared" si="0"/>
        <v>21</v>
      </c>
      <c r="B35" s="88" t="s">
        <v>385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>
      <c r="A36" s="849">
        <f t="shared" si="0"/>
        <v>22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>
      <c r="A37" s="849">
        <f t="shared" si="0"/>
        <v>23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36">
      <c r="A38" s="849">
        <f t="shared" si="0"/>
        <v>24</v>
      </c>
      <c r="B38" s="656" t="s">
        <v>1234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73"/>
      <c r="T38" s="73"/>
      <c r="U38" s="73"/>
      <c r="AA38" s="110"/>
    </row>
    <row r="39" spans="1:36">
      <c r="A39" s="849">
        <f t="shared" si="0"/>
        <v>25</v>
      </c>
      <c r="B39" s="620" t="s">
        <v>1068</v>
      </c>
      <c r="C39" s="988"/>
      <c r="D39" s="988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73"/>
      <c r="T39" s="73"/>
      <c r="U39" s="73"/>
      <c r="X39" s="110"/>
      <c r="AA39" s="110"/>
      <c r="AC39" s="110"/>
      <c r="AD39" s="110"/>
      <c r="AE39" s="110"/>
      <c r="AF39" s="110"/>
      <c r="AG39" s="110"/>
      <c r="AH39" s="110"/>
    </row>
    <row r="40" spans="1:36" ht="15.75">
      <c r="A40" s="849">
        <f t="shared" si="0"/>
        <v>26</v>
      </c>
      <c r="B40" s="88" t="s">
        <v>1069</v>
      </c>
      <c r="G40" s="131">
        <f>'J-1 F'!G20</f>
        <v>281542.43134917947</v>
      </c>
      <c r="H40" s="131">
        <f>'J-1 Base'!G19</f>
        <v>281542.43134917947</v>
      </c>
      <c r="I40" s="131">
        <f>[35]K!I40</f>
        <v>447745</v>
      </c>
      <c r="J40" s="131">
        <f>[35]K!J40</f>
        <v>829811</v>
      </c>
      <c r="K40" s="131">
        <f>[35]K!K40</f>
        <v>457927</v>
      </c>
      <c r="L40" s="131">
        <f>[35]K!L40</f>
        <v>196695</v>
      </c>
      <c r="M40" s="131">
        <f>[35]K!M40</f>
        <v>367984</v>
      </c>
      <c r="N40" s="131">
        <f>[35]K!N40</f>
        <v>570929</v>
      </c>
      <c r="O40" s="131">
        <f>[35]K!O40</f>
        <v>206396</v>
      </c>
      <c r="P40" s="131">
        <f>[35]K!P40</f>
        <v>126100</v>
      </c>
      <c r="Q40" s="131">
        <f>[35]K!Q40</f>
        <v>72550</v>
      </c>
      <c r="R40" s="131">
        <f>[35]K!R40</f>
        <v>350542</v>
      </c>
      <c r="S40" s="1012"/>
      <c r="X40" s="110"/>
      <c r="Z40" s="110"/>
      <c r="AA40" s="110"/>
      <c r="AC40" s="110"/>
      <c r="AD40" s="110"/>
      <c r="AE40" s="110"/>
      <c r="AF40" s="110"/>
      <c r="AG40" s="110"/>
      <c r="AH40" s="110"/>
    </row>
    <row r="41" spans="1:36" ht="15.75">
      <c r="A41" s="849">
        <f t="shared" si="0"/>
        <v>27</v>
      </c>
      <c r="B41" s="88" t="s">
        <v>1070</v>
      </c>
      <c r="G41" s="131">
        <f>'J-1 F'!G22</f>
        <v>3131314.7028200002</v>
      </c>
      <c r="H41" s="131">
        <f>'J-1 Base'!G21</f>
        <v>3068314.7028199998</v>
      </c>
      <c r="I41" s="131">
        <f>[35]K!I41</f>
        <v>3067045</v>
      </c>
      <c r="J41" s="131">
        <f>[35]K!J41</f>
        <v>2438779</v>
      </c>
      <c r="K41" s="131">
        <f>[35]K!K41</f>
        <v>2437515</v>
      </c>
      <c r="L41" s="131">
        <f>[35]K!L41</f>
        <v>2455986</v>
      </c>
      <c r="M41" s="131">
        <f>[35]K!M41</f>
        <v>2455671</v>
      </c>
      <c r="N41" s="131">
        <f>[35]K!N41</f>
        <v>1956305</v>
      </c>
      <c r="O41" s="131">
        <f>[35]K!O41</f>
        <v>2206117</v>
      </c>
      <c r="P41" s="131">
        <f>[35]K!P41</f>
        <v>1809551</v>
      </c>
      <c r="Q41" s="131">
        <f>[35]K!Q41</f>
        <v>2169400</v>
      </c>
      <c r="R41" s="131">
        <f>[35]K!R41</f>
        <v>2119792</v>
      </c>
      <c r="S41" s="1012"/>
      <c r="AA41" s="110"/>
    </row>
    <row r="42" spans="1:36">
      <c r="A42" s="849">
        <f t="shared" si="0"/>
        <v>28</v>
      </c>
      <c r="B42" s="88" t="s">
        <v>256</v>
      </c>
      <c r="G42" s="685"/>
      <c r="H42" s="685"/>
      <c r="I42" s="131">
        <f>[35]K!I42</f>
        <v>0</v>
      </c>
      <c r="J42" s="131">
        <f>[35]K!J42</f>
        <v>0</v>
      </c>
      <c r="K42" s="131">
        <f>[35]K!K42</f>
        <v>0</v>
      </c>
      <c r="L42" s="131">
        <f>[35]K!L42</f>
        <v>0</v>
      </c>
      <c r="M42" s="131">
        <f>[35]K!M42</f>
        <v>0</v>
      </c>
      <c r="N42" s="131">
        <f>[35]K!N42</f>
        <v>0</v>
      </c>
      <c r="O42" s="131">
        <f>[35]K!O42</f>
        <v>0</v>
      </c>
      <c r="P42" s="131">
        <f>[35]K!P42</f>
        <v>0</v>
      </c>
      <c r="Q42" s="131">
        <f>[35]K!Q42</f>
        <v>0</v>
      </c>
      <c r="R42" s="131">
        <f>[35]K!R42</f>
        <v>0</v>
      </c>
      <c r="X42" s="110"/>
      <c r="AA42" s="110"/>
      <c r="AC42" s="110"/>
      <c r="AD42" s="110"/>
      <c r="AE42" s="110"/>
      <c r="AF42" s="110"/>
      <c r="AG42" s="110"/>
      <c r="AH42" s="110"/>
    </row>
    <row r="43" spans="1:36" ht="15.75">
      <c r="A43" s="849">
        <f t="shared" si="0"/>
        <v>29</v>
      </c>
      <c r="B43" s="88" t="s">
        <v>257</v>
      </c>
      <c r="G43" s="645">
        <f>'J-1 F'!G26</f>
        <v>4760180.6776799997</v>
      </c>
      <c r="H43" s="645">
        <f>'J-1 Base'!G25</f>
        <v>4760180.6776799997</v>
      </c>
      <c r="I43" s="131">
        <f>[35]K!I43</f>
        <v>3898666</v>
      </c>
      <c r="J43" s="131">
        <f>[35]K!J43</f>
        <v>3463059</v>
      </c>
      <c r="K43" s="131">
        <f>[35]K!K43</f>
        <v>3194797</v>
      </c>
      <c r="L43" s="131">
        <f>[35]K!L43</f>
        <v>3086232</v>
      </c>
      <c r="M43" s="131">
        <f>[35]K!M43</f>
        <v>2580409</v>
      </c>
      <c r="N43" s="131">
        <f>[35]K!N43</f>
        <v>2359243</v>
      </c>
      <c r="O43" s="131">
        <f>[35]K!O43</f>
        <v>2255421</v>
      </c>
      <c r="P43" s="131">
        <f>[35]K!P43</f>
        <v>2178348</v>
      </c>
      <c r="Q43" s="131">
        <f>[35]K!Q43</f>
        <v>2176761</v>
      </c>
      <c r="R43" s="131">
        <f>[35]K!R43</f>
        <v>2052492</v>
      </c>
      <c r="S43" s="1012"/>
      <c r="AA43" s="110"/>
    </row>
    <row r="44" spans="1:36">
      <c r="A44" s="849">
        <f t="shared" si="0"/>
        <v>30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X44" s="110"/>
      <c r="Z44" s="110"/>
      <c r="AA44" s="110"/>
      <c r="AC44" s="110"/>
      <c r="AD44" s="110"/>
      <c r="AE44" s="110"/>
      <c r="AF44" s="110"/>
      <c r="AG44" s="110"/>
      <c r="AH44" s="110"/>
    </row>
    <row r="45" spans="1:36">
      <c r="A45" s="849">
        <f t="shared" si="0"/>
        <v>31</v>
      </c>
      <c r="B45" s="88" t="s">
        <v>96</v>
      </c>
      <c r="G45" s="113">
        <f>'J-1 F'!G28</f>
        <v>8173037.8118491797</v>
      </c>
      <c r="H45" s="113">
        <f>'J-1 Base'!G27</f>
        <v>8110037.8118491787</v>
      </c>
      <c r="I45" s="113">
        <f t="shared" ref="I45:R45" si="5">SUM(I40:I43)</f>
        <v>7413456</v>
      </c>
      <c r="J45" s="113">
        <f t="shared" si="5"/>
        <v>6731649</v>
      </c>
      <c r="K45" s="113">
        <f t="shared" si="5"/>
        <v>6090239</v>
      </c>
      <c r="L45" s="113">
        <f t="shared" si="5"/>
        <v>5738913</v>
      </c>
      <c r="M45" s="113">
        <f t="shared" si="5"/>
        <v>5404064</v>
      </c>
      <c r="N45" s="113">
        <f t="shared" si="5"/>
        <v>4886477</v>
      </c>
      <c r="O45" s="113">
        <f>SUM(O40:O43)</f>
        <v>4667934</v>
      </c>
      <c r="P45" s="113">
        <f t="shared" si="5"/>
        <v>4113999</v>
      </c>
      <c r="Q45" s="113">
        <f t="shared" si="5"/>
        <v>4418711</v>
      </c>
      <c r="R45" s="113">
        <f t="shared" si="5"/>
        <v>4522826</v>
      </c>
      <c r="AA45" s="110"/>
    </row>
    <row r="46" spans="1:36">
      <c r="A46" s="849">
        <f t="shared" si="0"/>
        <v>32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X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6">
      <c r="A47" s="849">
        <f t="shared" si="0"/>
        <v>33</v>
      </c>
      <c r="B47" s="620" t="s">
        <v>258</v>
      </c>
      <c r="C47" s="988"/>
      <c r="D47" s="988"/>
      <c r="E47" s="988"/>
      <c r="F47" s="98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AA47" s="110"/>
    </row>
    <row r="48" spans="1:36" ht="15.75">
      <c r="A48" s="849">
        <f t="shared" si="0"/>
        <v>34</v>
      </c>
      <c r="B48" s="88" t="s">
        <v>1187</v>
      </c>
      <c r="G48" s="131">
        <f>+I.1!L19</f>
        <v>169717.86583695575</v>
      </c>
      <c r="H48" s="131">
        <f>+I.1!J19</f>
        <v>175162.78482905787</v>
      </c>
      <c r="I48" s="131">
        <f>[35]K!I48</f>
        <v>164102</v>
      </c>
      <c r="J48" s="131">
        <f>[35]K!J48</f>
        <v>147431</v>
      </c>
      <c r="K48" s="131">
        <f>[35]K!K48</f>
        <v>170468</v>
      </c>
      <c r="L48" s="131">
        <f>[35]K!L48</f>
        <v>196882</v>
      </c>
      <c r="M48" s="131">
        <f>[35]K!M48</f>
        <v>162968</v>
      </c>
      <c r="N48" s="131">
        <f>[35]K!N48</f>
        <v>134778</v>
      </c>
      <c r="O48" s="131">
        <f>[35]K!O48</f>
        <v>149662</v>
      </c>
      <c r="P48" s="131">
        <f>[35]K!P48</f>
        <v>156816</v>
      </c>
      <c r="Q48" s="131">
        <f>[35]K!Q48</f>
        <v>190356</v>
      </c>
      <c r="R48" s="131">
        <f>[35]K!R48</f>
        <v>244308.47516</v>
      </c>
      <c r="S48" s="1012"/>
      <c r="AA48" s="110"/>
    </row>
    <row r="49" spans="1:34" ht="15.75">
      <c r="A49" s="849">
        <f t="shared" si="0"/>
        <v>35</v>
      </c>
      <c r="B49" s="88" t="s">
        <v>288</v>
      </c>
      <c r="G49" s="108"/>
      <c r="H49" s="108"/>
      <c r="I49" s="131">
        <f>[35]K!I49</f>
        <v>0</v>
      </c>
      <c r="J49" s="131">
        <f>[35]K!J49</f>
        <v>0</v>
      </c>
      <c r="K49" s="131">
        <f>[35]K!K49</f>
        <v>0</v>
      </c>
      <c r="L49" s="131">
        <f>[35]K!L49</f>
        <v>0</v>
      </c>
      <c r="M49" s="131">
        <f>[35]K!M49</f>
        <v>0</v>
      </c>
      <c r="N49" s="131">
        <f>[35]K!N49</f>
        <v>0</v>
      </c>
      <c r="O49" s="131">
        <f>[35]K!O49</f>
        <v>0</v>
      </c>
      <c r="P49" s="131">
        <f>[35]K!P49</f>
        <v>0</v>
      </c>
      <c r="Q49" s="131">
        <f>[35]K!Q49</f>
        <v>0</v>
      </c>
      <c r="R49" s="131">
        <f>[35]K!R49</f>
        <v>0</v>
      </c>
      <c r="S49" s="1012"/>
      <c r="X49" s="110"/>
      <c r="Z49" s="110"/>
      <c r="AA49" s="110"/>
      <c r="AC49" s="110"/>
      <c r="AD49" s="110"/>
      <c r="AE49" s="110"/>
      <c r="AF49" s="110"/>
      <c r="AG49" s="110"/>
      <c r="AH49" s="110"/>
    </row>
    <row r="50" spans="1:34">
      <c r="A50" s="849">
        <f t="shared" si="0"/>
        <v>36</v>
      </c>
      <c r="B50" s="88" t="s">
        <v>620</v>
      </c>
      <c r="G50" s="131">
        <f>+I.1!L29+I.1!L21</f>
        <v>128865.09515445257</v>
      </c>
      <c r="H50" s="131">
        <f>+I.1!J29+I.1!J21</f>
        <v>139548.29335256378</v>
      </c>
      <c r="I50" s="131">
        <f>[35]K!I50</f>
        <v>124455</v>
      </c>
      <c r="J50" s="131">
        <f>[35]K!J50</f>
        <v>113447</v>
      </c>
      <c r="K50" s="131">
        <f>[35]K!K50</f>
        <v>141526</v>
      </c>
      <c r="L50" s="131">
        <f>[35]K!L50</f>
        <v>166452</v>
      </c>
      <c r="M50" s="131">
        <f>[35]K!M50</f>
        <v>139358</v>
      </c>
      <c r="N50" s="131">
        <f>[35]K!N50</f>
        <v>112027</v>
      </c>
      <c r="O50" s="131">
        <f>[35]K!O50</f>
        <v>126219</v>
      </c>
      <c r="P50" s="131">
        <f>[35]K!P50</f>
        <v>136649</v>
      </c>
      <c r="Q50" s="131">
        <f>[35]K!Q50</f>
        <v>176587</v>
      </c>
      <c r="R50" s="131">
        <f>[35]K!R50</f>
        <v>224347.66394</v>
      </c>
      <c r="Z50" s="110"/>
      <c r="AA50" s="110"/>
    </row>
    <row r="51" spans="1:34">
      <c r="A51" s="849">
        <f t="shared" si="0"/>
        <v>37</v>
      </c>
      <c r="B51" s="88" t="s">
        <v>259</v>
      </c>
      <c r="G51" s="131"/>
      <c r="H51" s="131"/>
      <c r="I51" s="131">
        <f>[35]K!I51</f>
        <v>0</v>
      </c>
      <c r="J51" s="131">
        <f>[35]K!J51</f>
        <v>0</v>
      </c>
      <c r="K51" s="131">
        <f>[35]K!K51</f>
        <v>0</v>
      </c>
      <c r="L51" s="131">
        <f>[35]K!L51</f>
        <v>0</v>
      </c>
      <c r="M51" s="131">
        <f>[35]K!M51</f>
        <v>0</v>
      </c>
      <c r="N51" s="131">
        <f>[35]K!N51</f>
        <v>0</v>
      </c>
      <c r="O51" s="131">
        <f>[35]K!O51</f>
        <v>0</v>
      </c>
      <c r="P51" s="131">
        <f>[35]K!P51</f>
        <v>0</v>
      </c>
      <c r="Q51" s="131">
        <f>[35]K!Q51</f>
        <v>0</v>
      </c>
      <c r="R51" s="131">
        <f>[35]K!R51</f>
        <v>0</v>
      </c>
      <c r="X51" s="110"/>
      <c r="Z51" s="110"/>
      <c r="AA51" s="110"/>
      <c r="AC51" s="110"/>
      <c r="AD51" s="110"/>
      <c r="AE51" s="110"/>
      <c r="AF51" s="110"/>
      <c r="AG51" s="110"/>
      <c r="AH51" s="110"/>
    </row>
    <row r="52" spans="1:34">
      <c r="A52" s="849">
        <f t="shared" si="0"/>
        <v>38</v>
      </c>
      <c r="B52" s="88" t="s">
        <v>260</v>
      </c>
      <c r="G52" s="131"/>
      <c r="H52" s="131"/>
      <c r="I52" s="131">
        <f>[35]K!I52</f>
        <v>0</v>
      </c>
      <c r="J52" s="131">
        <f>[35]K!J52</f>
        <v>0</v>
      </c>
      <c r="K52" s="131">
        <f>[35]K!K52</f>
        <v>0</v>
      </c>
      <c r="L52" s="131">
        <f>[35]K!L52</f>
        <v>0</v>
      </c>
      <c r="M52" s="131">
        <f>[35]K!M52</f>
        <v>0</v>
      </c>
      <c r="N52" s="131">
        <f>[35]K!N52</f>
        <v>0</v>
      </c>
      <c r="O52" s="131">
        <f>[35]K!O52</f>
        <v>0</v>
      </c>
      <c r="P52" s="131">
        <f>[35]K!P52</f>
        <v>0</v>
      </c>
      <c r="Q52" s="131">
        <f>[35]K!Q52</f>
        <v>0</v>
      </c>
      <c r="R52" s="131">
        <f>[35]K!R52</f>
        <v>0</v>
      </c>
      <c r="Z52" s="110"/>
      <c r="AA52" s="110"/>
    </row>
    <row r="53" spans="1:34">
      <c r="A53" s="849">
        <f t="shared" si="0"/>
        <v>39</v>
      </c>
      <c r="B53" s="88" t="s">
        <v>261</v>
      </c>
      <c r="G53" s="108">
        <f>+I.1!L43</f>
        <v>8466.680586062017</v>
      </c>
      <c r="H53" s="108">
        <f>+I.1!J43</f>
        <v>7395.1974865350403</v>
      </c>
      <c r="I53" s="131">
        <f>[35]K!I53</f>
        <v>9697</v>
      </c>
      <c r="J53" s="131">
        <f>[35]K!J53</f>
        <v>9516</v>
      </c>
      <c r="K53" s="131">
        <f>[35]K!K53</f>
        <v>9884</v>
      </c>
      <c r="L53" s="131">
        <f>[35]K!L53</f>
        <v>9671</v>
      </c>
      <c r="M53" s="131">
        <f>[35]K!M53</f>
        <v>7060</v>
      </c>
      <c r="N53" s="131">
        <f>[35]K!N53</f>
        <v>8157</v>
      </c>
      <c r="O53" s="131">
        <f>[35]K!O53</f>
        <v>8094</v>
      </c>
      <c r="P53" s="131">
        <f>[35]K!P53</f>
        <v>5654</v>
      </c>
      <c r="Q53" s="131">
        <f>[35]K!Q53</f>
        <v>2889</v>
      </c>
      <c r="R53" s="131">
        <f>[35]K!R53</f>
        <v>6985</v>
      </c>
      <c r="X53" s="110"/>
      <c r="Z53" s="110"/>
      <c r="AA53" s="110"/>
      <c r="AC53" s="110"/>
      <c r="AD53" s="110"/>
      <c r="AE53" s="110"/>
      <c r="AF53" s="110"/>
      <c r="AG53" s="110"/>
      <c r="AH53" s="110"/>
    </row>
    <row r="54" spans="1:34">
      <c r="A54" s="849">
        <f t="shared" si="0"/>
        <v>40</v>
      </c>
      <c r="B54" s="88" t="s">
        <v>262</v>
      </c>
      <c r="G54" s="645">
        <v>0</v>
      </c>
      <c r="H54" s="645">
        <v>0</v>
      </c>
      <c r="I54" s="131">
        <f>[35]K!I54</f>
        <v>0</v>
      </c>
      <c r="J54" s="131">
        <f>[35]K!J54</f>
        <v>0</v>
      </c>
      <c r="K54" s="131">
        <f>[35]K!K54</f>
        <v>0</v>
      </c>
      <c r="L54" s="131">
        <f>[35]K!L54</f>
        <v>0</v>
      </c>
      <c r="M54" s="131">
        <f>[35]K!M54</f>
        <v>0</v>
      </c>
      <c r="N54" s="131">
        <f>[35]K!N54</f>
        <v>0</v>
      </c>
      <c r="O54" s="131">
        <f>[35]K!O54</f>
        <v>0</v>
      </c>
      <c r="P54" s="131">
        <f>[35]K!P54</f>
        <v>0</v>
      </c>
      <c r="Q54" s="131">
        <f>[35]K!Q54</f>
        <v>0</v>
      </c>
      <c r="R54" s="131">
        <f>[35]K!R54</f>
        <v>0</v>
      </c>
      <c r="Z54" s="110"/>
      <c r="AA54" s="110"/>
    </row>
    <row r="55" spans="1:34">
      <c r="A55" s="849">
        <f t="shared" si="0"/>
        <v>41</v>
      </c>
      <c r="B55" s="88" t="s">
        <v>794</v>
      </c>
      <c r="G55" s="108">
        <f t="shared" ref="G55:R55" si="6">G48-G50-G53-G54</f>
        <v>32386.090096441163</v>
      </c>
      <c r="H55" s="108">
        <f t="shared" si="6"/>
        <v>28219.293989959049</v>
      </c>
      <c r="I55" s="108">
        <f t="shared" si="6"/>
        <v>29950</v>
      </c>
      <c r="J55" s="108">
        <f t="shared" si="6"/>
        <v>24468</v>
      </c>
      <c r="K55" s="108">
        <f t="shared" si="6"/>
        <v>19058</v>
      </c>
      <c r="L55" s="108">
        <f t="shared" si="6"/>
        <v>20759</v>
      </c>
      <c r="M55" s="108">
        <f t="shared" si="6"/>
        <v>16550</v>
      </c>
      <c r="N55" s="108">
        <f t="shared" si="6"/>
        <v>14594</v>
      </c>
      <c r="O55" s="108">
        <f t="shared" si="6"/>
        <v>15349</v>
      </c>
      <c r="P55" s="108">
        <f t="shared" si="6"/>
        <v>14513</v>
      </c>
      <c r="Q55" s="108">
        <f t="shared" si="6"/>
        <v>10880</v>
      </c>
      <c r="R55" s="108">
        <f t="shared" si="6"/>
        <v>12975.811220000003</v>
      </c>
      <c r="Z55" s="110"/>
      <c r="AA55" s="110"/>
    </row>
    <row r="56" spans="1:34" ht="15.75">
      <c r="A56" s="849">
        <f t="shared" si="0"/>
        <v>42</v>
      </c>
      <c r="B56" s="88" t="s">
        <v>974</v>
      </c>
      <c r="G56" s="131">
        <v>0</v>
      </c>
      <c r="H56" s="131">
        <v>0</v>
      </c>
      <c r="I56" s="131">
        <f>[35]K!I56</f>
        <v>379</v>
      </c>
      <c r="J56" s="131">
        <f>[35]K!J56</f>
        <v>179</v>
      </c>
      <c r="K56" s="131">
        <f>[35]K!K56</f>
        <v>182</v>
      </c>
      <c r="L56" s="131">
        <f>[35]K!L56</f>
        <v>139</v>
      </c>
      <c r="M56" s="131">
        <f>[35]K!M56</f>
        <v>88</v>
      </c>
      <c r="N56" s="131">
        <f>[35]K!N56</f>
        <v>101</v>
      </c>
      <c r="O56" s="131">
        <f>[35]K!O56</f>
        <v>22</v>
      </c>
      <c r="P56" s="131">
        <f>[35]K!P56</f>
        <v>286</v>
      </c>
      <c r="Q56" s="131">
        <f>[35]K!Q56</f>
        <v>199</v>
      </c>
      <c r="R56" s="131">
        <f>[35]K!R56</f>
        <v>160</v>
      </c>
      <c r="S56" s="1012"/>
      <c r="Z56" s="110"/>
      <c r="AA56" s="110"/>
      <c r="AC56" s="110"/>
      <c r="AD56" s="110"/>
      <c r="AE56" s="110"/>
      <c r="AF56" s="110"/>
      <c r="AG56" s="110"/>
      <c r="AH56" s="110"/>
    </row>
    <row r="57" spans="1:34">
      <c r="A57" s="849">
        <f t="shared" si="0"/>
        <v>43</v>
      </c>
      <c r="B57" s="88" t="s">
        <v>1071</v>
      </c>
      <c r="G57" s="645">
        <f>+I.1!L38</f>
        <v>2513.8272199999992</v>
      </c>
      <c r="H57" s="645">
        <f>+I.1!J38</f>
        <v>2513.8272199999992</v>
      </c>
      <c r="I57" s="131">
        <f>[35]K!I57</f>
        <v>2514</v>
      </c>
      <c r="J57" s="131">
        <f>[35]K!J57</f>
        <v>2087</v>
      </c>
      <c r="K57" s="131">
        <f>[35]K!K57</f>
        <v>2063</v>
      </c>
      <c r="L57" s="131">
        <f>[35]K!L57</f>
        <v>2019</v>
      </c>
      <c r="M57" s="131">
        <f>[35]K!M57</f>
        <v>2033</v>
      </c>
      <c r="N57" s="131">
        <f>[35]K!N57</f>
        <v>2046</v>
      </c>
      <c r="O57" s="131">
        <f>[35]K!O57</f>
        <v>2657</v>
      </c>
      <c r="P57" s="131">
        <f>[35]K!P57</f>
        <v>1748</v>
      </c>
      <c r="Q57" s="131">
        <f>[35]K!Q57</f>
        <v>2278</v>
      </c>
      <c r="R57" s="131">
        <f>[35]K!R57</f>
        <v>2529</v>
      </c>
    </row>
    <row r="58" spans="1:34">
      <c r="A58" s="849">
        <f t="shared" si="0"/>
        <v>44</v>
      </c>
      <c r="B58" s="88" t="s">
        <v>1072</v>
      </c>
      <c r="G58" s="108">
        <f t="shared" ref="G58:R58" si="7">G55+G56+G57</f>
        <v>34899.917316441162</v>
      </c>
      <c r="H58" s="108">
        <f t="shared" si="7"/>
        <v>30733.121209959048</v>
      </c>
      <c r="I58" s="108">
        <f t="shared" si="7"/>
        <v>32843</v>
      </c>
      <c r="J58" s="108">
        <f t="shared" si="7"/>
        <v>26734</v>
      </c>
      <c r="K58" s="108">
        <f t="shared" si="7"/>
        <v>21303</v>
      </c>
      <c r="L58" s="108">
        <f t="shared" si="7"/>
        <v>22917</v>
      </c>
      <c r="M58" s="108">
        <f t="shared" si="7"/>
        <v>18671</v>
      </c>
      <c r="N58" s="108">
        <f>N55+N56+N57</f>
        <v>16741</v>
      </c>
      <c r="O58" s="108">
        <f t="shared" si="7"/>
        <v>18028</v>
      </c>
      <c r="P58" s="108">
        <f t="shared" si="7"/>
        <v>16547</v>
      </c>
      <c r="Q58" s="108">
        <f t="shared" si="7"/>
        <v>13357</v>
      </c>
      <c r="R58" s="108">
        <f t="shared" si="7"/>
        <v>15664.811220000003</v>
      </c>
    </row>
    <row r="59" spans="1:34">
      <c r="A59" s="849">
        <f t="shared" si="0"/>
        <v>45</v>
      </c>
      <c r="B59" s="88" t="s">
        <v>1073</v>
      </c>
      <c r="G59" s="645">
        <f>+I.1!L41</f>
        <v>9432.0063752004953</v>
      </c>
      <c r="H59" s="645">
        <f>+I.1!J41</f>
        <v>8488.2486101813101</v>
      </c>
      <c r="I59" s="1018">
        <f>[35]K!I59</f>
        <v>8388</v>
      </c>
      <c r="J59" s="1018">
        <f>[35]K!J59</f>
        <v>7556</v>
      </c>
      <c r="K59" s="1018">
        <f>[35]K!K59</f>
        <v>6926</v>
      </c>
      <c r="L59" s="1018">
        <f>[35]K!L59</f>
        <v>6559</v>
      </c>
      <c r="M59" s="1018">
        <f>[35]K!M59</f>
        <v>6524</v>
      </c>
      <c r="N59" s="1018">
        <f>[35]K!N59</f>
        <v>5612</v>
      </c>
      <c r="O59" s="1018">
        <f>[35]K!O59</f>
        <v>5792</v>
      </c>
      <c r="P59" s="1018">
        <f>[35]K!P59</f>
        <v>6270</v>
      </c>
      <c r="Q59" s="1018">
        <f>[35]K!Q59</f>
        <v>6633</v>
      </c>
      <c r="R59" s="1018">
        <f>[35]K!R59</f>
        <v>6138</v>
      </c>
    </row>
    <row r="60" spans="1:34">
      <c r="A60" s="849">
        <f t="shared" si="0"/>
        <v>46</v>
      </c>
      <c r="B60" s="88" t="s">
        <v>1074</v>
      </c>
      <c r="G60" s="108">
        <f t="shared" ref="G60:R60" si="8">G58-G59</f>
        <v>25467.910941240669</v>
      </c>
      <c r="H60" s="108">
        <f t="shared" si="8"/>
        <v>22244.872599777736</v>
      </c>
      <c r="I60" s="108">
        <f t="shared" si="8"/>
        <v>24455</v>
      </c>
      <c r="J60" s="108">
        <f t="shared" si="8"/>
        <v>19178</v>
      </c>
      <c r="K60" s="108">
        <f t="shared" si="8"/>
        <v>14377</v>
      </c>
      <c r="L60" s="108">
        <f t="shared" si="8"/>
        <v>16358</v>
      </c>
      <c r="M60" s="108">
        <f t="shared" si="8"/>
        <v>12147</v>
      </c>
      <c r="N60" s="108">
        <f t="shared" si="8"/>
        <v>11129</v>
      </c>
      <c r="O60" s="108">
        <f t="shared" si="8"/>
        <v>12236</v>
      </c>
      <c r="P60" s="108">
        <f t="shared" si="8"/>
        <v>10277</v>
      </c>
      <c r="Q60" s="108">
        <f t="shared" si="8"/>
        <v>6724</v>
      </c>
      <c r="R60" s="108">
        <f t="shared" si="8"/>
        <v>9526.8112200000032</v>
      </c>
    </row>
    <row r="61" spans="1:34">
      <c r="A61" s="849">
        <f t="shared" si="0"/>
        <v>47</v>
      </c>
      <c r="B61" s="88" t="s">
        <v>1075</v>
      </c>
      <c r="G61" s="1019" t="s">
        <v>339</v>
      </c>
      <c r="H61" s="1019" t="s">
        <v>339</v>
      </c>
      <c r="I61" s="1019" t="s">
        <v>339</v>
      </c>
      <c r="J61" s="1019" t="s">
        <v>339</v>
      </c>
      <c r="K61" s="1019" t="s">
        <v>339</v>
      </c>
      <c r="L61" s="1019" t="s">
        <v>339</v>
      </c>
      <c r="M61" s="1019" t="s">
        <v>339</v>
      </c>
      <c r="N61" s="1019" t="s">
        <v>339</v>
      </c>
      <c r="O61" s="1019" t="s">
        <v>339</v>
      </c>
      <c r="P61" s="1019" t="s">
        <v>339</v>
      </c>
      <c r="Q61" s="1019" t="s">
        <v>339</v>
      </c>
      <c r="R61" s="1019" t="s">
        <v>339</v>
      </c>
    </row>
    <row r="62" spans="1:34" ht="15.75">
      <c r="A62" s="849">
        <f t="shared" si="0"/>
        <v>48</v>
      </c>
      <c r="B62" s="88" t="s">
        <v>381</v>
      </c>
      <c r="G62" s="113">
        <f t="shared" ref="G62:R62" si="9">G60</f>
        <v>25467.910941240669</v>
      </c>
      <c r="H62" s="113">
        <f t="shared" si="9"/>
        <v>22244.872599777736</v>
      </c>
      <c r="I62" s="113">
        <f t="shared" si="9"/>
        <v>24455</v>
      </c>
      <c r="J62" s="113">
        <f t="shared" si="9"/>
        <v>19178</v>
      </c>
      <c r="K62" s="113">
        <f t="shared" si="9"/>
        <v>14377</v>
      </c>
      <c r="L62" s="113">
        <f t="shared" si="9"/>
        <v>16358</v>
      </c>
      <c r="M62" s="113">
        <f t="shared" si="9"/>
        <v>12147</v>
      </c>
      <c r="N62" s="113">
        <f t="shared" si="9"/>
        <v>11129</v>
      </c>
      <c r="O62" s="113">
        <f t="shared" si="9"/>
        <v>12236</v>
      </c>
      <c r="P62" s="113">
        <f t="shared" si="9"/>
        <v>10277</v>
      </c>
      <c r="Q62" s="113">
        <f t="shared" si="9"/>
        <v>6724</v>
      </c>
      <c r="R62" s="113">
        <f t="shared" si="9"/>
        <v>9526.8112200000032</v>
      </c>
      <c r="S62" s="1012"/>
    </row>
    <row r="63" spans="1:34">
      <c r="A63" s="849">
        <f t="shared" si="0"/>
        <v>49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34">
      <c r="A64" s="849">
        <f t="shared" si="0"/>
        <v>50</v>
      </c>
      <c r="B64" s="88" t="s">
        <v>726</v>
      </c>
      <c r="G64" s="577">
        <f t="shared" ref="G64:R64" si="10">ROUND(G56/G62,4)</f>
        <v>0</v>
      </c>
      <c r="H64" s="577">
        <f t="shared" si="10"/>
        <v>0</v>
      </c>
      <c r="I64" s="577">
        <f t="shared" ref="I64" si="11">ROUND(I56/I62,4)</f>
        <v>1.55E-2</v>
      </c>
      <c r="J64" s="577">
        <f t="shared" si="10"/>
        <v>9.2999999999999992E-3</v>
      </c>
      <c r="K64" s="577">
        <f t="shared" si="10"/>
        <v>1.2699999999999999E-2</v>
      </c>
      <c r="L64" s="577">
        <f t="shared" si="10"/>
        <v>8.5000000000000006E-3</v>
      </c>
      <c r="M64" s="577">
        <f t="shared" si="10"/>
        <v>7.1999999999999998E-3</v>
      </c>
      <c r="N64" s="577">
        <f t="shared" si="10"/>
        <v>9.1000000000000004E-3</v>
      </c>
      <c r="O64" s="577">
        <f t="shared" si="10"/>
        <v>1.8E-3</v>
      </c>
      <c r="P64" s="577">
        <f t="shared" si="10"/>
        <v>2.7799999999999998E-2</v>
      </c>
      <c r="Q64" s="577">
        <f t="shared" si="10"/>
        <v>2.9600000000000001E-2</v>
      </c>
      <c r="R64" s="577">
        <f t="shared" si="10"/>
        <v>1.6799999999999999E-2</v>
      </c>
    </row>
    <row r="65" spans="1:19">
      <c r="A65" s="849">
        <f t="shared" si="0"/>
        <v>51</v>
      </c>
      <c r="B65" s="88" t="s">
        <v>727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9">
      <c r="A66" s="849">
        <f t="shared" si="0"/>
        <v>52</v>
      </c>
      <c r="B66" s="88" t="s">
        <v>728</v>
      </c>
      <c r="G66" s="577">
        <f t="shared" ref="G66:R66" si="12">ROUND(G56/G62,4)</f>
        <v>0</v>
      </c>
      <c r="H66" s="577">
        <f t="shared" si="12"/>
        <v>0</v>
      </c>
      <c r="I66" s="577">
        <f>ROUND(I56/I62,4)</f>
        <v>1.55E-2</v>
      </c>
      <c r="J66" s="577">
        <f>ROUND(J56/J62,4)</f>
        <v>9.2999999999999992E-3</v>
      </c>
      <c r="K66" s="577">
        <f t="shared" si="12"/>
        <v>1.2699999999999999E-2</v>
      </c>
      <c r="L66" s="577">
        <f t="shared" si="12"/>
        <v>8.5000000000000006E-3</v>
      </c>
      <c r="M66" s="577">
        <f t="shared" si="12"/>
        <v>7.1999999999999998E-3</v>
      </c>
      <c r="N66" s="577">
        <f t="shared" si="12"/>
        <v>9.1000000000000004E-3</v>
      </c>
      <c r="O66" s="577">
        <f t="shared" si="12"/>
        <v>1.8E-3</v>
      </c>
      <c r="P66" s="577">
        <f t="shared" si="12"/>
        <v>2.7799999999999998E-2</v>
      </c>
      <c r="Q66" s="577">
        <f t="shared" si="12"/>
        <v>2.9600000000000001E-2</v>
      </c>
      <c r="R66" s="577">
        <f t="shared" si="12"/>
        <v>1.6799999999999999E-2</v>
      </c>
    </row>
    <row r="67" spans="1:19">
      <c r="A67" s="849">
        <f t="shared" si="0"/>
        <v>53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9">
      <c r="A68" s="849">
        <f t="shared" si="0"/>
        <v>54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9">
      <c r="A69" s="849">
        <f t="shared" si="0"/>
        <v>55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9">
      <c r="A70" s="849">
        <f t="shared" si="0"/>
        <v>56</v>
      </c>
      <c r="B70" s="620" t="s">
        <v>729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9">
      <c r="A71" s="849">
        <f t="shared" si="0"/>
        <v>57</v>
      </c>
      <c r="B71" s="88" t="s">
        <v>730</v>
      </c>
      <c r="C71" s="988"/>
      <c r="G71" s="577">
        <f>+'J-1 F'!K20</f>
        <v>2.4E-2</v>
      </c>
      <c r="H71" s="577">
        <f>+'J-1 Base'!K19</f>
        <v>2.4009451468612653E-2</v>
      </c>
      <c r="I71" s="577">
        <f>[35]K!I71</f>
        <v>1.6799999999999999E-2</v>
      </c>
      <c r="J71" s="577">
        <f>[35]K!J71</f>
        <v>1.12E-2</v>
      </c>
      <c r="K71" s="577">
        <f>[35]K!K71</f>
        <v>1.09E-2</v>
      </c>
      <c r="L71" s="577">
        <f>[35]K!L71</f>
        <v>1.49E-2</v>
      </c>
      <c r="M71" s="577">
        <f>[35]K!M71</f>
        <v>1.17E-2</v>
      </c>
      <c r="N71" s="577">
        <f>[35]K!N71</f>
        <v>1.2200000000000001E-2</v>
      </c>
      <c r="O71" s="577">
        <f>[35]K!O71</f>
        <v>1.03E-2</v>
      </c>
      <c r="P71" s="577">
        <f>[35]K!P71</f>
        <v>3.2300000000000002E-2</v>
      </c>
      <c r="Q71" s="577">
        <f>[35]K!Q71</f>
        <v>6.8000000000000005E-2</v>
      </c>
      <c r="R71" s="577">
        <f>[35]K!R71</f>
        <v>4.3999999999999997E-2</v>
      </c>
    </row>
    <row r="72" spans="1:19">
      <c r="A72" s="849">
        <f t="shared" si="0"/>
        <v>58</v>
      </c>
      <c r="B72" s="88" t="s">
        <v>731</v>
      </c>
      <c r="F72" s="73"/>
      <c r="G72" s="577">
        <f>+'J-1 F'!K22</f>
        <v>4.7199999999999999E-2</v>
      </c>
      <c r="H72" s="577">
        <f>+'J-1 Base'!K21</f>
        <v>5.2157448386390269E-2</v>
      </c>
      <c r="I72" s="577">
        <f>[35]K!I72</f>
        <v>5.45E-2</v>
      </c>
      <c r="J72" s="577">
        <f>[35]K!J72</f>
        <v>5.8900000000000001E-2</v>
      </c>
      <c r="K72" s="577">
        <f>[35]K!K72</f>
        <v>5.8999999999999997E-2</v>
      </c>
      <c r="L72" s="577">
        <f>[35]K!L72</f>
        <v>6.0299999999999999E-2</v>
      </c>
      <c r="M72" s="577">
        <f>[35]K!M72</f>
        <v>6.2600000000000003E-2</v>
      </c>
      <c r="N72" s="577">
        <f>[35]K!N72</f>
        <v>6.5100000000000005E-2</v>
      </c>
      <c r="O72" s="577">
        <f>[35]K!O72</f>
        <v>6.7500000000000004E-2</v>
      </c>
      <c r="P72" s="577">
        <f>[35]K!P72</f>
        <v>6.88E-2</v>
      </c>
      <c r="Q72" s="577">
        <f>[35]K!Q72</f>
        <v>6.9000000000000006E-2</v>
      </c>
      <c r="R72" s="577">
        <f>[35]K!R72</f>
        <v>6.0999999999999999E-2</v>
      </c>
    </row>
    <row r="73" spans="1:19">
      <c r="A73" s="849">
        <f t="shared" si="0"/>
        <v>59</v>
      </c>
      <c r="B73" s="88" t="s">
        <v>976</v>
      </c>
      <c r="F73" s="73"/>
      <c r="G73" s="685" t="s">
        <v>339</v>
      </c>
      <c r="H73" s="685" t="s">
        <v>339</v>
      </c>
      <c r="I73" s="685" t="s">
        <v>339</v>
      </c>
      <c r="J73" s="685" t="s">
        <v>339</v>
      </c>
      <c r="K73" s="685" t="s">
        <v>339</v>
      </c>
      <c r="L73" s="685" t="s">
        <v>339</v>
      </c>
      <c r="M73" s="685" t="s">
        <v>339</v>
      </c>
      <c r="N73" s="685" t="s">
        <v>339</v>
      </c>
      <c r="O73" s="685" t="s">
        <v>339</v>
      </c>
      <c r="P73" s="685" t="s">
        <v>339</v>
      </c>
      <c r="Q73" s="685" t="s">
        <v>339</v>
      </c>
      <c r="R73" s="685" t="s">
        <v>339</v>
      </c>
    </row>
    <row r="74" spans="1:19">
      <c r="A74" s="849">
        <f t="shared" si="0"/>
        <v>60</v>
      </c>
      <c r="F74" s="7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9">
      <c r="A75" s="849">
        <f t="shared" si="0"/>
        <v>61</v>
      </c>
      <c r="B75" s="620" t="s">
        <v>984</v>
      </c>
      <c r="F75" s="7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9" ht="15.75">
      <c r="A76" s="849">
        <f t="shared" si="0"/>
        <v>62</v>
      </c>
      <c r="B76" s="88" t="s">
        <v>809</v>
      </c>
      <c r="C76" s="988"/>
      <c r="D76" s="988"/>
      <c r="F76" s="73"/>
      <c r="G76" s="686">
        <f>(+G53+G58)/G59</f>
        <v>4.5978126156197954</v>
      </c>
      <c r="H76" s="686">
        <f>(+H53+H58)/H59</f>
        <v>4.4918946707994296</v>
      </c>
      <c r="I76" s="686">
        <f>[35]K!I76</f>
        <v>6.03</v>
      </c>
      <c r="J76" s="686">
        <f>[35]K!J76</f>
        <v>5.72</v>
      </c>
      <c r="K76" s="686">
        <f>[35]K!K76</f>
        <v>5.26</v>
      </c>
      <c r="L76" s="686">
        <f>[35]K!L76</f>
        <v>4.6900000000000004</v>
      </c>
      <c r="M76" s="686">
        <f>[35]K!M76</f>
        <v>3.91</v>
      </c>
      <c r="N76" s="686">
        <f>[35]K!N76</f>
        <v>3.0571918341904318</v>
      </c>
      <c r="O76" s="686">
        <f>[35]K!O76</f>
        <v>2.9660460457804634</v>
      </c>
      <c r="P76" s="686">
        <f>[35]K!P76</f>
        <v>3.0043972293563703</v>
      </c>
      <c r="Q76" s="686">
        <f>[35]K!Q76</f>
        <v>2.8387360945505051</v>
      </c>
      <c r="R76" s="686">
        <f>[35]K!R76</f>
        <v>3.06</v>
      </c>
      <c r="S76" s="1012"/>
    </row>
    <row r="77" spans="1:19">
      <c r="A77" s="849">
        <f t="shared" si="0"/>
        <v>63</v>
      </c>
      <c r="B77" s="88" t="s">
        <v>810</v>
      </c>
      <c r="F77" s="73"/>
      <c r="G77" s="686">
        <f>(+G53+G58-G56)/G59</f>
        <v>4.5978126156197954</v>
      </c>
      <c r="H77" s="686">
        <f>(+H53+H58-H56)/H59</f>
        <v>4.4918946707994296</v>
      </c>
      <c r="I77" s="686">
        <f>[35]K!I77</f>
        <v>6.06</v>
      </c>
      <c r="J77" s="686">
        <f>[35]K!J77</f>
        <v>5.74</v>
      </c>
      <c r="K77" s="686">
        <f>[35]K!K77</f>
        <v>5.28</v>
      </c>
      <c r="L77" s="686">
        <f>[35]K!L77</f>
        <v>4.7</v>
      </c>
      <c r="M77" s="686">
        <f>[35]K!M77</f>
        <v>3.92</v>
      </c>
      <c r="N77" s="686">
        <f>[35]K!N77</f>
        <v>3.0409960261804581</v>
      </c>
      <c r="O77" s="686">
        <f>[35]K!O77</f>
        <v>2.9527909831987955</v>
      </c>
      <c r="P77" s="686">
        <f>[35]K!P77</f>
        <v>2.9852512711754482</v>
      </c>
      <c r="Q77" s="686">
        <f>[35]K!Q77</f>
        <v>2.8022744139729294</v>
      </c>
      <c r="R77" s="686">
        <f>[35]K!R77</f>
        <v>3.12</v>
      </c>
    </row>
    <row r="78" spans="1:19">
      <c r="A78" s="849">
        <f t="shared" si="0"/>
        <v>64</v>
      </c>
      <c r="B78" s="88" t="s">
        <v>1104</v>
      </c>
      <c r="F78" s="73"/>
      <c r="G78" s="686">
        <f>G58/G59</f>
        <v>3.7001583680226573</v>
      </c>
      <c r="H78" s="686">
        <f>H58/H59</f>
        <v>3.6206669504349716</v>
      </c>
      <c r="I78" s="686">
        <f>[35]K!I78</f>
        <v>4.18</v>
      </c>
      <c r="J78" s="686">
        <f>[35]K!J78</f>
        <v>4.01</v>
      </c>
      <c r="K78" s="686">
        <f>[35]K!K78</f>
        <v>3.63</v>
      </c>
      <c r="L78" s="686">
        <f>[35]K!L78</f>
        <v>3.24</v>
      </c>
      <c r="M78" s="686">
        <f>[35]K!M78</f>
        <v>2.89</v>
      </c>
      <c r="N78" s="686">
        <f>[35]K!N78</f>
        <v>2.3614121580460989</v>
      </c>
      <c r="O78" s="686">
        <f>[35]K!O78</f>
        <v>2.2575233976506173</v>
      </c>
      <c r="P78" s="686">
        <f>[35]K!P78</f>
        <v>2.2312955612628738</v>
      </c>
      <c r="Q78" s="686">
        <f>[35]K!Q78</f>
        <v>2.200873963233271</v>
      </c>
      <c r="R78" s="686">
        <f>[35]K!R78</f>
        <v>2.2599999999999998</v>
      </c>
    </row>
    <row r="79" spans="1:19">
      <c r="A79" s="849">
        <f t="shared" si="0"/>
        <v>65</v>
      </c>
      <c r="B79" s="88" t="s">
        <v>1105</v>
      </c>
      <c r="F79" s="73"/>
      <c r="G79" s="686">
        <f>(+G53+G58+((1/3)*'C.2.1 F'!D114/1000))/(G59+((1/3)*'C.2.1 F'!D114/1000))</f>
        <v>4.5514034272829162</v>
      </c>
      <c r="H79" s="686">
        <f>(+H53+H58+((1/3)*'C.2.1 B'!D119/1000))/(H59+((1/3)*'C.2.1 B'!D119/1000))</f>
        <v>4.4321097130855387</v>
      </c>
      <c r="I79" s="686">
        <f>[35]K!I79</f>
        <v>5.45</v>
      </c>
      <c r="J79" s="686">
        <f>[35]K!J79</f>
        <v>5.16</v>
      </c>
      <c r="K79" s="686">
        <f>[35]K!K79</f>
        <v>4.7699999999999996</v>
      </c>
      <c r="L79" s="686">
        <f>[35]K!L79</f>
        <v>4.1100000000000003</v>
      </c>
      <c r="M79" s="686">
        <f>[35]K!M79</f>
        <v>3.63</v>
      </c>
      <c r="N79" s="686">
        <f>[35]K!N79</f>
        <v>2.84</v>
      </c>
      <c r="O79" s="686">
        <f>[35]K!O79</f>
        <v>2.78</v>
      </c>
      <c r="P79" s="686">
        <f>[35]K!P79</f>
        <v>2.78</v>
      </c>
      <c r="Q79" s="686">
        <f>[35]K!Q79</f>
        <v>2.5499999999999998</v>
      </c>
      <c r="R79" s="686">
        <f>[35]K!R79</f>
        <v>2.76</v>
      </c>
    </row>
    <row r="80" spans="1:19">
      <c r="A80" s="849">
        <f t="shared" si="0"/>
        <v>66</v>
      </c>
      <c r="B80" s="88" t="s">
        <v>1106</v>
      </c>
      <c r="F80" s="73"/>
      <c r="G80" s="686">
        <f>(G58-G56)/G59</f>
        <v>3.7001583680226573</v>
      </c>
      <c r="H80" s="686">
        <f>(H58-H56)/H59</f>
        <v>3.6206669504349716</v>
      </c>
      <c r="I80" s="686">
        <f>[35]K!I80</f>
        <v>4.21</v>
      </c>
      <c r="J80" s="686">
        <f>[35]K!J80</f>
        <v>4.03</v>
      </c>
      <c r="K80" s="686">
        <f>[35]K!K80</f>
        <v>3.65</v>
      </c>
      <c r="L80" s="686">
        <f>[35]K!L80</f>
        <v>3.25</v>
      </c>
      <c r="M80" s="686">
        <f>[35]K!M80</f>
        <v>2.91</v>
      </c>
      <c r="N80" s="686">
        <f>[35]K!N80</f>
        <v>2.3452163500361256</v>
      </c>
      <c r="O80" s="686">
        <f>[35]K!O80</f>
        <v>2.244268335068949</v>
      </c>
      <c r="P80" s="686">
        <f>[35]K!P80</f>
        <v>2.2121496030819521</v>
      </c>
      <c r="Q80" s="686">
        <f>[35]K!Q80</f>
        <v>2.1644122826556949</v>
      </c>
      <c r="R80" s="686">
        <f>[35]K!R80</f>
        <v>2.31</v>
      </c>
    </row>
    <row r="81" spans="1:19">
      <c r="A81" s="849">
        <f t="shared" ref="A81:A132" si="13">A80+1</f>
        <v>67</v>
      </c>
      <c r="B81" s="88" t="s">
        <v>1107</v>
      </c>
      <c r="F81" s="73"/>
      <c r="G81" s="685" t="s">
        <v>339</v>
      </c>
      <c r="H81" s="685" t="s">
        <v>339</v>
      </c>
      <c r="I81" s="686" t="s">
        <v>339</v>
      </c>
      <c r="J81" s="686" t="s">
        <v>339</v>
      </c>
      <c r="K81" s="686" t="s">
        <v>339</v>
      </c>
      <c r="L81" s="686" t="s">
        <v>339</v>
      </c>
      <c r="M81" s="686" t="s">
        <v>339</v>
      </c>
      <c r="N81" s="686" t="s">
        <v>339</v>
      </c>
      <c r="O81" s="686" t="s">
        <v>339</v>
      </c>
      <c r="P81" s="686" t="s">
        <v>339</v>
      </c>
      <c r="Q81" s="686" t="s">
        <v>339</v>
      </c>
      <c r="R81" s="686" t="s">
        <v>339</v>
      </c>
    </row>
    <row r="82" spans="1:19">
      <c r="A82" s="849">
        <f t="shared" si="13"/>
        <v>68</v>
      </c>
      <c r="B82" s="88" t="s">
        <v>1108</v>
      </c>
      <c r="G82" s="686">
        <f>(+G53+G58)/(G59*(1-0.21))</f>
        <v>5.8200159691389821</v>
      </c>
      <c r="H82" s="686">
        <f>(+H53+H58)/(H59*(1-0.35))</f>
        <v>6.9106071858452749</v>
      </c>
      <c r="I82" s="686">
        <f>[35]K!I82</f>
        <v>3.81</v>
      </c>
      <c r="J82" s="686">
        <f>[35]K!J82</f>
        <v>3.64</v>
      </c>
      <c r="K82" s="686">
        <f>[35]K!K82</f>
        <v>3.32</v>
      </c>
      <c r="L82" s="686">
        <f>[35]K!L82</f>
        <v>3.02</v>
      </c>
      <c r="M82" s="686">
        <f>[35]K!M82</f>
        <v>2.7</v>
      </c>
      <c r="N82" s="686">
        <f>[35]K!N82</f>
        <v>2.2116799519301451</v>
      </c>
      <c r="O82" s="686">
        <f>[35]K!O82</f>
        <v>2.1340881930445068</v>
      </c>
      <c r="P82" s="686">
        <f>[35]K!P82</f>
        <v>2.0837815317021438</v>
      </c>
      <c r="Q82" s="686">
        <f>[35]K!Q82</f>
        <v>2.1800332256334456</v>
      </c>
      <c r="R82" s="686">
        <f>[35]K!R82</f>
        <v>2.15</v>
      </c>
    </row>
    <row r="83" spans="1:19">
      <c r="A83" s="849">
        <f t="shared" si="13"/>
        <v>69</v>
      </c>
      <c r="F83" s="112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9">
      <c r="A84" s="849">
        <f t="shared" si="13"/>
        <v>70</v>
      </c>
      <c r="B84" s="620" t="s">
        <v>1109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9" ht="15.75">
      <c r="A85" s="849">
        <f t="shared" si="13"/>
        <v>71</v>
      </c>
      <c r="B85" s="88" t="s">
        <v>744</v>
      </c>
      <c r="C85" s="988"/>
      <c r="D85" s="988"/>
      <c r="G85" s="685" t="s">
        <v>339</v>
      </c>
      <c r="H85" s="685" t="str">
        <f>I85</f>
        <v>A2</v>
      </c>
      <c r="I85" s="685" t="str">
        <f>[35]K!I85</f>
        <v>A2</v>
      </c>
      <c r="J85" s="685" t="str">
        <f>[35]K!J85</f>
        <v>A2</v>
      </c>
      <c r="K85" s="685" t="str">
        <f>[35]K!K85</f>
        <v>A2</v>
      </c>
      <c r="L85" s="685" t="str">
        <f>[35]K!L85</f>
        <v>A2</v>
      </c>
      <c r="M85" s="685" t="str">
        <f>[35]K!M85</f>
        <v>Baa1</v>
      </c>
      <c r="N85" s="685" t="str">
        <f>[35]K!N85</f>
        <v>Baa1</v>
      </c>
      <c r="O85" s="685" t="str">
        <f>[35]K!O85</f>
        <v>Baa1</v>
      </c>
      <c r="P85" s="685" t="str">
        <f>[35]K!P85</f>
        <v>Baa2</v>
      </c>
      <c r="Q85" s="685" t="str">
        <f>[35]K!Q85</f>
        <v>Baa2</v>
      </c>
      <c r="R85" s="685" t="str">
        <f>[35]K!R85</f>
        <v>Baa3</v>
      </c>
      <c r="S85" s="1012"/>
    </row>
    <row r="86" spans="1:19" ht="15.75">
      <c r="A86" s="849">
        <f t="shared" si="13"/>
        <v>72</v>
      </c>
      <c r="B86" s="88" t="s">
        <v>745</v>
      </c>
      <c r="F86" s="73"/>
      <c r="G86" s="685" t="s">
        <v>339</v>
      </c>
      <c r="H86" s="685" t="str">
        <f>I86</f>
        <v>A</v>
      </c>
      <c r="I86" s="685" t="str">
        <f>[35]K!I86</f>
        <v>A</v>
      </c>
      <c r="J86" s="685" t="str">
        <f>[35]K!J86</f>
        <v>A</v>
      </c>
      <c r="K86" s="685" t="str">
        <f>[35]K!K86</f>
        <v>A-</v>
      </c>
      <c r="L86" s="685" t="str">
        <f>[35]K!L86</f>
        <v>A-</v>
      </c>
      <c r="M86" s="685" t="str">
        <f>[35]K!M86</f>
        <v>A-</v>
      </c>
      <c r="N86" s="685" t="str">
        <f>[35]K!N86</f>
        <v>BBB+</v>
      </c>
      <c r="O86" s="685" t="str">
        <f>[35]K!O86</f>
        <v>BBB+</v>
      </c>
      <c r="P86" s="685" t="str">
        <f>[35]K!P86</f>
        <v>BBB+</v>
      </c>
      <c r="Q86" s="685" t="str">
        <f>[35]K!Q86</f>
        <v>BBB+</v>
      </c>
      <c r="R86" s="685" t="str">
        <f>[35]K!R86</f>
        <v>BBB</v>
      </c>
      <c r="S86" s="1012"/>
    </row>
    <row r="87" spans="1:19">
      <c r="A87" s="849">
        <f t="shared" si="13"/>
        <v>73</v>
      </c>
      <c r="B87" s="88" t="s">
        <v>576</v>
      </c>
      <c r="G87" s="685" t="s">
        <v>339</v>
      </c>
      <c r="H87" s="685" t="s">
        <v>339</v>
      </c>
      <c r="I87" s="685" t="s">
        <v>339</v>
      </c>
      <c r="J87" s="685" t="s">
        <v>339</v>
      </c>
      <c r="K87" s="685" t="s">
        <v>339</v>
      </c>
      <c r="L87" s="685" t="s">
        <v>339</v>
      </c>
      <c r="M87" s="685" t="s">
        <v>339</v>
      </c>
      <c r="N87" s="685" t="s">
        <v>339</v>
      </c>
      <c r="O87" s="685" t="s">
        <v>339</v>
      </c>
      <c r="P87" s="685" t="s">
        <v>339</v>
      </c>
      <c r="Q87" s="685" t="s">
        <v>339</v>
      </c>
      <c r="R87" s="685" t="s">
        <v>339</v>
      </c>
    </row>
    <row r="88" spans="1:19">
      <c r="A88" s="849">
        <f t="shared" si="13"/>
        <v>74</v>
      </c>
      <c r="B88" s="88" t="s">
        <v>577</v>
      </c>
      <c r="G88" s="685" t="s">
        <v>339</v>
      </c>
      <c r="H88" s="685" t="s">
        <v>339</v>
      </c>
      <c r="I88" s="685" t="s">
        <v>339</v>
      </c>
      <c r="J88" s="685" t="s">
        <v>339</v>
      </c>
      <c r="K88" s="685" t="s">
        <v>339</v>
      </c>
      <c r="L88" s="685" t="s">
        <v>339</v>
      </c>
      <c r="M88" s="685" t="s">
        <v>339</v>
      </c>
      <c r="N88" s="685" t="s">
        <v>339</v>
      </c>
      <c r="O88" s="685" t="s">
        <v>339</v>
      </c>
      <c r="P88" s="685" t="s">
        <v>339</v>
      </c>
      <c r="Q88" s="685" t="s">
        <v>339</v>
      </c>
      <c r="R88" s="685" t="s">
        <v>339</v>
      </c>
    </row>
    <row r="89" spans="1:19">
      <c r="A89" s="849">
        <f t="shared" si="13"/>
        <v>75</v>
      </c>
      <c r="G89" s="685" t="s">
        <v>323</v>
      </c>
      <c r="H89" s="685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9">
      <c r="A90" s="849">
        <f t="shared" si="13"/>
        <v>76</v>
      </c>
      <c r="B90" s="620" t="s">
        <v>578</v>
      </c>
      <c r="G90" s="685"/>
      <c r="H90" s="685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9" ht="15.75">
      <c r="A91" s="849">
        <f t="shared" si="13"/>
        <v>77</v>
      </c>
      <c r="B91" s="88" t="s">
        <v>579</v>
      </c>
      <c r="C91" s="988"/>
      <c r="D91" s="988"/>
      <c r="E91" s="988"/>
      <c r="G91" s="685" t="s">
        <v>339</v>
      </c>
      <c r="H91" s="685" t="s">
        <v>339</v>
      </c>
      <c r="I91" s="108">
        <f>[35]K!I91</f>
        <v>106105</v>
      </c>
      <c r="J91" s="108">
        <f>[35]K!J91</f>
        <v>103931</v>
      </c>
      <c r="K91" s="108">
        <f>[35]K!K91</f>
        <v>101479</v>
      </c>
      <c r="L91" s="108">
        <f>[35]K!L91</f>
        <v>100388</v>
      </c>
      <c r="M91" s="108">
        <f>[35]K!M91</f>
        <v>90640</v>
      </c>
      <c r="N91" s="108">
        <f>[35]K!N91</f>
        <v>90240</v>
      </c>
      <c r="O91" s="108">
        <f>[35]K!O91</f>
        <v>90296</v>
      </c>
      <c r="P91" s="108">
        <f>[35]K!P91</f>
        <v>90164</v>
      </c>
      <c r="Q91" s="108">
        <f>[35]K!Q91</f>
        <v>92552</v>
      </c>
      <c r="R91" s="108">
        <f>[35]K!R91</f>
        <v>90814</v>
      </c>
      <c r="S91" s="1012"/>
    </row>
    <row r="92" spans="1:19">
      <c r="A92" s="849">
        <f t="shared" si="13"/>
        <v>78</v>
      </c>
      <c r="B92" s="88" t="s">
        <v>859</v>
      </c>
      <c r="G92" s="685" t="s">
        <v>339</v>
      </c>
      <c r="H92" s="685" t="s">
        <v>339</v>
      </c>
      <c r="I92" s="108">
        <f>[35]K!I92</f>
        <v>0</v>
      </c>
      <c r="J92" s="108">
        <f>[35]K!J92</f>
        <v>0</v>
      </c>
      <c r="K92" s="108">
        <f>[35]K!K92</f>
        <v>0</v>
      </c>
      <c r="L92" s="108">
        <f>[35]K!L92</f>
        <v>0</v>
      </c>
      <c r="M92" s="108">
        <f>[35]K!M92</f>
        <v>0</v>
      </c>
      <c r="N92" s="108">
        <f>[35]K!N92</f>
        <v>0</v>
      </c>
      <c r="O92" s="108">
        <f>[35]K!O92</f>
        <v>0</v>
      </c>
      <c r="P92" s="108">
        <f>[35]K!P92</f>
        <v>0</v>
      </c>
      <c r="Q92" s="108">
        <f>[35]K!Q92</f>
        <v>0</v>
      </c>
      <c r="R92" s="108">
        <f>[35]K!R92</f>
        <v>0</v>
      </c>
    </row>
    <row r="93" spans="1:19" ht="15.75">
      <c r="A93" s="849">
        <f t="shared" si="13"/>
        <v>79</v>
      </c>
      <c r="B93" s="88" t="s">
        <v>631</v>
      </c>
      <c r="G93" s="685" t="s">
        <v>339</v>
      </c>
      <c r="H93" s="685" t="s">
        <v>339</v>
      </c>
      <c r="I93" s="108">
        <f>[35]K!I93</f>
        <v>106100</v>
      </c>
      <c r="J93" s="108">
        <f>[35]K!J93</f>
        <v>103524</v>
      </c>
      <c r="K93" s="108">
        <f>[35]K!K93</f>
        <v>101892</v>
      </c>
      <c r="L93" s="108">
        <f>[35]K!L93</f>
        <v>97608</v>
      </c>
      <c r="M93" s="108">
        <f>[35]K!M93</f>
        <v>91711</v>
      </c>
      <c r="N93" s="108">
        <f>[35]K!N93</f>
        <v>91172</v>
      </c>
      <c r="O93" s="108">
        <f>[35]K!O93</f>
        <v>90652</v>
      </c>
      <c r="P93" s="108">
        <f>[35]K!P93</f>
        <v>92422</v>
      </c>
      <c r="Q93" s="108">
        <f>[35]K!Q93</f>
        <v>91620</v>
      </c>
      <c r="R93" s="108">
        <f>[35]K!R93</f>
        <v>89941</v>
      </c>
      <c r="S93" s="1012"/>
    </row>
    <row r="94" spans="1:19">
      <c r="A94" s="849">
        <f t="shared" si="13"/>
        <v>80</v>
      </c>
      <c r="B94" s="88" t="s">
        <v>1030</v>
      </c>
      <c r="G94" s="685" t="s">
        <v>339</v>
      </c>
      <c r="H94" s="685" t="s">
        <v>339</v>
      </c>
      <c r="I94" s="686">
        <f>[35]K!I94</f>
        <v>3.73</v>
      </c>
      <c r="J94" s="686">
        <f>[35]K!J94</f>
        <v>3.38</v>
      </c>
      <c r="K94" s="686">
        <f>[35]K!K94</f>
        <v>3.09</v>
      </c>
      <c r="L94" s="686">
        <f>[35]K!L94</f>
        <v>2.96</v>
      </c>
      <c r="M94" s="686">
        <f>[35]K!M94</f>
        <v>2.64</v>
      </c>
      <c r="N94" s="686">
        <f>[35]K!N94</f>
        <v>2.37</v>
      </c>
      <c r="O94" s="686">
        <f>[35]K!O94</f>
        <v>2.27</v>
      </c>
      <c r="P94" s="686">
        <f>[35]K!P94</f>
        <v>2.2000000000000002</v>
      </c>
      <c r="Q94" s="686">
        <f>[35]K!Q94</f>
        <v>2.0699999999999998</v>
      </c>
      <c r="R94" s="686">
        <f>[35]K!R94</f>
        <v>1.99</v>
      </c>
    </row>
    <row r="95" spans="1:19">
      <c r="A95" s="849">
        <f t="shared" si="13"/>
        <v>81</v>
      </c>
      <c r="B95" s="88" t="s">
        <v>1031</v>
      </c>
      <c r="G95" s="685" t="s">
        <v>339</v>
      </c>
      <c r="H95" s="685" t="s">
        <v>339</v>
      </c>
      <c r="I95" s="686">
        <f>[35]K!I95</f>
        <v>1.8</v>
      </c>
      <c r="J95" s="686">
        <f>[35]K!J95</f>
        <v>1.68</v>
      </c>
      <c r="K95" s="686">
        <f>[35]K!K95</f>
        <v>1.56</v>
      </c>
      <c r="L95" s="686">
        <f>[35]K!L95</f>
        <v>1.48</v>
      </c>
      <c r="M95" s="686">
        <f>[35]K!M95</f>
        <v>1.4</v>
      </c>
      <c r="N95" s="686">
        <f>[35]K!N95</f>
        <v>1.38</v>
      </c>
      <c r="O95" s="686">
        <f>[35]K!O95</f>
        <v>1.36</v>
      </c>
      <c r="P95" s="686">
        <f>[35]K!P95</f>
        <v>1.34</v>
      </c>
      <c r="Q95" s="686">
        <f>[35]K!Q95</f>
        <v>1.32</v>
      </c>
      <c r="R95" s="686">
        <f>[35]K!R95</f>
        <v>1.3</v>
      </c>
    </row>
    <row r="96" spans="1:19" ht="15.75">
      <c r="A96" s="849">
        <f t="shared" si="13"/>
        <v>82</v>
      </c>
      <c r="B96" s="88" t="s">
        <v>843</v>
      </c>
      <c r="G96" s="685" t="s">
        <v>339</v>
      </c>
      <c r="H96" s="685" t="s">
        <v>339</v>
      </c>
      <c r="I96" s="686">
        <f>[35]K!I96</f>
        <v>1.8</v>
      </c>
      <c r="J96" s="686">
        <f>[35]K!J96</f>
        <v>1.68</v>
      </c>
      <c r="K96" s="686">
        <f>[35]K!K96</f>
        <v>1.56</v>
      </c>
      <c r="L96" s="686">
        <f>[35]K!L96</f>
        <v>1.48</v>
      </c>
      <c r="M96" s="686">
        <f>[35]K!M96</f>
        <v>1.4</v>
      </c>
      <c r="N96" s="686">
        <f>[35]K!N96</f>
        <v>1.38</v>
      </c>
      <c r="O96" s="686">
        <f>[35]K!O96</f>
        <v>1.36</v>
      </c>
      <c r="P96" s="686">
        <f>[35]K!P96</f>
        <v>1.34</v>
      </c>
      <c r="Q96" s="686">
        <f>[35]K!Q96</f>
        <v>1.32</v>
      </c>
      <c r="R96" s="686">
        <f>[35]K!R96</f>
        <v>1.3</v>
      </c>
      <c r="S96" s="1012"/>
    </row>
    <row r="97" spans="1:19">
      <c r="A97" s="849">
        <f t="shared" si="13"/>
        <v>83</v>
      </c>
      <c r="B97" s="88" t="s">
        <v>531</v>
      </c>
      <c r="G97" s="685" t="s">
        <v>339</v>
      </c>
      <c r="H97" s="685" t="s">
        <v>339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9">
      <c r="A98" s="849">
        <f t="shared" si="13"/>
        <v>84</v>
      </c>
      <c r="B98" s="88" t="s">
        <v>33</v>
      </c>
      <c r="G98" s="685" t="s">
        <v>339</v>
      </c>
      <c r="H98" s="685" t="s">
        <v>339</v>
      </c>
      <c r="I98" s="687">
        <f>I96/I94</f>
        <v>0.48257372654155495</v>
      </c>
      <c r="J98" s="687">
        <f>J96/J94</f>
        <v>0.49704142011834318</v>
      </c>
      <c r="K98" s="687">
        <f>K96/K94</f>
        <v>0.50485436893203883</v>
      </c>
      <c r="L98" s="687">
        <f>L96/L94</f>
        <v>0.5</v>
      </c>
      <c r="M98" s="1020">
        <f t="shared" ref="M98:R98" si="14">M96/M94</f>
        <v>0.53030303030303028</v>
      </c>
      <c r="N98" s="1020">
        <f t="shared" si="14"/>
        <v>0.58227848101265811</v>
      </c>
      <c r="O98" s="1020">
        <f t="shared" si="14"/>
        <v>0.59911894273127753</v>
      </c>
      <c r="P98" s="1020">
        <f t="shared" si="14"/>
        <v>0.60909090909090913</v>
      </c>
      <c r="Q98" s="1020">
        <f t="shared" si="14"/>
        <v>0.63768115942028991</v>
      </c>
      <c r="R98" s="1020">
        <f t="shared" si="14"/>
        <v>0.65326633165829151</v>
      </c>
    </row>
    <row r="99" spans="1:19">
      <c r="A99" s="849">
        <f t="shared" si="13"/>
        <v>85</v>
      </c>
      <c r="B99" s="88" t="s">
        <v>532</v>
      </c>
      <c r="G99" s="685" t="s">
        <v>339</v>
      </c>
      <c r="H99" s="685" t="s">
        <v>339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9" ht="15.75">
      <c r="A100" s="849">
        <f t="shared" si="13"/>
        <v>86</v>
      </c>
      <c r="B100" s="88" t="s">
        <v>533</v>
      </c>
      <c r="G100" s="685" t="s">
        <v>339</v>
      </c>
      <c r="H100" s="685" t="s">
        <v>339</v>
      </c>
      <c r="I100" s="1021">
        <f>[35]K!I100</f>
        <v>74.73</v>
      </c>
      <c r="J100" s="1021">
        <f>[35]K!J100</f>
        <v>64.25</v>
      </c>
      <c r="K100" s="1021">
        <f>[35]K!K100</f>
        <v>58.08</v>
      </c>
      <c r="L100" s="1021">
        <f>[35]K!L100</f>
        <v>47.06</v>
      </c>
      <c r="M100" s="1021">
        <f>[35]K!M100</f>
        <v>36.86</v>
      </c>
      <c r="N100" s="1021">
        <f>[35]K!N100</f>
        <v>35.4</v>
      </c>
      <c r="O100" s="1021">
        <f>[35]K!O100</f>
        <v>31.72</v>
      </c>
      <c r="P100" s="1021">
        <f>[35]K!P100</f>
        <v>30.06</v>
      </c>
      <c r="Q100" s="1021">
        <f>[35]K!Q100</f>
        <v>27.88</v>
      </c>
      <c r="R100" s="1021">
        <f>[35]K!R100</f>
        <v>29.46</v>
      </c>
      <c r="S100" s="1012"/>
    </row>
    <row r="101" spans="1:19">
      <c r="A101" s="849">
        <f t="shared" si="13"/>
        <v>87</v>
      </c>
      <c r="B101" s="88" t="s">
        <v>534</v>
      </c>
      <c r="G101" s="685" t="s">
        <v>339</v>
      </c>
      <c r="H101" s="685" t="s">
        <v>339</v>
      </c>
      <c r="I101" s="1021">
        <f>[35]K!I101</f>
        <v>68.959999999999994</v>
      </c>
      <c r="J101" s="1021">
        <f>[35]K!J101</f>
        <v>57.82</v>
      </c>
      <c r="K101" s="1021">
        <f>[35]K!K101</f>
        <v>47.35</v>
      </c>
      <c r="L101" s="1021">
        <f>[35]K!L101</f>
        <v>41.08</v>
      </c>
      <c r="M101" s="1021">
        <f>[35]K!M101</f>
        <v>33.200000000000003</v>
      </c>
      <c r="N101" s="1021">
        <f>[35]K!N101</f>
        <v>30.97</v>
      </c>
      <c r="O101" s="1021">
        <f>[35]K!O101</f>
        <v>29.1</v>
      </c>
      <c r="P101" s="1021">
        <f>[35]K!P101</f>
        <v>27.39</v>
      </c>
      <c r="Q101" s="1021">
        <f>[35]K!Q101</f>
        <v>21.17</v>
      </c>
      <c r="R101" s="1021">
        <f>[35]K!R101</f>
        <v>26.11</v>
      </c>
    </row>
    <row r="102" spans="1:19">
      <c r="A102" s="849">
        <f t="shared" si="13"/>
        <v>88</v>
      </c>
      <c r="B102" s="88" t="s">
        <v>535</v>
      </c>
      <c r="G102" s="685" t="s">
        <v>339</v>
      </c>
      <c r="H102" s="685" t="s">
        <v>339</v>
      </c>
      <c r="I102" s="1021">
        <f>[35]K!I102</f>
        <v>80.400000000000006</v>
      </c>
      <c r="J102" s="1021">
        <f>[35]K!J102</f>
        <v>74.33</v>
      </c>
      <c r="K102" s="1021">
        <f>[35]K!K102</f>
        <v>58.81</v>
      </c>
      <c r="L102" s="1021">
        <f>[35]K!L102</f>
        <v>48.01</v>
      </c>
      <c r="M102" s="1021">
        <f>[35]K!M102</f>
        <v>42.69</v>
      </c>
      <c r="N102" s="1021">
        <f>[35]K!N102</f>
        <v>33.15</v>
      </c>
      <c r="O102" s="1021">
        <f>[35]K!O102</f>
        <v>34.979999999999997</v>
      </c>
      <c r="P102" s="1021">
        <f>[35]K!P102</f>
        <v>29.52</v>
      </c>
      <c r="Q102" s="1021">
        <f>[35]K!Q102</f>
        <v>25.95</v>
      </c>
      <c r="R102" s="1021">
        <f>[35]K!R102</f>
        <v>28.96</v>
      </c>
    </row>
    <row r="103" spans="1:19">
      <c r="A103" s="849">
        <f t="shared" si="13"/>
        <v>89</v>
      </c>
      <c r="B103" s="88" t="s">
        <v>536</v>
      </c>
      <c r="G103" s="685" t="s">
        <v>339</v>
      </c>
      <c r="H103" s="685" t="s">
        <v>339</v>
      </c>
      <c r="I103" s="1021">
        <f>[35]K!I103</f>
        <v>73.209999999999994</v>
      </c>
      <c r="J103" s="1021">
        <f>[35]K!J103</f>
        <v>61.74</v>
      </c>
      <c r="K103" s="1021">
        <f>[35]K!K103</f>
        <v>52.02</v>
      </c>
      <c r="L103" s="1021">
        <f>[35]K!L103</f>
        <v>44.19</v>
      </c>
      <c r="M103" s="1021">
        <f>[35]K!M103</f>
        <v>35.11</v>
      </c>
      <c r="N103" s="1021">
        <f>[35]K!N103</f>
        <v>30.6</v>
      </c>
      <c r="O103" s="1021">
        <f>[35]K!O103</f>
        <v>31.51</v>
      </c>
      <c r="P103" s="1021">
        <f>[35]K!P103</f>
        <v>26.52</v>
      </c>
      <c r="Q103" s="1021">
        <f>[35]K!Q103</f>
        <v>20.2</v>
      </c>
      <c r="R103" s="1021">
        <f>[35]K!R103</f>
        <v>25.09</v>
      </c>
    </row>
    <row r="104" spans="1:19">
      <c r="A104" s="849">
        <f t="shared" si="13"/>
        <v>90</v>
      </c>
      <c r="B104" s="88" t="s">
        <v>537</v>
      </c>
      <c r="G104" s="685" t="s">
        <v>339</v>
      </c>
      <c r="H104" s="685" t="s">
        <v>339</v>
      </c>
      <c r="I104" s="1021">
        <f>[35]K!I104</f>
        <v>85.54</v>
      </c>
      <c r="J104" s="1021">
        <f>[35]K!J104</f>
        <v>81.319999999999993</v>
      </c>
      <c r="K104" s="1021">
        <f>[35]K!K104</f>
        <v>56.41</v>
      </c>
      <c r="L104" s="1021">
        <f>[35]K!L104</f>
        <v>53.4</v>
      </c>
      <c r="M104" s="1021">
        <f>[35]K!M104</f>
        <v>44.87</v>
      </c>
      <c r="N104" s="1021">
        <f>[35]K!N104</f>
        <v>35.07</v>
      </c>
      <c r="O104" s="1021">
        <f>[35]K!O104</f>
        <v>34.94</v>
      </c>
      <c r="P104" s="1021">
        <f>[35]K!P104</f>
        <v>29.98</v>
      </c>
      <c r="Q104" s="1021">
        <f>[35]K!Q104</f>
        <v>26.37</v>
      </c>
      <c r="R104" s="1021">
        <f>[35]K!R104</f>
        <v>28.54</v>
      </c>
    </row>
    <row r="105" spans="1:19">
      <c r="A105" s="849">
        <f t="shared" si="13"/>
        <v>91</v>
      </c>
      <c r="B105" s="88" t="s">
        <v>1060</v>
      </c>
      <c r="G105" s="685" t="s">
        <v>339</v>
      </c>
      <c r="H105" s="685" t="s">
        <v>339</v>
      </c>
      <c r="I105" s="1021">
        <f>[35]K!I105</f>
        <v>78.900000000000006</v>
      </c>
      <c r="J105" s="1021">
        <f>[35]K!J105</f>
        <v>70.599999999999994</v>
      </c>
      <c r="K105" s="1021">
        <f>[35]K!K105</f>
        <v>51.28</v>
      </c>
      <c r="L105" s="1021">
        <f>[35]K!L105</f>
        <v>46.94</v>
      </c>
      <c r="M105" s="1021">
        <f>[35]K!M105</f>
        <v>38.590000000000003</v>
      </c>
      <c r="N105" s="1021">
        <f>[35]K!N105</f>
        <v>30.91</v>
      </c>
      <c r="O105" s="1021">
        <f>[35]K!O105</f>
        <v>31.34</v>
      </c>
      <c r="P105" s="1021">
        <f>[35]K!P105</f>
        <v>26.41</v>
      </c>
      <c r="Q105" s="1021">
        <f>[35]K!Q105</f>
        <v>22.81</v>
      </c>
      <c r="R105" s="1021">
        <f>[35]K!R105</f>
        <v>25.81</v>
      </c>
    </row>
    <row r="106" spans="1:19">
      <c r="A106" s="849">
        <f t="shared" si="13"/>
        <v>92</v>
      </c>
      <c r="B106" s="88" t="s">
        <v>1061</v>
      </c>
      <c r="G106" s="685" t="s">
        <v>339</v>
      </c>
      <c r="H106" s="685" t="s">
        <v>339</v>
      </c>
      <c r="I106" s="1021">
        <f>[35]K!I106</f>
        <v>88.69</v>
      </c>
      <c r="J106" s="1021">
        <f>[35]K!J106</f>
        <v>81.16</v>
      </c>
      <c r="K106" s="1021">
        <f>[35]K!K106</f>
        <v>58.18</v>
      </c>
      <c r="L106" s="1021">
        <f>[35]K!L106</f>
        <v>52.68</v>
      </c>
      <c r="M106" s="1021">
        <f>[35]K!M106</f>
        <v>45.19</v>
      </c>
      <c r="N106" s="1021">
        <f>[35]K!N106</f>
        <v>36.94</v>
      </c>
      <c r="O106" s="1021">
        <f>[35]K!O106</f>
        <v>34.32</v>
      </c>
      <c r="P106" s="1021">
        <f>[35]K!P106</f>
        <v>29.81</v>
      </c>
      <c r="Q106" s="1021">
        <f>[35]K!Q106</f>
        <v>28.8</v>
      </c>
      <c r="R106" s="1021">
        <f>[35]K!R106</f>
        <v>28.25</v>
      </c>
    </row>
    <row r="107" spans="1:19">
      <c r="A107" s="849">
        <f t="shared" si="13"/>
        <v>93</v>
      </c>
      <c r="B107" s="88" t="s">
        <v>1062</v>
      </c>
      <c r="G107" s="685" t="s">
        <v>339</v>
      </c>
      <c r="H107" s="685" t="s">
        <v>339</v>
      </c>
      <c r="I107" s="1021">
        <f>[35]K!I107</f>
        <v>82.42</v>
      </c>
      <c r="J107" s="1021">
        <f>[35]K!J107</f>
        <v>71.88</v>
      </c>
      <c r="K107" s="1021">
        <f>[35]K!K107</f>
        <v>51.48</v>
      </c>
      <c r="L107" s="1021">
        <f>[35]K!L107</f>
        <v>47.01</v>
      </c>
      <c r="M107" s="1021">
        <f>[35]K!M107</f>
        <v>39.4</v>
      </c>
      <c r="N107" s="1021">
        <f>[35]K!N107</f>
        <v>34.94</v>
      </c>
      <c r="O107" s="1021">
        <f>[35]K!O107</f>
        <v>28.87</v>
      </c>
      <c r="P107" s="1021">
        <f>[35]K!P107</f>
        <v>26.82</v>
      </c>
      <c r="Q107" s="1021">
        <f>[35]K!Q107</f>
        <v>24.65</v>
      </c>
      <c r="R107" s="1021">
        <f>[35]K!R107</f>
        <v>25.49</v>
      </c>
    </row>
    <row r="108" spans="1:19">
      <c r="A108" s="849">
        <f t="shared" si="13"/>
        <v>94</v>
      </c>
      <c r="B108" s="88" t="s">
        <v>1063</v>
      </c>
      <c r="G108" s="685" t="s">
        <v>339</v>
      </c>
      <c r="H108" s="685" t="s">
        <v>339</v>
      </c>
      <c r="I108" s="1021">
        <f>[35]K!I108</f>
        <v>36.745202639019794</v>
      </c>
      <c r="J108" s="1021">
        <f>[35]K!J108</f>
        <v>33.450000000000003</v>
      </c>
      <c r="K108" s="1021">
        <f>[35]K!K108</f>
        <v>31.35</v>
      </c>
      <c r="L108" s="1021">
        <f>[35]K!L108</f>
        <v>31.62</v>
      </c>
      <c r="M108" s="1021">
        <f>[35]K!M108</f>
        <v>28.14</v>
      </c>
      <c r="N108" s="1021">
        <f>[35]K!N108</f>
        <v>25.876837186855614</v>
      </c>
      <c r="O108" s="1021">
        <f>[35]K!O108</f>
        <v>24.879991616290869</v>
      </c>
      <c r="P108" s="1021">
        <f>[35]K!P108</f>
        <v>23.569582999718683</v>
      </c>
      <c r="Q108" s="1021">
        <f>[35]K!Q108</f>
        <v>23.758578912901115</v>
      </c>
      <c r="R108" s="1021">
        <f>[35]K!R108</f>
        <v>22.820426724185854</v>
      </c>
    </row>
    <row r="109" spans="1:19">
      <c r="A109" s="849">
        <f t="shared" si="13"/>
        <v>95</v>
      </c>
      <c r="G109" s="685"/>
      <c r="H109" s="685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9">
      <c r="A110" s="849">
        <f t="shared" si="13"/>
        <v>96</v>
      </c>
      <c r="B110" s="81" t="s">
        <v>832</v>
      </c>
      <c r="G110" s="108"/>
      <c r="H110" s="108"/>
      <c r="I110" s="108"/>
      <c r="J110" s="108"/>
      <c r="K110" s="108"/>
      <c r="L110" s="108"/>
      <c r="M110" s="108"/>
      <c r="N110" s="108"/>
      <c r="O110" s="688"/>
      <c r="P110" s="688"/>
      <c r="Q110" s="688"/>
      <c r="R110" s="688"/>
    </row>
    <row r="111" spans="1:19">
      <c r="A111" s="849">
        <f t="shared" si="13"/>
        <v>97</v>
      </c>
      <c r="G111" s="108"/>
      <c r="H111" s="108"/>
      <c r="I111" s="108"/>
      <c r="J111" s="108"/>
      <c r="K111" s="108"/>
      <c r="L111" s="108"/>
      <c r="M111" s="108"/>
      <c r="N111" s="108"/>
      <c r="O111" s="688"/>
      <c r="P111" s="108"/>
      <c r="Q111" s="108"/>
      <c r="R111" s="108"/>
    </row>
    <row r="112" spans="1:19">
      <c r="A112" s="849">
        <f t="shared" si="13"/>
        <v>98</v>
      </c>
      <c r="B112" s="620" t="s">
        <v>1086</v>
      </c>
      <c r="C112" s="988"/>
      <c r="D112" s="988"/>
      <c r="E112" s="98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9" ht="15.75">
      <c r="A113" s="849">
        <f t="shared" si="13"/>
        <v>99</v>
      </c>
      <c r="B113" s="88" t="s">
        <v>618</v>
      </c>
      <c r="G113" s="689">
        <f>(G55-G59)/(G43*Allocation!$I$14)</f>
        <v>9.3142586246544437E-2</v>
      </c>
      <c r="H113" s="689">
        <f>(H55-H59)/(H43*Allocation!$I$14)</f>
        <v>8.0064210723419668E-2</v>
      </c>
      <c r="I113" s="688">
        <f>[35]K!I113</f>
        <v>0.108</v>
      </c>
      <c r="J113" s="688">
        <f>[35]K!J113</f>
        <v>0.105</v>
      </c>
      <c r="K113" s="688">
        <f>[35]K!K113</f>
        <v>0.1</v>
      </c>
      <c r="L113" s="688">
        <f>[35]K!L113</f>
        <v>0.10199999999999999</v>
      </c>
      <c r="M113" s="688">
        <f>[35]K!M113</f>
        <v>9.8000000000000004E-2</v>
      </c>
      <c r="N113" s="688">
        <f>[35]K!N113</f>
        <v>8.3297938918196424E-2</v>
      </c>
      <c r="O113" s="688">
        <f>[35]K!O113</f>
        <v>8.5520016942695926E-2</v>
      </c>
      <c r="P113" s="688">
        <f>[35]K!P113</f>
        <v>8.7185418321332489E-2</v>
      </c>
      <c r="Q113" s="688">
        <f>[35]K!Q113</f>
        <v>8.6681501437724351E-2</v>
      </c>
      <c r="R113" s="688">
        <f>[35]K!R113</f>
        <v>8.7999999999999995E-2</v>
      </c>
      <c r="S113" s="1012"/>
    </row>
    <row r="114" spans="1:19">
      <c r="A114" s="849">
        <f t="shared" si="13"/>
        <v>100</v>
      </c>
      <c r="B114" s="88" t="s">
        <v>330</v>
      </c>
      <c r="G114" s="688">
        <f>(G55)/(G45*Allocation!$I$14)</f>
        <v>7.6539704291182689E-2</v>
      </c>
      <c r="H114" s="688">
        <f>(H55)/(H45*Allocation!$I$14)</f>
        <v>6.7210176121047696E-2</v>
      </c>
      <c r="I114" s="688">
        <f>[35]K!I114</f>
        <v>5.6000000000000001E-2</v>
      </c>
      <c r="J114" s="688">
        <f>[35]K!J114</f>
        <v>5.5E-2</v>
      </c>
      <c r="K114" s="688">
        <f>[35]K!K114</f>
        <v>5.1999999999999998E-2</v>
      </c>
      <c r="L114" s="688">
        <f>[35]K!L114</f>
        <v>5.1999999999999998E-2</v>
      </c>
      <c r="M114" s="688">
        <f>[35]K!M114</f>
        <v>4.8000000000000001E-2</v>
      </c>
      <c r="N114" s="688">
        <f>[35]K!N114</f>
        <v>4.0231888705646007E-2</v>
      </c>
      <c r="O114" s="688">
        <f>[35]K!O114</f>
        <v>4.3176826787451009E-2</v>
      </c>
      <c r="P114" s="688">
        <f>[35]K!P114</f>
        <v>4.4499578680161404E-2</v>
      </c>
      <c r="Q114" s="688">
        <f>[35]K!Q114</f>
        <v>4.2668457525681526E-2</v>
      </c>
      <c r="R114" s="688">
        <f>[35]K!R114</f>
        <v>4.2999999999999997E-2</v>
      </c>
    </row>
    <row r="115" spans="1:19">
      <c r="A115" s="849">
        <f t="shared" si="13"/>
        <v>101</v>
      </c>
      <c r="B115" s="88" t="s">
        <v>331</v>
      </c>
      <c r="G115" s="688">
        <f>G55/G27</f>
        <v>5.6712021985485146E-2</v>
      </c>
      <c r="H115" s="688">
        <f>H55/H27</f>
        <v>5.9544952603821429E-2</v>
      </c>
      <c r="I115" s="688">
        <f>[35]K!I115</f>
        <v>4.4999999999999998E-2</v>
      </c>
      <c r="J115" s="688">
        <f>[35]K!J115</f>
        <v>4.4999999999999998E-2</v>
      </c>
      <c r="K115" s="688">
        <f>[35]K!K115</f>
        <v>4.4999999999999998E-2</v>
      </c>
      <c r="L115" s="688">
        <f>[35]K!L115</f>
        <v>4.4999999999999998E-2</v>
      </c>
      <c r="M115" s="688">
        <f>[35]K!M115</f>
        <v>4.2999999999999997E-2</v>
      </c>
      <c r="N115" s="688">
        <f>[35]K!N115</f>
        <v>3.618310387082551E-2</v>
      </c>
      <c r="O115" s="688">
        <f>[35]K!O115</f>
        <v>3.8142668443685655E-2</v>
      </c>
      <c r="P115" s="688">
        <f>[35]K!P115</f>
        <v>4.1128106498813176E-2</v>
      </c>
      <c r="Q115" s="688">
        <f>[35]K!Q115</f>
        <v>4.2747157694961804E-2</v>
      </c>
      <c r="R115" s="688">
        <f>[35]K!R115</f>
        <v>4.4999999999999998E-2</v>
      </c>
    </row>
    <row r="116" spans="1:19">
      <c r="A116" s="849">
        <f t="shared" si="13"/>
        <v>102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9">
      <c r="A117" s="849">
        <f t="shared" si="13"/>
        <v>103</v>
      </c>
      <c r="B117" s="620" t="s">
        <v>1153</v>
      </c>
      <c r="C117" s="988"/>
      <c r="D117" s="988"/>
      <c r="E117" s="98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9">
      <c r="A118" s="849">
        <f t="shared" si="13"/>
        <v>104</v>
      </c>
      <c r="B118" s="88" t="s">
        <v>332</v>
      </c>
      <c r="D118" s="88" t="s">
        <v>55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9" ht="15.75">
      <c r="A119" s="849">
        <f t="shared" si="13"/>
        <v>105</v>
      </c>
      <c r="B119" s="88" t="s">
        <v>1037</v>
      </c>
      <c r="G119" s="108">
        <f>+I.3!O16/1000</f>
        <v>10083.093116257895</v>
      </c>
      <c r="H119" s="108">
        <f>+I.3!M16/1000</f>
        <v>10051.263139931787</v>
      </c>
      <c r="I119" s="108">
        <f>[35]K!I119</f>
        <v>8724</v>
      </c>
      <c r="J119" s="108">
        <f>[35]K!J119</f>
        <v>9094</v>
      </c>
      <c r="K119" s="108">
        <f>[35]K!K119</f>
        <v>9826</v>
      </c>
      <c r="L119" s="108">
        <f>[35]K!L119</f>
        <v>11729</v>
      </c>
      <c r="M119" s="108">
        <f>[35]K!M119</f>
        <v>10695</v>
      </c>
      <c r="N119" s="108">
        <f>[35]K!N119</f>
        <v>8433</v>
      </c>
      <c r="O119" s="108">
        <f>[35]K!O119</f>
        <v>10187</v>
      </c>
      <c r="P119" s="108">
        <f>[35]K!P119</f>
        <v>10735</v>
      </c>
      <c r="Q119" s="108">
        <f>[35]K!Q119</f>
        <v>10261</v>
      </c>
      <c r="R119" s="108">
        <f>[35]K!R119</f>
        <v>10854.609817299999</v>
      </c>
      <c r="S119" s="1012"/>
    </row>
    <row r="120" spans="1:19">
      <c r="A120" s="849">
        <f t="shared" si="13"/>
        <v>106</v>
      </c>
      <c r="B120" s="88" t="s">
        <v>1038</v>
      </c>
      <c r="G120" s="108">
        <f>+I.3!O17/1000</f>
        <v>5216.7012400000003</v>
      </c>
      <c r="H120" s="108">
        <f>+I.3!M17/1000</f>
        <v>5216.7012400000003</v>
      </c>
      <c r="I120" s="108">
        <f>[35]K!I120</f>
        <v>4575</v>
      </c>
      <c r="J120" s="108">
        <f>[35]K!J120</f>
        <v>4538</v>
      </c>
      <c r="K120" s="108">
        <f>[35]K!K120</f>
        <v>4845</v>
      </c>
      <c r="L120" s="108">
        <f>[35]K!L120</f>
        <v>5650</v>
      </c>
      <c r="M120" s="108">
        <f>[35]K!M120</f>
        <v>5143</v>
      </c>
      <c r="N120" s="108">
        <f>[35]K!N120</f>
        <v>3972</v>
      </c>
      <c r="O120" s="108">
        <f>[35]K!O120</f>
        <v>4642</v>
      </c>
      <c r="P120" s="108">
        <f>[35]K!P120</f>
        <v>5049</v>
      </c>
      <c r="Q120" s="108">
        <f>[35]K!Q120</f>
        <v>4659</v>
      </c>
      <c r="R120" s="108">
        <f>[35]K!R120</f>
        <v>5017.1545153999996</v>
      </c>
    </row>
    <row r="121" spans="1:19">
      <c r="A121" s="849">
        <f t="shared" si="13"/>
        <v>107</v>
      </c>
      <c r="B121" s="88" t="s">
        <v>173</v>
      </c>
      <c r="G121" s="108">
        <f>+I.3!O18/1000</f>
        <v>991.58479590000002</v>
      </c>
      <c r="H121" s="108">
        <f>+I.3!M18/1000</f>
        <v>991.58479589999979</v>
      </c>
      <c r="I121" s="108">
        <f>[35]K!I121</f>
        <v>1517</v>
      </c>
      <c r="J121" s="108">
        <f>[35]K!J121</f>
        <v>1048</v>
      </c>
      <c r="K121" s="108">
        <f>[35]K!K121</f>
        <v>693</v>
      </c>
      <c r="L121" s="108">
        <f>[35]K!L121</f>
        <v>810</v>
      </c>
      <c r="M121" s="108">
        <f>[35]K!M121</f>
        <v>811</v>
      </c>
      <c r="N121" s="108">
        <f>[35]K!N121</f>
        <v>995</v>
      </c>
      <c r="O121" s="108">
        <f>[35]K!O121</f>
        <v>821</v>
      </c>
      <c r="P121" s="108">
        <f>[35]K!P121</f>
        <v>724</v>
      </c>
      <c r="Q121" s="108">
        <f>[35]K!Q121</f>
        <v>960</v>
      </c>
      <c r="R121" s="108">
        <f>[35]K!R121</f>
        <v>1714.5599533</v>
      </c>
    </row>
    <row r="122" spans="1:19">
      <c r="A122" s="849">
        <f t="shared" si="13"/>
        <v>108</v>
      </c>
      <c r="B122" s="88" t="s">
        <v>782</v>
      </c>
      <c r="G122" s="108">
        <f>+I.3!O19/1000</f>
        <v>962.45869999999991</v>
      </c>
      <c r="H122" s="108">
        <f>+I.3!M19/1000</f>
        <v>962.45869999999991</v>
      </c>
      <c r="I122" s="108">
        <f>[35]K!I122</f>
        <v>859</v>
      </c>
      <c r="J122" s="108">
        <f>[35]K!J122</f>
        <v>916</v>
      </c>
      <c r="K122" s="108">
        <f>[35]K!K122</f>
        <v>1025</v>
      </c>
      <c r="L122" s="108">
        <f>[35]K!L122</f>
        <v>1234</v>
      </c>
      <c r="M122" s="108">
        <f>[35]K!M122</f>
        <v>1179</v>
      </c>
      <c r="N122" s="108">
        <f>[35]K!N122</f>
        <v>980</v>
      </c>
      <c r="O122" s="108">
        <f>[35]K!O122</f>
        <v>1111</v>
      </c>
      <c r="P122" s="108">
        <f>[35]K!P122</f>
        <v>1192</v>
      </c>
      <c r="Q122" s="108">
        <f>[35]K!Q122</f>
        <v>1176</v>
      </c>
      <c r="R122" s="108">
        <f>[35]K!R122</f>
        <v>1252.6995403999999</v>
      </c>
    </row>
    <row r="123" spans="1:19">
      <c r="A123" s="849">
        <f t="shared" si="13"/>
        <v>109</v>
      </c>
      <c r="B123" s="1022" t="s">
        <v>85</v>
      </c>
      <c r="G123" s="427">
        <f>+I.3!O20/1000</f>
        <v>0</v>
      </c>
      <c r="H123" s="427">
        <f>+I.3!M20/1000</f>
        <v>0</v>
      </c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9">
      <c r="A124" s="849">
        <f t="shared" si="13"/>
        <v>110</v>
      </c>
      <c r="B124" s="88" t="s">
        <v>305</v>
      </c>
      <c r="G124" s="108">
        <f>SUM(G119:G123)</f>
        <v>17253.837852157896</v>
      </c>
      <c r="H124" s="108">
        <f>SUM(H119:H123)</f>
        <v>17222.007875831787</v>
      </c>
      <c r="I124" s="1016">
        <f t="shared" ref="I124:R124" si="15">I119+I120+I121+I122</f>
        <v>15675</v>
      </c>
      <c r="J124" s="1016">
        <f t="shared" si="15"/>
        <v>15596</v>
      </c>
      <c r="K124" s="1016">
        <f t="shared" si="15"/>
        <v>16389</v>
      </c>
      <c r="L124" s="1016">
        <f t="shared" si="15"/>
        <v>19423</v>
      </c>
      <c r="M124" s="1016">
        <f t="shared" si="15"/>
        <v>17828</v>
      </c>
      <c r="N124" s="1016">
        <f t="shared" si="15"/>
        <v>14380</v>
      </c>
      <c r="O124" s="1016">
        <f t="shared" si="15"/>
        <v>16761</v>
      </c>
      <c r="P124" s="1016">
        <f t="shared" si="15"/>
        <v>17700</v>
      </c>
      <c r="Q124" s="1016">
        <f t="shared" si="15"/>
        <v>17056</v>
      </c>
      <c r="R124" s="1016">
        <f t="shared" si="15"/>
        <v>18839.0238264</v>
      </c>
    </row>
    <row r="125" spans="1:19">
      <c r="A125" s="849">
        <f t="shared" si="13"/>
        <v>111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9">
      <c r="A126" s="849">
        <f t="shared" si="13"/>
        <v>112</v>
      </c>
      <c r="B126" s="88" t="s">
        <v>306</v>
      </c>
      <c r="D126" s="88" t="s">
        <v>55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9">
      <c r="A127" s="849">
        <f t="shared" si="13"/>
        <v>113</v>
      </c>
      <c r="B127" s="88"/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</row>
    <row r="128" spans="1:19">
      <c r="A128" s="849">
        <f t="shared" si="13"/>
        <v>114</v>
      </c>
      <c r="B128" s="88" t="s">
        <v>432</v>
      </c>
      <c r="G128" s="108">
        <f t="shared" ref="G128:R128" si="16">G130-G127</f>
        <v>17581.660771348896</v>
      </c>
      <c r="H128" s="108">
        <f t="shared" si="16"/>
        <v>17549.226025472592</v>
      </c>
      <c r="I128" s="108">
        <f t="shared" si="16"/>
        <v>16060</v>
      </c>
      <c r="J128" s="108">
        <f t="shared" si="16"/>
        <v>15417</v>
      </c>
      <c r="K128" s="108">
        <f t="shared" si="16"/>
        <v>18606</v>
      </c>
      <c r="L128" s="108">
        <f t="shared" si="16"/>
        <v>21324</v>
      </c>
      <c r="M128" s="108">
        <f t="shared" si="16"/>
        <v>18367</v>
      </c>
      <c r="N128" s="108">
        <f t="shared" si="16"/>
        <v>17441</v>
      </c>
      <c r="O128" s="108">
        <f t="shared" si="16"/>
        <v>16748</v>
      </c>
      <c r="P128" s="108">
        <f t="shared" si="16"/>
        <v>17596</v>
      </c>
      <c r="Q128" s="108">
        <f t="shared" si="16"/>
        <v>17034</v>
      </c>
      <c r="R128" s="108">
        <f t="shared" si="16"/>
        <v>18789.664000000001</v>
      </c>
    </row>
    <row r="129" spans="1:20">
      <c r="A129" s="849">
        <f t="shared" si="13"/>
        <v>115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1:20" ht="15.75">
      <c r="A130" s="849">
        <f t="shared" si="13"/>
        <v>116</v>
      </c>
      <c r="B130" s="88" t="s">
        <v>1163</v>
      </c>
      <c r="G130" s="108">
        <f>+G124+(0.019*G124)</f>
        <v>17581.660771348896</v>
      </c>
      <c r="H130" s="108">
        <f>+H124+(0.019*H124)</f>
        <v>17549.226025472592</v>
      </c>
      <c r="I130" s="108">
        <f>[35]K!I130</f>
        <v>16060</v>
      </c>
      <c r="J130" s="108">
        <f>[35]K!J130</f>
        <v>15417</v>
      </c>
      <c r="K130" s="108">
        <f>[35]K!K130</f>
        <v>18606</v>
      </c>
      <c r="L130" s="108">
        <f>[35]K!L130</f>
        <v>21324</v>
      </c>
      <c r="M130" s="108">
        <f>[35]K!M130</f>
        <v>18367</v>
      </c>
      <c r="N130" s="108">
        <f>[35]K!N130</f>
        <v>17441</v>
      </c>
      <c r="O130" s="108">
        <f>[35]K!O130</f>
        <v>16748</v>
      </c>
      <c r="P130" s="108">
        <f>[35]K!P130</f>
        <v>17596</v>
      </c>
      <c r="Q130" s="108">
        <f>[35]K!Q130</f>
        <v>17034</v>
      </c>
      <c r="R130" s="108">
        <f>[35]K!R130</f>
        <v>18789.664000000001</v>
      </c>
      <c r="S130" s="1012"/>
    </row>
    <row r="131" spans="1:20">
      <c r="A131" s="849">
        <f t="shared" si="13"/>
        <v>117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1:20" ht="15.75">
      <c r="A132" s="849">
        <f t="shared" si="13"/>
        <v>118</v>
      </c>
      <c r="B132" s="88" t="s">
        <v>307</v>
      </c>
      <c r="G132" s="577">
        <f>[4]Reserve!$BJ$207</f>
        <v>1.9709728321911903E-2</v>
      </c>
      <c r="H132" s="577">
        <f>[4]Reserve!$AU$207</f>
        <v>2.785600084127238E-2</v>
      </c>
      <c r="I132" s="577">
        <f>[35]K!I132</f>
        <v>3.1199999999999999E-2</v>
      </c>
      <c r="J132" s="577">
        <f>[35]K!J132</f>
        <v>3.3300000000000003E-2</v>
      </c>
      <c r="K132" s="577">
        <f>[35]K!K132</f>
        <v>3.6578607167145429E-2</v>
      </c>
      <c r="L132" s="577">
        <f>[35]K!L132</f>
        <v>3.5000000000000003E-2</v>
      </c>
      <c r="M132" s="577">
        <f>[35]K!M132</f>
        <v>3.3099999999999997E-2</v>
      </c>
      <c r="N132" s="577">
        <f>[35]K!N132</f>
        <v>3.49E-2</v>
      </c>
      <c r="O132" s="577">
        <f>[35]K!O132</f>
        <v>3.5799999999999998E-2</v>
      </c>
      <c r="P132" s="577">
        <f>[35]K!P132</f>
        <v>3.4000000000000002E-2</v>
      </c>
      <c r="Q132" s="577">
        <f>[35]K!Q132</f>
        <v>3.4299999999999997E-2</v>
      </c>
      <c r="R132" s="577">
        <f>[35]K!R132</f>
        <v>3.1732611870051476E-2</v>
      </c>
      <c r="S132" s="1012"/>
      <c r="T132" s="671"/>
    </row>
    <row r="133" spans="1:20">
      <c r="A133" s="88"/>
      <c r="B133" s="88"/>
      <c r="G133" s="577"/>
      <c r="H133" s="577"/>
      <c r="I133" s="577"/>
      <c r="J133" s="577"/>
      <c r="K133" s="577"/>
      <c r="L133" s="577"/>
      <c r="M133" s="577"/>
      <c r="N133" s="577"/>
      <c r="O133" s="577"/>
      <c r="P133" s="577"/>
      <c r="Q133" s="577"/>
      <c r="R133" s="577"/>
    </row>
    <row r="134" spans="1:20">
      <c r="B134" s="955" t="s">
        <v>1725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20">
      <c r="B135" s="1180" t="s">
        <v>1164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20"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20"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20"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</sheetData>
  <mergeCells count="6">
    <mergeCell ref="A5:R5"/>
    <mergeCell ref="A6:R6"/>
    <mergeCell ref="A1:R1"/>
    <mergeCell ref="A2:R2"/>
    <mergeCell ref="A3:R3"/>
    <mergeCell ref="A4:R4"/>
  </mergeCells>
  <phoneticPr fontId="22" type="noConversion"/>
  <printOptions horizontalCentered="1"/>
  <pageMargins left="0.75" right="0.75" top="0.62" bottom="0.81" header="0.5" footer="0.39"/>
  <pageSetup scale="60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73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5" style="80" customWidth="1"/>
    <col min="2" max="2" width="6.88671875" style="80" customWidth="1"/>
    <col min="3" max="3" width="36.21875" style="80" customWidth="1"/>
    <col min="4" max="4" width="17.5546875" style="80" customWidth="1"/>
    <col min="5" max="5" width="10" style="80" customWidth="1"/>
    <col min="6" max="6" width="15.88671875" style="80" customWidth="1"/>
    <col min="7" max="7" width="13.109375" style="854" bestFit="1" customWidth="1"/>
    <col min="8" max="8" width="12.33203125" style="854" customWidth="1"/>
    <col min="9" max="9" width="16" style="80" customWidth="1"/>
    <col min="10" max="10" width="3.21875" style="80" customWidth="1"/>
    <col min="11" max="11" width="15.44140625" style="80" customWidth="1"/>
    <col min="12" max="12" width="12.6640625" style="854" bestFit="1" customWidth="1"/>
    <col min="13" max="13" width="9.77734375" style="854" bestFit="1" customWidth="1"/>
    <col min="14" max="14" width="14.77734375" style="80" customWidth="1"/>
    <col min="15" max="15" width="8.88671875" style="80"/>
    <col min="16" max="17" width="12" style="80" bestFit="1" customWidth="1"/>
    <col min="18" max="18" width="7.77734375" style="80" customWidth="1"/>
    <col min="19" max="19" width="7.6640625" style="80" customWidth="1"/>
    <col min="20" max="16384" width="8.88671875" style="80"/>
  </cols>
  <sheetData>
    <row r="1" spans="1:17">
      <c r="A1" s="1200" t="str">
        <f>'Table of Contents'!A1:C1</f>
        <v>Atmos Energy Corporation, Kentucky/Mid-States Division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</row>
    <row r="2" spans="1:17">
      <c r="A2" s="1200" t="str">
        <f>'Table of Contents'!A2:C2</f>
        <v>Kentucky Jurisdiction Case No. 2018-00281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</row>
    <row r="3" spans="1:17">
      <c r="A3" s="1200" t="s">
        <v>496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</row>
    <row r="4" spans="1:17" ht="15.75">
      <c r="A4" s="1201" t="str">
        <f>'B.1 F '!A4</f>
        <v>as of March 31, 2020</v>
      </c>
      <c r="B4" s="1201"/>
      <c r="C4" s="1201"/>
      <c r="D4" s="1201"/>
      <c r="E4" s="1201"/>
      <c r="F4" s="1201"/>
      <c r="G4" s="1201"/>
      <c r="H4" s="1201"/>
      <c r="I4" s="1201"/>
      <c r="J4" s="1201"/>
      <c r="K4" s="1201"/>
      <c r="L4" s="1201"/>
      <c r="M4" s="1201"/>
      <c r="N4" s="1201"/>
    </row>
    <row r="5" spans="1:17" ht="15.75">
      <c r="A5" s="150"/>
      <c r="B5" s="150"/>
      <c r="C5" s="150"/>
      <c r="D5" s="902"/>
      <c r="E5" s="732"/>
      <c r="F5" s="150"/>
      <c r="G5" s="857"/>
      <c r="H5" s="857"/>
      <c r="I5" s="81"/>
      <c r="J5" s="81"/>
      <c r="K5" s="150"/>
    </row>
    <row r="6" spans="1:17" ht="15.75">
      <c r="A6" s="88" t="str">
        <f>'B.1 F '!A6</f>
        <v>Data:______Base Period__X___Forecasted Period</v>
      </c>
      <c r="B6" s="81"/>
      <c r="C6" s="81"/>
      <c r="D6" s="81"/>
      <c r="E6" s="902"/>
      <c r="F6" s="81"/>
      <c r="G6" s="857"/>
      <c r="K6" s="81"/>
      <c r="N6" s="901" t="s">
        <v>1418</v>
      </c>
    </row>
    <row r="7" spans="1:17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57"/>
      <c r="I7" s="88"/>
      <c r="J7" s="88"/>
      <c r="K7" s="81"/>
      <c r="N7" s="979" t="s">
        <v>1008</v>
      </c>
    </row>
    <row r="8" spans="1:17">
      <c r="A8" s="391" t="str">
        <f>'B.1 F '!A8</f>
        <v>Workpaper Reference No(s).</v>
      </c>
      <c r="B8" s="151"/>
      <c r="C8" s="151"/>
      <c r="D8" s="74"/>
      <c r="E8" s="74"/>
      <c r="F8" s="74"/>
      <c r="G8" s="76"/>
      <c r="H8" s="1026"/>
      <c r="I8" s="1027"/>
      <c r="J8" s="1027"/>
      <c r="K8" s="74"/>
      <c r="L8" s="1026"/>
      <c r="N8" s="1028" t="str">
        <f>'B.2 B'!N8</f>
        <v>Witness: Waller</v>
      </c>
    </row>
    <row r="9" spans="1:17">
      <c r="A9" s="1029"/>
      <c r="B9" s="74"/>
      <c r="C9" s="74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7" ht="15.75">
      <c r="A10" s="1033"/>
      <c r="B10" s="74"/>
      <c r="C10" s="74"/>
      <c r="D10" s="594">
        <v>43921</v>
      </c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7" ht="15.75">
      <c r="A11" s="1033" t="s">
        <v>93</v>
      </c>
      <c r="B11" s="855" t="s">
        <v>268</v>
      </c>
      <c r="C11" s="486" t="s">
        <v>216</v>
      </c>
      <c r="D11" s="854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7">
      <c r="A12" s="1037" t="s">
        <v>99</v>
      </c>
      <c r="B12" s="185" t="s">
        <v>99</v>
      </c>
      <c r="C12" s="185" t="s">
        <v>296</v>
      </c>
      <c r="D12" s="1037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37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7">
      <c r="A13" s="75"/>
      <c r="B13" s="75"/>
      <c r="C13" s="75"/>
      <c r="D13" s="75" t="s">
        <v>750</v>
      </c>
      <c r="E13" s="75" t="s">
        <v>751</v>
      </c>
      <c r="F13" s="75" t="s">
        <v>757</v>
      </c>
      <c r="G13" s="75" t="s">
        <v>752</v>
      </c>
      <c r="H13" s="75" t="s">
        <v>753</v>
      </c>
      <c r="I13" s="75" t="s">
        <v>758</v>
      </c>
      <c r="J13" s="75"/>
      <c r="K13" s="75" t="s">
        <v>754</v>
      </c>
      <c r="L13" s="75" t="s">
        <v>755</v>
      </c>
      <c r="M13" s="75" t="s">
        <v>756</v>
      </c>
      <c r="N13" s="75" t="s">
        <v>759</v>
      </c>
    </row>
    <row r="14" spans="1:17" ht="15.75">
      <c r="B14" s="942" t="s">
        <v>6</v>
      </c>
    </row>
    <row r="15" spans="1:17">
      <c r="A15" s="855">
        <v>1</v>
      </c>
      <c r="B15" s="81"/>
      <c r="C15" s="620" t="s">
        <v>297</v>
      </c>
    </row>
    <row r="16" spans="1:17">
      <c r="A16" s="855">
        <f>A15+1</f>
        <v>2</v>
      </c>
      <c r="B16" s="1039">
        <v>30100</v>
      </c>
      <c r="C16" s="88" t="s">
        <v>291</v>
      </c>
      <c r="D16" s="322">
        <f>'[4]Gross Plant'!$AF112</f>
        <v>8329.7199999999993</v>
      </c>
      <c r="E16" s="1040">
        <v>0</v>
      </c>
      <c r="F16" s="1040">
        <f>D16+E16</f>
        <v>8329.7199999999993</v>
      </c>
      <c r="G16" s="466">
        <v>1</v>
      </c>
      <c r="H16" s="466">
        <f>$G$16</f>
        <v>1</v>
      </c>
      <c r="I16" s="346">
        <f>F16*G16*H16</f>
        <v>8329.7199999999993</v>
      </c>
      <c r="J16" s="916"/>
      <c r="K16" s="322">
        <f>'[4]Gross Plant'!$D112</f>
        <v>8329.7199999999993</v>
      </c>
      <c r="L16" s="466">
        <f t="shared" ref="L16:M17" si="0">$G$16</f>
        <v>1</v>
      </c>
      <c r="M16" s="466">
        <f t="shared" si="0"/>
        <v>1</v>
      </c>
      <c r="N16" s="1040">
        <f>K16*L16*M16</f>
        <v>8329.7199999999993</v>
      </c>
    </row>
    <row r="17" spans="1:14">
      <c r="A17" s="855">
        <f t="shared" ref="A17:A83" si="1">A16+1</f>
        <v>3</v>
      </c>
      <c r="B17" s="1039">
        <v>30200</v>
      </c>
      <c r="C17" s="88" t="s">
        <v>153</v>
      </c>
      <c r="D17" s="322">
        <f>'[4]Gross Plant'!$AF113</f>
        <v>119852.69</v>
      </c>
      <c r="E17" s="430">
        <v>0</v>
      </c>
      <c r="F17" s="430">
        <f>D17+E17</f>
        <v>119852.69</v>
      </c>
      <c r="G17" s="466">
        <f>$G$16</f>
        <v>1</v>
      </c>
      <c r="H17" s="466">
        <f>$G$16</f>
        <v>1</v>
      </c>
      <c r="I17" s="430">
        <f>F17*G17*H17</f>
        <v>119852.69</v>
      </c>
      <c r="K17" s="322">
        <f>'[4]Gross Plant'!$D113</f>
        <v>119852.68999999996</v>
      </c>
      <c r="L17" s="466">
        <f t="shared" si="0"/>
        <v>1</v>
      </c>
      <c r="M17" s="466">
        <f t="shared" si="0"/>
        <v>1</v>
      </c>
      <c r="N17" s="430">
        <f>K17*L17*M17</f>
        <v>119852.68999999996</v>
      </c>
    </row>
    <row r="18" spans="1:14">
      <c r="A18" s="855">
        <f t="shared" si="1"/>
        <v>4</v>
      </c>
      <c r="B18" s="1041"/>
      <c r="C18" s="88"/>
      <c r="D18" s="619"/>
      <c r="E18" s="619"/>
      <c r="F18" s="619"/>
      <c r="G18" s="466"/>
      <c r="H18" s="466"/>
      <c r="I18" s="619"/>
      <c r="K18" s="619"/>
      <c r="N18" s="619"/>
    </row>
    <row r="19" spans="1:14">
      <c r="A19" s="855">
        <f t="shared" si="1"/>
        <v>5</v>
      </c>
      <c r="B19" s="1041"/>
      <c r="C19" s="88" t="s">
        <v>298</v>
      </c>
      <c r="D19" s="360">
        <f>SUM(D16:D17)</f>
        <v>128182.41</v>
      </c>
      <c r="E19" s="346">
        <f>SUM(E16:E17)</f>
        <v>0</v>
      </c>
      <c r="F19" s="346">
        <f>SUM(F16:F17)</f>
        <v>128182.41</v>
      </c>
      <c r="G19" s="1042"/>
      <c r="H19" s="1042"/>
      <c r="I19" s="346">
        <f>SUM(I16:I17)</f>
        <v>128182.41</v>
      </c>
      <c r="K19" s="360">
        <f>SUM(K16:K17)</f>
        <v>128182.40999999996</v>
      </c>
      <c r="N19" s="346">
        <f>SUM(N16:N17)</f>
        <v>128182.40999999996</v>
      </c>
    </row>
    <row r="20" spans="1:14">
      <c r="A20" s="855">
        <f t="shared" si="1"/>
        <v>6</v>
      </c>
      <c r="B20" s="1041"/>
      <c r="C20" s="81"/>
      <c r="G20" s="466"/>
      <c r="H20" s="466"/>
    </row>
    <row r="21" spans="1:14">
      <c r="A21" s="855">
        <f t="shared" si="1"/>
        <v>7</v>
      </c>
      <c r="B21" s="1041"/>
      <c r="C21" s="620" t="s">
        <v>154</v>
      </c>
      <c r="G21" s="466"/>
      <c r="H21" s="466"/>
    </row>
    <row r="22" spans="1:14">
      <c r="A22" s="855">
        <f t="shared" si="1"/>
        <v>8</v>
      </c>
      <c r="B22" s="1039">
        <v>32540</v>
      </c>
      <c r="C22" s="88" t="s">
        <v>161</v>
      </c>
      <c r="D22" s="322">
        <f>'[4]Gross Plant'!$AF114</f>
        <v>0</v>
      </c>
      <c r="E22" s="1040">
        <v>0</v>
      </c>
      <c r="F22" s="1040">
        <f t="shared" ref="F22:F24" si="2">D22+E22</f>
        <v>0</v>
      </c>
      <c r="G22" s="466">
        <f t="shared" ref="G22:H24" si="3">$G$16</f>
        <v>1</v>
      </c>
      <c r="H22" s="466">
        <f t="shared" si="3"/>
        <v>1</v>
      </c>
      <c r="I22" s="1040">
        <f t="shared" ref="I22:I24" si="4">F22*G22*H22</f>
        <v>0</v>
      </c>
      <c r="K22" s="322">
        <f>'[4]Gross Plant'!$D114</f>
        <v>0</v>
      </c>
      <c r="L22" s="466">
        <f t="shared" ref="L22:M24" si="5">$G$16</f>
        <v>1</v>
      </c>
      <c r="M22" s="466">
        <f t="shared" si="5"/>
        <v>1</v>
      </c>
      <c r="N22" s="1040">
        <f t="shared" ref="N22:N24" si="6">K22*L22*M22</f>
        <v>0</v>
      </c>
    </row>
    <row r="23" spans="1:14">
      <c r="A23" s="855">
        <f t="shared" si="1"/>
        <v>9</v>
      </c>
      <c r="B23" s="1039">
        <v>33202</v>
      </c>
      <c r="C23" s="88" t="s">
        <v>596</v>
      </c>
      <c r="D23" s="322">
        <f>'[4]Gross Plant'!$AF115</f>
        <v>0</v>
      </c>
      <c r="E23" s="430">
        <v>0</v>
      </c>
      <c r="F23" s="430">
        <f t="shared" si="2"/>
        <v>0</v>
      </c>
      <c r="G23" s="466">
        <f t="shared" si="3"/>
        <v>1</v>
      </c>
      <c r="H23" s="466">
        <f t="shared" si="3"/>
        <v>1</v>
      </c>
      <c r="I23" s="430">
        <f t="shared" si="4"/>
        <v>0</v>
      </c>
      <c r="K23" s="322">
        <f>'[4]Gross Plant'!$D115</f>
        <v>0</v>
      </c>
      <c r="L23" s="466">
        <f t="shared" si="5"/>
        <v>1</v>
      </c>
      <c r="M23" s="466">
        <f t="shared" si="5"/>
        <v>1</v>
      </c>
      <c r="N23" s="430">
        <f t="shared" si="6"/>
        <v>0</v>
      </c>
    </row>
    <row r="24" spans="1:14">
      <c r="A24" s="855">
        <f t="shared" si="1"/>
        <v>10</v>
      </c>
      <c r="B24" s="1039">
        <v>33400</v>
      </c>
      <c r="C24" s="88" t="s">
        <v>1119</v>
      </c>
      <c r="D24" s="322">
        <f>'[4]Gross Plant'!$AF116</f>
        <v>0</v>
      </c>
      <c r="E24" s="430">
        <v>0</v>
      </c>
      <c r="F24" s="430">
        <f t="shared" si="2"/>
        <v>0</v>
      </c>
      <c r="G24" s="466">
        <f t="shared" si="3"/>
        <v>1</v>
      </c>
      <c r="H24" s="466">
        <f t="shared" si="3"/>
        <v>1</v>
      </c>
      <c r="I24" s="430">
        <f t="shared" si="4"/>
        <v>0</v>
      </c>
      <c r="K24" s="322">
        <f>'[4]Gross Plant'!$D116</f>
        <v>0</v>
      </c>
      <c r="L24" s="466">
        <f t="shared" si="5"/>
        <v>1</v>
      </c>
      <c r="M24" s="466">
        <f t="shared" si="5"/>
        <v>1</v>
      </c>
      <c r="N24" s="430">
        <f t="shared" si="6"/>
        <v>0</v>
      </c>
    </row>
    <row r="25" spans="1:14">
      <c r="A25" s="855">
        <f t="shared" si="1"/>
        <v>11</v>
      </c>
      <c r="B25" s="1041"/>
      <c r="C25" s="81"/>
      <c r="D25" s="619"/>
      <c r="G25" s="466"/>
      <c r="H25" s="466"/>
      <c r="K25" s="619"/>
    </row>
    <row r="26" spans="1:14">
      <c r="A26" s="855">
        <f t="shared" si="1"/>
        <v>12</v>
      </c>
      <c r="B26" s="1041"/>
      <c r="C26" s="81" t="s">
        <v>278</v>
      </c>
      <c r="D26" s="360">
        <f>SUM(D22:D25)</f>
        <v>0</v>
      </c>
      <c r="E26" s="346">
        <f>SUM(E22:E25)</f>
        <v>0</v>
      </c>
      <c r="F26" s="346">
        <f>SUM(F22:F25)</f>
        <v>0</v>
      </c>
      <c r="G26" s="466"/>
      <c r="H26" s="466"/>
      <c r="I26" s="346">
        <f>SUM(I22:I25)</f>
        <v>0</v>
      </c>
      <c r="K26" s="360">
        <f>SUM(K22:K25)</f>
        <v>0</v>
      </c>
      <c r="N26" s="346">
        <f>SUM(N22:N25)</f>
        <v>0</v>
      </c>
    </row>
    <row r="27" spans="1:14">
      <c r="A27" s="855">
        <f t="shared" si="1"/>
        <v>13</v>
      </c>
      <c r="B27" s="1041"/>
      <c r="C27" s="88"/>
      <c r="G27" s="466"/>
      <c r="H27" s="466"/>
    </row>
    <row r="28" spans="1:14">
      <c r="A28" s="855">
        <f t="shared" si="1"/>
        <v>14</v>
      </c>
      <c r="B28" s="1041"/>
      <c r="C28" s="620" t="s">
        <v>279</v>
      </c>
      <c r="G28" s="466"/>
      <c r="H28" s="466"/>
    </row>
    <row r="29" spans="1:14">
      <c r="A29" s="855">
        <f t="shared" si="1"/>
        <v>15</v>
      </c>
      <c r="B29" s="1039">
        <v>35010</v>
      </c>
      <c r="C29" s="88" t="s">
        <v>292</v>
      </c>
      <c r="D29" s="322">
        <f>'[4]Gross Plant'!$AF117</f>
        <v>261126.69</v>
      </c>
      <c r="E29" s="1040">
        <v>0</v>
      </c>
      <c r="F29" s="1040">
        <f t="shared" ref="F29:F45" si="7">D29+E29</f>
        <v>261126.69</v>
      </c>
      <c r="G29" s="466">
        <f t="shared" ref="G29:H45" si="8">$G$16</f>
        <v>1</v>
      </c>
      <c r="H29" s="466">
        <f t="shared" si="8"/>
        <v>1</v>
      </c>
      <c r="I29" s="1040">
        <f t="shared" ref="I29:I45" si="9">F29*G29*H29</f>
        <v>261126.69</v>
      </c>
      <c r="K29" s="322">
        <f>'[4]Gross Plant'!$D117</f>
        <v>261126.68999999997</v>
      </c>
      <c r="L29" s="466">
        <f t="shared" ref="L29:M45" si="10">$G$16</f>
        <v>1</v>
      </c>
      <c r="M29" s="466">
        <f t="shared" si="10"/>
        <v>1</v>
      </c>
      <c r="N29" s="1040">
        <f t="shared" ref="N29:N45" si="11">K29*L29*M29</f>
        <v>261126.68999999997</v>
      </c>
    </row>
    <row r="30" spans="1:14">
      <c r="A30" s="855">
        <f t="shared" si="1"/>
        <v>16</v>
      </c>
      <c r="B30" s="1039">
        <v>35020</v>
      </c>
      <c r="C30" s="88" t="s">
        <v>792</v>
      </c>
      <c r="D30" s="322">
        <f>'[4]Gross Plant'!$AF118</f>
        <v>4681.58</v>
      </c>
      <c r="E30" s="430">
        <v>0</v>
      </c>
      <c r="F30" s="430">
        <f t="shared" si="7"/>
        <v>4681.58</v>
      </c>
      <c r="G30" s="466">
        <f t="shared" si="8"/>
        <v>1</v>
      </c>
      <c r="H30" s="466">
        <f t="shared" si="8"/>
        <v>1</v>
      </c>
      <c r="I30" s="430">
        <f t="shared" si="9"/>
        <v>4681.58</v>
      </c>
      <c r="K30" s="322">
        <f>'[4]Gross Plant'!$D118</f>
        <v>4681.5800000000008</v>
      </c>
      <c r="L30" s="466">
        <f t="shared" si="10"/>
        <v>1</v>
      </c>
      <c r="M30" s="466">
        <f t="shared" si="10"/>
        <v>1</v>
      </c>
      <c r="N30" s="430">
        <f t="shared" si="11"/>
        <v>4681.5800000000008</v>
      </c>
    </row>
    <row r="31" spans="1:14">
      <c r="A31" s="855">
        <f t="shared" si="1"/>
        <v>17</v>
      </c>
      <c r="B31" s="1039">
        <v>35100</v>
      </c>
      <c r="C31" s="88" t="s">
        <v>969</v>
      </c>
      <c r="D31" s="322">
        <f>'[4]Gross Plant'!$AF119</f>
        <v>17916.189999999999</v>
      </c>
      <c r="E31" s="430">
        <v>0</v>
      </c>
      <c r="F31" s="430">
        <f t="shared" si="7"/>
        <v>17916.189999999999</v>
      </c>
      <c r="G31" s="466">
        <f t="shared" si="8"/>
        <v>1</v>
      </c>
      <c r="H31" s="466">
        <f t="shared" si="8"/>
        <v>1</v>
      </c>
      <c r="I31" s="430">
        <f t="shared" si="9"/>
        <v>17916.189999999999</v>
      </c>
      <c r="K31" s="322">
        <f>'[4]Gross Plant'!$D119</f>
        <v>17916.189999999999</v>
      </c>
      <c r="L31" s="466">
        <f t="shared" si="10"/>
        <v>1</v>
      </c>
      <c r="M31" s="466">
        <f t="shared" si="10"/>
        <v>1</v>
      </c>
      <c r="N31" s="430">
        <f t="shared" si="11"/>
        <v>17916.189999999999</v>
      </c>
    </row>
    <row r="32" spans="1:14">
      <c r="A32" s="855">
        <f t="shared" si="1"/>
        <v>18</v>
      </c>
      <c r="B32" s="1039">
        <v>35102</v>
      </c>
      <c r="C32" s="88" t="s">
        <v>280</v>
      </c>
      <c r="D32" s="322">
        <f>'[4]Gross Plant'!$AF120</f>
        <v>153261.29999999999</v>
      </c>
      <c r="E32" s="430">
        <v>0</v>
      </c>
      <c r="F32" s="430">
        <f t="shared" si="7"/>
        <v>153261.29999999999</v>
      </c>
      <c r="G32" s="466">
        <f t="shared" si="8"/>
        <v>1</v>
      </c>
      <c r="H32" s="466">
        <f t="shared" si="8"/>
        <v>1</v>
      </c>
      <c r="I32" s="430">
        <f t="shared" si="9"/>
        <v>153261.29999999999</v>
      </c>
      <c r="K32" s="322">
        <f>'[4]Gross Plant'!$D120</f>
        <v>153261.30000000002</v>
      </c>
      <c r="L32" s="466">
        <f t="shared" si="10"/>
        <v>1</v>
      </c>
      <c r="M32" s="466">
        <f t="shared" si="10"/>
        <v>1</v>
      </c>
      <c r="N32" s="430">
        <f t="shared" si="11"/>
        <v>153261.30000000002</v>
      </c>
    </row>
    <row r="33" spans="1:14">
      <c r="A33" s="855">
        <f t="shared" si="1"/>
        <v>19</v>
      </c>
      <c r="B33" s="1039">
        <v>35103</v>
      </c>
      <c r="C33" s="88" t="s">
        <v>585</v>
      </c>
      <c r="D33" s="322">
        <f>'[4]Gross Plant'!$AF121</f>
        <v>23138.38</v>
      </c>
      <c r="E33" s="430">
        <v>0</v>
      </c>
      <c r="F33" s="430">
        <f t="shared" si="7"/>
        <v>23138.38</v>
      </c>
      <c r="G33" s="466">
        <f t="shared" si="8"/>
        <v>1</v>
      </c>
      <c r="H33" s="466">
        <f t="shared" si="8"/>
        <v>1</v>
      </c>
      <c r="I33" s="430">
        <f t="shared" si="9"/>
        <v>23138.38</v>
      </c>
      <c r="K33" s="322">
        <f>'[4]Gross Plant'!$D121</f>
        <v>23138.38</v>
      </c>
      <c r="L33" s="466">
        <f t="shared" si="10"/>
        <v>1</v>
      </c>
      <c r="M33" s="466">
        <f t="shared" si="10"/>
        <v>1</v>
      </c>
      <c r="N33" s="430">
        <f t="shared" si="11"/>
        <v>23138.38</v>
      </c>
    </row>
    <row r="34" spans="1:14">
      <c r="A34" s="855">
        <f t="shared" si="1"/>
        <v>20</v>
      </c>
      <c r="B34" s="1039">
        <v>35104</v>
      </c>
      <c r="C34" s="88" t="s">
        <v>586</v>
      </c>
      <c r="D34" s="322">
        <f>'[4]Gross Plant'!$AF122</f>
        <v>137442.53</v>
      </c>
      <c r="E34" s="430">
        <v>0</v>
      </c>
      <c r="F34" s="430">
        <f t="shared" si="7"/>
        <v>137442.53</v>
      </c>
      <c r="G34" s="466">
        <f t="shared" si="8"/>
        <v>1</v>
      </c>
      <c r="H34" s="466">
        <f t="shared" si="8"/>
        <v>1</v>
      </c>
      <c r="I34" s="430">
        <f t="shared" si="9"/>
        <v>137442.53</v>
      </c>
      <c r="K34" s="322">
        <f>'[4]Gross Plant'!$D122</f>
        <v>137442.53</v>
      </c>
      <c r="L34" s="466">
        <f t="shared" si="10"/>
        <v>1</v>
      </c>
      <c r="M34" s="466">
        <f t="shared" si="10"/>
        <v>1</v>
      </c>
      <c r="N34" s="430">
        <f t="shared" si="11"/>
        <v>137442.53</v>
      </c>
    </row>
    <row r="35" spans="1:14">
      <c r="A35" s="855">
        <f t="shared" si="1"/>
        <v>21</v>
      </c>
      <c r="B35" s="1039">
        <v>35200</v>
      </c>
      <c r="C35" s="88" t="s">
        <v>441</v>
      </c>
      <c r="D35" s="322">
        <f>'[4]Gross Plant'!$AF123</f>
        <v>8346911.0582668055</v>
      </c>
      <c r="E35" s="430">
        <v>0</v>
      </c>
      <c r="F35" s="430">
        <f t="shared" si="7"/>
        <v>8346911.0582668055</v>
      </c>
      <c r="G35" s="466">
        <f t="shared" si="8"/>
        <v>1</v>
      </c>
      <c r="H35" s="466">
        <f t="shared" si="8"/>
        <v>1</v>
      </c>
      <c r="I35" s="430">
        <f t="shared" si="9"/>
        <v>8346911.0582668055</v>
      </c>
      <c r="K35" s="322">
        <f>'[4]Gross Plant'!$D123</f>
        <v>8348395.5483970111</v>
      </c>
      <c r="L35" s="466">
        <f t="shared" si="10"/>
        <v>1</v>
      </c>
      <c r="M35" s="466">
        <f t="shared" si="10"/>
        <v>1</v>
      </c>
      <c r="N35" s="430">
        <f t="shared" si="11"/>
        <v>8348395.5483970111</v>
      </c>
    </row>
    <row r="36" spans="1:14">
      <c r="A36" s="855">
        <f t="shared" si="1"/>
        <v>22</v>
      </c>
      <c r="B36" s="1039">
        <v>35201</v>
      </c>
      <c r="C36" s="88" t="s">
        <v>587</v>
      </c>
      <c r="D36" s="322">
        <f>'[4]Gross Plant'!$AF124</f>
        <v>1699998.54</v>
      </c>
      <c r="E36" s="430">
        <v>0</v>
      </c>
      <c r="F36" s="430">
        <f t="shared" si="7"/>
        <v>1699998.54</v>
      </c>
      <c r="G36" s="466">
        <f t="shared" si="8"/>
        <v>1</v>
      </c>
      <c r="H36" s="466">
        <f t="shared" si="8"/>
        <v>1</v>
      </c>
      <c r="I36" s="430">
        <f t="shared" si="9"/>
        <v>1699998.54</v>
      </c>
      <c r="K36" s="322">
        <f>'[4]Gross Plant'!$D124</f>
        <v>1699998.5399999993</v>
      </c>
      <c r="L36" s="466">
        <f t="shared" si="10"/>
        <v>1</v>
      </c>
      <c r="M36" s="466">
        <f t="shared" si="10"/>
        <v>1</v>
      </c>
      <c r="N36" s="430">
        <f t="shared" si="11"/>
        <v>1699998.5399999993</v>
      </c>
    </row>
    <row r="37" spans="1:14">
      <c r="A37" s="855">
        <f t="shared" si="1"/>
        <v>23</v>
      </c>
      <c r="B37" s="1039">
        <v>35202</v>
      </c>
      <c r="C37" s="88" t="s">
        <v>588</v>
      </c>
      <c r="D37" s="322">
        <f>'[4]Gross Plant'!$AF125</f>
        <v>449309.06</v>
      </c>
      <c r="E37" s="430">
        <v>0</v>
      </c>
      <c r="F37" s="430">
        <f t="shared" si="7"/>
        <v>449309.06</v>
      </c>
      <c r="G37" s="466">
        <f t="shared" si="8"/>
        <v>1</v>
      </c>
      <c r="H37" s="466">
        <f t="shared" si="8"/>
        <v>1</v>
      </c>
      <c r="I37" s="430">
        <f t="shared" si="9"/>
        <v>449309.06</v>
      </c>
      <c r="K37" s="322">
        <f>'[4]Gross Plant'!$D125</f>
        <v>449309.05999999988</v>
      </c>
      <c r="L37" s="466">
        <f t="shared" si="10"/>
        <v>1</v>
      </c>
      <c r="M37" s="466">
        <f t="shared" si="10"/>
        <v>1</v>
      </c>
      <c r="N37" s="430">
        <f t="shared" si="11"/>
        <v>449309.05999999988</v>
      </c>
    </row>
    <row r="38" spans="1:14">
      <c r="A38" s="855">
        <f t="shared" si="1"/>
        <v>24</v>
      </c>
      <c r="B38" s="1039">
        <v>35203</v>
      </c>
      <c r="C38" s="88" t="s">
        <v>343</v>
      </c>
      <c r="D38" s="322">
        <f>'[4]Gross Plant'!$AF126</f>
        <v>1694832.96</v>
      </c>
      <c r="E38" s="430">
        <v>0</v>
      </c>
      <c r="F38" s="430">
        <f t="shared" si="7"/>
        <v>1694832.96</v>
      </c>
      <c r="G38" s="466">
        <f t="shared" si="8"/>
        <v>1</v>
      </c>
      <c r="H38" s="466">
        <f t="shared" si="8"/>
        <v>1</v>
      </c>
      <c r="I38" s="430">
        <f t="shared" si="9"/>
        <v>1694832.96</v>
      </c>
      <c r="K38" s="322">
        <f>'[4]Gross Plant'!$D126</f>
        <v>1694832.9600000007</v>
      </c>
      <c r="L38" s="466">
        <f t="shared" si="10"/>
        <v>1</v>
      </c>
      <c r="M38" s="466">
        <f t="shared" si="10"/>
        <v>1</v>
      </c>
      <c r="N38" s="430">
        <f t="shared" si="11"/>
        <v>1694832.9600000007</v>
      </c>
    </row>
    <row r="39" spans="1:14">
      <c r="A39" s="855">
        <f t="shared" si="1"/>
        <v>25</v>
      </c>
      <c r="B39" s="1039">
        <v>35210</v>
      </c>
      <c r="C39" s="88" t="s">
        <v>589</v>
      </c>
      <c r="D39" s="322">
        <f>'[4]Gross Plant'!$AF127</f>
        <v>178530.09</v>
      </c>
      <c r="E39" s="430">
        <v>0</v>
      </c>
      <c r="F39" s="430">
        <f t="shared" si="7"/>
        <v>178530.09</v>
      </c>
      <c r="G39" s="466">
        <f t="shared" si="8"/>
        <v>1</v>
      </c>
      <c r="H39" s="466">
        <f t="shared" si="8"/>
        <v>1</v>
      </c>
      <c r="I39" s="430">
        <f t="shared" si="9"/>
        <v>178530.09</v>
      </c>
      <c r="K39" s="322">
        <f>'[4]Gross Plant'!$D127</f>
        <v>178530.09000000003</v>
      </c>
      <c r="L39" s="466">
        <f t="shared" si="10"/>
        <v>1</v>
      </c>
      <c r="M39" s="466">
        <f t="shared" si="10"/>
        <v>1</v>
      </c>
      <c r="N39" s="430">
        <f t="shared" si="11"/>
        <v>178530.09000000003</v>
      </c>
    </row>
    <row r="40" spans="1:14">
      <c r="A40" s="855">
        <f t="shared" si="1"/>
        <v>26</v>
      </c>
      <c r="B40" s="1039">
        <v>35211</v>
      </c>
      <c r="C40" s="88" t="s">
        <v>590</v>
      </c>
      <c r="D40" s="322">
        <f>'[4]Gross Plant'!$AF128</f>
        <v>54614.27</v>
      </c>
      <c r="E40" s="430">
        <v>0</v>
      </c>
      <c r="F40" s="430">
        <f t="shared" si="7"/>
        <v>54614.27</v>
      </c>
      <c r="G40" s="466">
        <f t="shared" si="8"/>
        <v>1</v>
      </c>
      <c r="H40" s="466">
        <f t="shared" si="8"/>
        <v>1</v>
      </c>
      <c r="I40" s="430">
        <f t="shared" si="9"/>
        <v>54614.27</v>
      </c>
      <c r="K40" s="322">
        <f>'[4]Gross Plant'!$D128</f>
        <v>54614.270000000011</v>
      </c>
      <c r="L40" s="466">
        <f t="shared" si="10"/>
        <v>1</v>
      </c>
      <c r="M40" s="466">
        <f t="shared" si="10"/>
        <v>1</v>
      </c>
      <c r="N40" s="430">
        <f t="shared" si="11"/>
        <v>54614.270000000011</v>
      </c>
    </row>
    <row r="41" spans="1:14">
      <c r="A41" s="855">
        <f t="shared" si="1"/>
        <v>27</v>
      </c>
      <c r="B41" s="1039">
        <v>35301</v>
      </c>
      <c r="C41" s="81" t="s">
        <v>162</v>
      </c>
      <c r="D41" s="322">
        <f>'[4]Gross Plant'!$AF129</f>
        <v>175350.37</v>
      </c>
      <c r="E41" s="430">
        <v>0</v>
      </c>
      <c r="F41" s="430">
        <f t="shared" si="7"/>
        <v>175350.37</v>
      </c>
      <c r="G41" s="466">
        <f t="shared" si="8"/>
        <v>1</v>
      </c>
      <c r="H41" s="466">
        <f t="shared" si="8"/>
        <v>1</v>
      </c>
      <c r="I41" s="430">
        <f t="shared" si="9"/>
        <v>175350.37</v>
      </c>
      <c r="K41" s="322">
        <f>'[4]Gross Plant'!$D129</f>
        <v>175350.37000000005</v>
      </c>
      <c r="L41" s="466">
        <f t="shared" si="10"/>
        <v>1</v>
      </c>
      <c r="M41" s="466">
        <f t="shared" si="10"/>
        <v>1</v>
      </c>
      <c r="N41" s="430">
        <f t="shared" si="11"/>
        <v>175350.37000000005</v>
      </c>
    </row>
    <row r="42" spans="1:14">
      <c r="A42" s="855">
        <f t="shared" si="1"/>
        <v>28</v>
      </c>
      <c r="B42" s="1039">
        <v>35302</v>
      </c>
      <c r="C42" s="88" t="s">
        <v>596</v>
      </c>
      <c r="D42" s="322">
        <f>'[4]Gross Plant'!$AF130</f>
        <v>209318.9</v>
      </c>
      <c r="E42" s="430">
        <v>0</v>
      </c>
      <c r="F42" s="430">
        <f t="shared" si="7"/>
        <v>209318.9</v>
      </c>
      <c r="G42" s="466">
        <f t="shared" si="8"/>
        <v>1</v>
      </c>
      <c r="H42" s="466">
        <f t="shared" si="8"/>
        <v>1</v>
      </c>
      <c r="I42" s="430">
        <f t="shared" si="9"/>
        <v>209318.9</v>
      </c>
      <c r="K42" s="322">
        <f>'[4]Gross Plant'!$D130</f>
        <v>209318.89999999994</v>
      </c>
      <c r="L42" s="466">
        <f t="shared" si="10"/>
        <v>1</v>
      </c>
      <c r="M42" s="466">
        <f t="shared" si="10"/>
        <v>1</v>
      </c>
      <c r="N42" s="430">
        <f t="shared" si="11"/>
        <v>209318.89999999994</v>
      </c>
    </row>
    <row r="43" spans="1:14">
      <c r="A43" s="855">
        <f t="shared" si="1"/>
        <v>29</v>
      </c>
      <c r="B43" s="1039">
        <v>35400</v>
      </c>
      <c r="C43" s="88" t="s">
        <v>591</v>
      </c>
      <c r="D43" s="322">
        <f>'[4]Gross Plant'!$AF131</f>
        <v>923446.05</v>
      </c>
      <c r="E43" s="430">
        <v>0</v>
      </c>
      <c r="F43" s="430">
        <f t="shared" si="7"/>
        <v>923446.05</v>
      </c>
      <c r="G43" s="466">
        <f t="shared" si="8"/>
        <v>1</v>
      </c>
      <c r="H43" s="466">
        <f t="shared" si="8"/>
        <v>1</v>
      </c>
      <c r="I43" s="430">
        <f t="shared" si="9"/>
        <v>923446.05</v>
      </c>
      <c r="K43" s="322">
        <f>'[4]Gross Plant'!$D131</f>
        <v>923446.05000000016</v>
      </c>
      <c r="L43" s="466">
        <f t="shared" si="10"/>
        <v>1</v>
      </c>
      <c r="M43" s="466">
        <f t="shared" si="10"/>
        <v>1</v>
      </c>
      <c r="N43" s="430">
        <f t="shared" si="11"/>
        <v>923446.05000000016</v>
      </c>
    </row>
    <row r="44" spans="1:14">
      <c r="A44" s="855">
        <f t="shared" si="1"/>
        <v>30</v>
      </c>
      <c r="B44" s="1039">
        <v>35500</v>
      </c>
      <c r="C44" s="88" t="s">
        <v>992</v>
      </c>
      <c r="D44" s="322">
        <f>'[4]Gross Plant'!$AF132</f>
        <v>273084.38</v>
      </c>
      <c r="E44" s="430">
        <v>0</v>
      </c>
      <c r="F44" s="430">
        <f t="shared" si="7"/>
        <v>273084.38</v>
      </c>
      <c r="G44" s="466">
        <f t="shared" si="8"/>
        <v>1</v>
      </c>
      <c r="H44" s="466">
        <f t="shared" si="8"/>
        <v>1</v>
      </c>
      <c r="I44" s="430">
        <f t="shared" si="9"/>
        <v>273084.38</v>
      </c>
      <c r="K44" s="322">
        <f>'[4]Gross Plant'!$D132</f>
        <v>273084.37999999995</v>
      </c>
      <c r="L44" s="466">
        <f t="shared" si="10"/>
        <v>1</v>
      </c>
      <c r="M44" s="466">
        <f t="shared" si="10"/>
        <v>1</v>
      </c>
      <c r="N44" s="430">
        <f t="shared" si="11"/>
        <v>273084.37999999995</v>
      </c>
    </row>
    <row r="45" spans="1:14">
      <c r="A45" s="855">
        <f t="shared" si="1"/>
        <v>31</v>
      </c>
      <c r="B45" s="1039">
        <v>35600</v>
      </c>
      <c r="C45" s="88" t="s">
        <v>1040</v>
      </c>
      <c r="D45" s="322">
        <f>'[4]Gross Plant'!$AF133</f>
        <v>414663.45</v>
      </c>
      <c r="E45" s="1043">
        <v>0</v>
      </c>
      <c r="F45" s="1043">
        <f t="shared" si="7"/>
        <v>414663.45</v>
      </c>
      <c r="G45" s="466">
        <f t="shared" si="8"/>
        <v>1</v>
      </c>
      <c r="H45" s="466">
        <f t="shared" si="8"/>
        <v>1</v>
      </c>
      <c r="I45" s="1043">
        <f t="shared" si="9"/>
        <v>414663.45</v>
      </c>
      <c r="K45" s="322">
        <f>'[4]Gross Plant'!$D133</f>
        <v>414663.45000000013</v>
      </c>
      <c r="L45" s="466">
        <f t="shared" si="10"/>
        <v>1</v>
      </c>
      <c r="M45" s="466">
        <f t="shared" si="10"/>
        <v>1</v>
      </c>
      <c r="N45" s="1043">
        <f t="shared" si="11"/>
        <v>414663.45000000013</v>
      </c>
    </row>
    <row r="46" spans="1:14">
      <c r="A46" s="855">
        <f t="shared" si="1"/>
        <v>32</v>
      </c>
      <c r="B46" s="1041"/>
      <c r="C46" s="88"/>
      <c r="D46" s="619"/>
      <c r="G46" s="466"/>
      <c r="H46" s="466"/>
      <c r="K46" s="619"/>
    </row>
    <row r="47" spans="1:14">
      <c r="A47" s="855">
        <f t="shared" si="1"/>
        <v>33</v>
      </c>
      <c r="B47" s="1041"/>
      <c r="C47" s="88" t="s">
        <v>215</v>
      </c>
      <c r="D47" s="360">
        <f>SUM(D29:D46)</f>
        <v>15017625.798266804</v>
      </c>
      <c r="E47" s="346">
        <f>SUM(E29:E46)</f>
        <v>0</v>
      </c>
      <c r="F47" s="346">
        <f>SUM(F29:F46)</f>
        <v>15017625.798266804</v>
      </c>
      <c r="G47" s="466"/>
      <c r="H47" s="466"/>
      <c r="I47" s="346">
        <f>SUM(I29:I46)</f>
        <v>15017625.798266804</v>
      </c>
      <c r="K47" s="360">
        <f>SUM(K29:K46)</f>
        <v>15019110.288397012</v>
      </c>
      <c r="N47" s="360">
        <f>SUM(N29:N46)</f>
        <v>15019110.288397012</v>
      </c>
    </row>
    <row r="48" spans="1:14">
      <c r="A48" s="855">
        <f t="shared" si="1"/>
        <v>34</v>
      </c>
      <c r="B48" s="1041"/>
      <c r="C48" s="88"/>
      <c r="G48" s="466"/>
      <c r="H48" s="466"/>
    </row>
    <row r="49" spans="1:14">
      <c r="A49" s="855">
        <f t="shared" si="1"/>
        <v>35</v>
      </c>
      <c r="B49" s="1041"/>
      <c r="C49" s="620" t="s">
        <v>993</v>
      </c>
      <c r="G49" s="466"/>
      <c r="H49" s="466"/>
    </row>
    <row r="50" spans="1:14">
      <c r="A50" s="855">
        <f t="shared" si="1"/>
        <v>36</v>
      </c>
      <c r="B50" s="1039">
        <v>36510</v>
      </c>
      <c r="C50" s="88" t="s">
        <v>292</v>
      </c>
      <c r="D50" s="322">
        <f>'[4]Gross Plant'!$AF134</f>
        <v>26970.37</v>
      </c>
      <c r="E50" s="1040">
        <v>0</v>
      </c>
      <c r="F50" s="1040">
        <f t="shared" ref="F50:F58" si="12">D50+E50</f>
        <v>26970.37</v>
      </c>
      <c r="G50" s="466">
        <f t="shared" ref="G50:H58" si="13">$G$16</f>
        <v>1</v>
      </c>
      <c r="H50" s="466">
        <f t="shared" si="13"/>
        <v>1</v>
      </c>
      <c r="I50" s="360">
        <f t="shared" ref="I50:I58" si="14">F50*G50*H50</f>
        <v>26970.37</v>
      </c>
      <c r="K50" s="322">
        <f>'[4]Gross Plant'!$D134</f>
        <v>26970.37</v>
      </c>
      <c r="L50" s="466">
        <f t="shared" ref="L50:M58" si="15">$G$16</f>
        <v>1</v>
      </c>
      <c r="M50" s="466">
        <f t="shared" si="15"/>
        <v>1</v>
      </c>
      <c r="N50" s="1040">
        <f t="shared" ref="N50:N58" si="16">K50*L50*M50</f>
        <v>26970.37</v>
      </c>
    </row>
    <row r="51" spans="1:14">
      <c r="A51" s="855">
        <f t="shared" si="1"/>
        <v>37</v>
      </c>
      <c r="B51" s="1039">
        <v>36520</v>
      </c>
      <c r="C51" s="88" t="s">
        <v>792</v>
      </c>
      <c r="D51" s="322">
        <f>'[4]Gross Plant'!$AF135</f>
        <v>867772</v>
      </c>
      <c r="E51" s="430">
        <v>0</v>
      </c>
      <c r="F51" s="430">
        <f t="shared" si="12"/>
        <v>867772</v>
      </c>
      <c r="G51" s="466">
        <f t="shared" si="13"/>
        <v>1</v>
      </c>
      <c r="H51" s="466">
        <f t="shared" si="13"/>
        <v>1</v>
      </c>
      <c r="I51" s="430">
        <f t="shared" si="14"/>
        <v>867772</v>
      </c>
      <c r="K51" s="322">
        <f>'[4]Gross Plant'!$D135</f>
        <v>867772</v>
      </c>
      <c r="L51" s="466">
        <f t="shared" si="15"/>
        <v>1</v>
      </c>
      <c r="M51" s="466">
        <f t="shared" si="15"/>
        <v>1</v>
      </c>
      <c r="N51" s="430">
        <f t="shared" si="16"/>
        <v>867772</v>
      </c>
    </row>
    <row r="52" spans="1:14">
      <c r="A52" s="855">
        <f t="shared" si="1"/>
        <v>38</v>
      </c>
      <c r="B52" s="1039">
        <v>36602</v>
      </c>
      <c r="C52" s="88" t="s">
        <v>856</v>
      </c>
      <c r="D52" s="322">
        <f>'[4]Gross Plant'!$AF136</f>
        <v>49001.72</v>
      </c>
      <c r="E52" s="430">
        <v>0</v>
      </c>
      <c r="F52" s="430">
        <f t="shared" si="12"/>
        <v>49001.72</v>
      </c>
      <c r="G52" s="466">
        <f t="shared" si="13"/>
        <v>1</v>
      </c>
      <c r="H52" s="466">
        <f t="shared" si="13"/>
        <v>1</v>
      </c>
      <c r="I52" s="430">
        <f t="shared" si="14"/>
        <v>49001.72</v>
      </c>
      <c r="K52" s="322">
        <f>'[4]Gross Plant'!$D136</f>
        <v>49001.719999999987</v>
      </c>
      <c r="L52" s="466">
        <f t="shared" si="15"/>
        <v>1</v>
      </c>
      <c r="M52" s="466">
        <f t="shared" si="15"/>
        <v>1</v>
      </c>
      <c r="N52" s="430">
        <f t="shared" si="16"/>
        <v>49001.719999999987</v>
      </c>
    </row>
    <row r="53" spans="1:14">
      <c r="A53" s="855">
        <f t="shared" si="1"/>
        <v>39</v>
      </c>
      <c r="B53" s="1039">
        <v>36603</v>
      </c>
      <c r="C53" s="88" t="s">
        <v>994</v>
      </c>
      <c r="D53" s="322">
        <f>'[4]Gross Plant'!$AF137</f>
        <v>60826.29</v>
      </c>
      <c r="E53" s="430">
        <v>0</v>
      </c>
      <c r="F53" s="430">
        <f t="shared" si="12"/>
        <v>60826.29</v>
      </c>
      <c r="G53" s="466">
        <f t="shared" si="13"/>
        <v>1</v>
      </c>
      <c r="H53" s="466">
        <f t="shared" si="13"/>
        <v>1</v>
      </c>
      <c r="I53" s="430">
        <f t="shared" si="14"/>
        <v>60826.29</v>
      </c>
      <c r="K53" s="322">
        <f>'[4]Gross Plant'!$D137</f>
        <v>60826.290000000008</v>
      </c>
      <c r="L53" s="466">
        <f t="shared" si="15"/>
        <v>1</v>
      </c>
      <c r="M53" s="466">
        <f t="shared" si="15"/>
        <v>1</v>
      </c>
      <c r="N53" s="430">
        <f t="shared" si="16"/>
        <v>60826.290000000008</v>
      </c>
    </row>
    <row r="54" spans="1:14">
      <c r="A54" s="855">
        <f t="shared" si="1"/>
        <v>40</v>
      </c>
      <c r="B54" s="1039">
        <v>36700</v>
      </c>
      <c r="C54" s="88" t="s">
        <v>844</v>
      </c>
      <c r="D54" s="322">
        <f>'[4]Gross Plant'!$AF138</f>
        <v>139637.68</v>
      </c>
      <c r="E54" s="430">
        <v>0</v>
      </c>
      <c r="F54" s="430">
        <f t="shared" si="12"/>
        <v>139637.68</v>
      </c>
      <c r="G54" s="466">
        <f t="shared" si="13"/>
        <v>1</v>
      </c>
      <c r="H54" s="466">
        <f t="shared" si="13"/>
        <v>1</v>
      </c>
      <c r="I54" s="430">
        <f t="shared" si="14"/>
        <v>139637.68</v>
      </c>
      <c r="K54" s="322">
        <f>'[4]Gross Plant'!$D138</f>
        <v>139637.67999999996</v>
      </c>
      <c r="L54" s="466">
        <f t="shared" si="15"/>
        <v>1</v>
      </c>
      <c r="M54" s="466">
        <f t="shared" si="15"/>
        <v>1</v>
      </c>
      <c r="N54" s="430">
        <f t="shared" si="16"/>
        <v>139637.67999999996</v>
      </c>
    </row>
    <row r="55" spans="1:14">
      <c r="A55" s="855">
        <f t="shared" si="1"/>
        <v>41</v>
      </c>
      <c r="B55" s="1039">
        <v>36701</v>
      </c>
      <c r="C55" s="88" t="s">
        <v>16</v>
      </c>
      <c r="D55" s="322">
        <f>'[4]Gross Plant'!$AF139</f>
        <v>26859142.463646974</v>
      </c>
      <c r="E55" s="430">
        <v>0</v>
      </c>
      <c r="F55" s="430">
        <f t="shared" si="12"/>
        <v>26859142.463646974</v>
      </c>
      <c r="G55" s="466">
        <f t="shared" si="13"/>
        <v>1</v>
      </c>
      <c r="H55" s="466">
        <f t="shared" si="13"/>
        <v>1</v>
      </c>
      <c r="I55" s="430">
        <f t="shared" si="14"/>
        <v>26859142.463646974</v>
      </c>
      <c r="K55" s="322">
        <f>'[4]Gross Plant'!$D139</f>
        <v>27047830.765633367</v>
      </c>
      <c r="L55" s="466">
        <f t="shared" si="15"/>
        <v>1</v>
      </c>
      <c r="M55" s="466">
        <f t="shared" si="15"/>
        <v>1</v>
      </c>
      <c r="N55" s="430">
        <f t="shared" si="16"/>
        <v>27047830.765633367</v>
      </c>
    </row>
    <row r="56" spans="1:14">
      <c r="A56" s="1153">
        <f t="shared" si="1"/>
        <v>42</v>
      </c>
      <c r="B56" s="1039">
        <v>36703</v>
      </c>
      <c r="C56" s="233" t="s">
        <v>1666</v>
      </c>
      <c r="D56" s="322">
        <f>'[4]Gross Plant'!$AF140</f>
        <v>0</v>
      </c>
      <c r="E56" s="430">
        <v>0</v>
      </c>
      <c r="F56" s="430">
        <f t="shared" ref="F56" si="17">D56+E56</f>
        <v>0</v>
      </c>
      <c r="G56" s="466">
        <f t="shared" si="13"/>
        <v>1</v>
      </c>
      <c r="H56" s="466">
        <f t="shared" si="13"/>
        <v>1</v>
      </c>
      <c r="I56" s="430">
        <f t="shared" ref="I56" si="18">F56*G56*H56</f>
        <v>0</v>
      </c>
      <c r="K56" s="322">
        <f>'[4]Gross Plant'!$D140</f>
        <v>0</v>
      </c>
      <c r="L56" s="466">
        <f t="shared" si="15"/>
        <v>1</v>
      </c>
      <c r="M56" s="466">
        <f t="shared" si="15"/>
        <v>1</v>
      </c>
      <c r="N56" s="430">
        <f t="shared" ref="N56" si="19">K56*L56*M56</f>
        <v>0</v>
      </c>
    </row>
    <row r="57" spans="1:14">
      <c r="A57" s="1153">
        <f t="shared" si="1"/>
        <v>43</v>
      </c>
      <c r="B57" s="1039">
        <v>36900</v>
      </c>
      <c r="C57" s="88" t="s">
        <v>995</v>
      </c>
      <c r="D57" s="322">
        <f>'[4]Gross Plant'!$AF141</f>
        <v>731466.64</v>
      </c>
      <c r="E57" s="430">
        <v>0</v>
      </c>
      <c r="F57" s="430">
        <f t="shared" si="12"/>
        <v>731466.64</v>
      </c>
      <c r="G57" s="466">
        <f t="shared" si="13"/>
        <v>1</v>
      </c>
      <c r="H57" s="466">
        <f t="shared" si="13"/>
        <v>1</v>
      </c>
      <c r="I57" s="430">
        <f t="shared" si="14"/>
        <v>731466.64</v>
      </c>
      <c r="K57" s="322">
        <f>'[4]Gross Plant'!$D141</f>
        <v>731466.6399999999</v>
      </c>
      <c r="L57" s="466">
        <f t="shared" si="15"/>
        <v>1</v>
      </c>
      <c r="M57" s="466">
        <f t="shared" si="15"/>
        <v>1</v>
      </c>
      <c r="N57" s="430">
        <f t="shared" si="16"/>
        <v>731466.6399999999</v>
      </c>
    </row>
    <row r="58" spans="1:14">
      <c r="A58" s="1153">
        <f t="shared" si="1"/>
        <v>44</v>
      </c>
      <c r="B58" s="1039">
        <v>36901</v>
      </c>
      <c r="C58" s="88" t="s">
        <v>995</v>
      </c>
      <c r="D58" s="322">
        <f>'[4]Gross Plant'!$AF142</f>
        <v>2269555.91</v>
      </c>
      <c r="E58" s="1043">
        <v>0</v>
      </c>
      <c r="F58" s="1043">
        <f t="shared" si="12"/>
        <v>2269555.91</v>
      </c>
      <c r="G58" s="466">
        <f t="shared" si="13"/>
        <v>1</v>
      </c>
      <c r="H58" s="466">
        <f t="shared" si="13"/>
        <v>1</v>
      </c>
      <c r="I58" s="1043">
        <f t="shared" si="14"/>
        <v>2269555.91</v>
      </c>
      <c r="K58" s="322">
        <f>'[4]Gross Plant'!$D142</f>
        <v>2269555.91</v>
      </c>
      <c r="L58" s="466">
        <f t="shared" si="15"/>
        <v>1</v>
      </c>
      <c r="M58" s="466">
        <f t="shared" si="15"/>
        <v>1</v>
      </c>
      <c r="N58" s="1043">
        <f t="shared" si="16"/>
        <v>2269555.91</v>
      </c>
    </row>
    <row r="59" spans="1:14">
      <c r="A59" s="1153">
        <f t="shared" si="1"/>
        <v>45</v>
      </c>
      <c r="B59" s="1041"/>
      <c r="C59" s="88"/>
      <c r="D59" s="619"/>
      <c r="G59" s="466"/>
      <c r="H59" s="466"/>
      <c r="K59" s="619"/>
    </row>
    <row r="60" spans="1:14">
      <c r="A60" s="1153">
        <f t="shared" si="1"/>
        <v>46</v>
      </c>
      <c r="B60" s="1041"/>
      <c r="C60" s="88" t="s">
        <v>1352</v>
      </c>
      <c r="D60" s="360">
        <f>SUM(D50:D59)</f>
        <v>31004373.073646974</v>
      </c>
      <c r="E60" s="346">
        <f>SUM(E50:E59)</f>
        <v>0</v>
      </c>
      <c r="F60" s="360">
        <f>SUM(F50:F59)</f>
        <v>31004373.073646974</v>
      </c>
      <c r="G60" s="466"/>
      <c r="H60" s="466"/>
      <c r="I60" s="360">
        <f>SUM(I50:I59)</f>
        <v>31004373.073646974</v>
      </c>
      <c r="K60" s="360">
        <f>SUM(K50:K59)</f>
        <v>31193061.375633366</v>
      </c>
      <c r="N60" s="360">
        <f>SUM(N50:N59)</f>
        <v>31193061.375633366</v>
      </c>
    </row>
    <row r="61" spans="1:14">
      <c r="A61" s="1153">
        <f t="shared" si="1"/>
        <v>47</v>
      </c>
      <c r="B61" s="1041"/>
      <c r="C61" s="81"/>
      <c r="G61" s="466"/>
      <c r="H61" s="466"/>
    </row>
    <row r="62" spans="1:14">
      <c r="A62" s="1153">
        <f t="shared" si="1"/>
        <v>48</v>
      </c>
      <c r="B62" s="1041"/>
      <c r="C62" s="620" t="s">
        <v>299</v>
      </c>
      <c r="G62" s="466"/>
      <c r="H62" s="466"/>
    </row>
    <row r="63" spans="1:14">
      <c r="A63" s="1153">
        <f t="shared" si="1"/>
        <v>49</v>
      </c>
      <c r="B63" s="1039">
        <v>37400</v>
      </c>
      <c r="C63" s="88" t="s">
        <v>1147</v>
      </c>
      <c r="D63" s="322">
        <f>'[4]Gross Plant'!$AF143</f>
        <v>531166.79</v>
      </c>
      <c r="E63" s="1040">
        <v>0</v>
      </c>
      <c r="F63" s="1040">
        <f t="shared" ref="F63:F84" si="20">D63+E63</f>
        <v>531166.79</v>
      </c>
      <c r="G63" s="466">
        <f t="shared" ref="G63:H84" si="21">$G$16</f>
        <v>1</v>
      </c>
      <c r="H63" s="466">
        <f t="shared" si="21"/>
        <v>1</v>
      </c>
      <c r="I63" s="360">
        <f t="shared" ref="I63:I84" si="22">F63*G63*H63</f>
        <v>531166.79</v>
      </c>
      <c r="K63" s="322">
        <f>'[4]Gross Plant'!$D143</f>
        <v>531166.79</v>
      </c>
      <c r="L63" s="466">
        <f t="shared" ref="L63:M84" si="23">$G$16</f>
        <v>1</v>
      </c>
      <c r="M63" s="466">
        <f t="shared" si="23"/>
        <v>1</v>
      </c>
      <c r="N63" s="1040">
        <f t="shared" ref="N63:N84" si="24">K63*L63*M63</f>
        <v>531166.79</v>
      </c>
    </row>
    <row r="64" spans="1:14">
      <c r="A64" s="1153">
        <f t="shared" si="1"/>
        <v>50</v>
      </c>
      <c r="B64" s="1039">
        <v>37401</v>
      </c>
      <c r="C64" s="88" t="s">
        <v>292</v>
      </c>
      <c r="D64" s="322">
        <f>'[4]Gross Plant'!$AF144</f>
        <v>37326.42</v>
      </c>
      <c r="E64" s="430">
        <v>0</v>
      </c>
      <c r="F64" s="430">
        <f t="shared" si="20"/>
        <v>37326.42</v>
      </c>
      <c r="G64" s="466">
        <f t="shared" si="21"/>
        <v>1</v>
      </c>
      <c r="H64" s="466">
        <f t="shared" si="21"/>
        <v>1</v>
      </c>
      <c r="I64" s="430">
        <f t="shared" si="22"/>
        <v>37326.42</v>
      </c>
      <c r="K64" s="322">
        <f>'[4]Gross Plant'!$D144</f>
        <v>37326.419999999991</v>
      </c>
      <c r="L64" s="466">
        <f t="shared" si="23"/>
        <v>1</v>
      </c>
      <c r="M64" s="466">
        <f t="shared" si="23"/>
        <v>1</v>
      </c>
      <c r="N64" s="430">
        <f t="shared" si="24"/>
        <v>37326.419999999991</v>
      </c>
    </row>
    <row r="65" spans="1:14">
      <c r="A65" s="1153">
        <f t="shared" si="1"/>
        <v>51</v>
      </c>
      <c r="B65" s="1039">
        <v>37402</v>
      </c>
      <c r="C65" s="88" t="s">
        <v>999</v>
      </c>
      <c r="D65" s="322">
        <f>'[4]Gross Plant'!$AF145</f>
        <v>3952285.5054217158</v>
      </c>
      <c r="E65" s="430">
        <v>0</v>
      </c>
      <c r="F65" s="430">
        <f t="shared" si="20"/>
        <v>3952285.5054217158</v>
      </c>
      <c r="G65" s="466">
        <f t="shared" si="21"/>
        <v>1</v>
      </c>
      <c r="H65" s="466">
        <f t="shared" si="21"/>
        <v>1</v>
      </c>
      <c r="I65" s="430">
        <f t="shared" si="22"/>
        <v>3952285.5054217158</v>
      </c>
      <c r="K65" s="322">
        <f>'[4]Gross Plant'!$D145</f>
        <v>3645748.7823199756</v>
      </c>
      <c r="L65" s="466">
        <f t="shared" si="23"/>
        <v>1</v>
      </c>
      <c r="M65" s="466">
        <f t="shared" si="23"/>
        <v>1</v>
      </c>
      <c r="N65" s="430">
        <f t="shared" si="24"/>
        <v>3645748.7823199756</v>
      </c>
    </row>
    <row r="66" spans="1:14">
      <c r="A66" s="1153">
        <f t="shared" si="1"/>
        <v>52</v>
      </c>
      <c r="B66" s="1039">
        <v>37403</v>
      </c>
      <c r="C66" s="88" t="s">
        <v>996</v>
      </c>
      <c r="D66" s="322">
        <f>'[4]Gross Plant'!$AF146</f>
        <v>2783.89</v>
      </c>
      <c r="E66" s="430">
        <v>0</v>
      </c>
      <c r="F66" s="430">
        <f t="shared" si="20"/>
        <v>2783.89</v>
      </c>
      <c r="G66" s="466">
        <f t="shared" si="21"/>
        <v>1</v>
      </c>
      <c r="H66" s="466">
        <f t="shared" si="21"/>
        <v>1</v>
      </c>
      <c r="I66" s="430">
        <f t="shared" si="22"/>
        <v>2783.89</v>
      </c>
      <c r="K66" s="322">
        <f>'[4]Gross Plant'!$D146</f>
        <v>2783.89</v>
      </c>
      <c r="L66" s="466">
        <f t="shared" si="23"/>
        <v>1</v>
      </c>
      <c r="M66" s="466">
        <f t="shared" si="23"/>
        <v>1</v>
      </c>
      <c r="N66" s="430">
        <f t="shared" si="24"/>
        <v>2783.89</v>
      </c>
    </row>
    <row r="67" spans="1:14">
      <c r="A67" s="1153">
        <f t="shared" si="1"/>
        <v>53</v>
      </c>
      <c r="B67" s="1039">
        <v>37500</v>
      </c>
      <c r="C67" s="88" t="s">
        <v>856</v>
      </c>
      <c r="D67" s="322">
        <f>'[4]Gross Plant'!$AF147</f>
        <v>336167.54</v>
      </c>
      <c r="E67" s="430">
        <v>0</v>
      </c>
      <c r="F67" s="430">
        <f t="shared" si="20"/>
        <v>336167.54</v>
      </c>
      <c r="G67" s="466">
        <f t="shared" si="21"/>
        <v>1</v>
      </c>
      <c r="H67" s="466">
        <f t="shared" si="21"/>
        <v>1</v>
      </c>
      <c r="I67" s="430">
        <f t="shared" si="22"/>
        <v>336167.54</v>
      </c>
      <c r="K67" s="322">
        <f>'[4]Gross Plant'!$D147</f>
        <v>336167.54</v>
      </c>
      <c r="L67" s="466">
        <f t="shared" si="23"/>
        <v>1</v>
      </c>
      <c r="M67" s="466">
        <f t="shared" si="23"/>
        <v>1</v>
      </c>
      <c r="N67" s="430">
        <f t="shared" si="24"/>
        <v>336167.54</v>
      </c>
    </row>
    <row r="68" spans="1:14">
      <c r="A68" s="1153">
        <f t="shared" si="1"/>
        <v>54</v>
      </c>
      <c r="B68" s="1039">
        <v>37501</v>
      </c>
      <c r="C68" s="88" t="s">
        <v>997</v>
      </c>
      <c r="D68" s="322">
        <f>'[4]Gross Plant'!$AF148</f>
        <v>99818.13</v>
      </c>
      <c r="E68" s="430">
        <v>0</v>
      </c>
      <c r="F68" s="430">
        <f t="shared" si="20"/>
        <v>99818.13</v>
      </c>
      <c r="G68" s="466">
        <f t="shared" si="21"/>
        <v>1</v>
      </c>
      <c r="H68" s="466">
        <f t="shared" si="21"/>
        <v>1</v>
      </c>
      <c r="I68" s="430">
        <f t="shared" si="22"/>
        <v>99818.13</v>
      </c>
      <c r="K68" s="322">
        <f>'[4]Gross Plant'!$D148</f>
        <v>99818.12999999999</v>
      </c>
      <c r="L68" s="466">
        <f t="shared" si="23"/>
        <v>1</v>
      </c>
      <c r="M68" s="466">
        <f t="shared" si="23"/>
        <v>1</v>
      </c>
      <c r="N68" s="430">
        <f t="shared" si="24"/>
        <v>99818.12999999999</v>
      </c>
    </row>
    <row r="69" spans="1:14">
      <c r="A69" s="1153">
        <f t="shared" si="1"/>
        <v>55</v>
      </c>
      <c r="B69" s="1039">
        <v>37502</v>
      </c>
      <c r="C69" s="88" t="s">
        <v>999</v>
      </c>
      <c r="D69" s="322">
        <f>'[4]Gross Plant'!$AF149</f>
        <v>46264.19</v>
      </c>
      <c r="E69" s="430">
        <v>0</v>
      </c>
      <c r="F69" s="430">
        <f t="shared" si="20"/>
        <v>46264.19</v>
      </c>
      <c r="G69" s="466">
        <f t="shared" si="21"/>
        <v>1</v>
      </c>
      <c r="H69" s="466">
        <f t="shared" si="21"/>
        <v>1</v>
      </c>
      <c r="I69" s="430">
        <f t="shared" si="22"/>
        <v>46264.19</v>
      </c>
      <c r="K69" s="322">
        <f>'[4]Gross Plant'!$D149</f>
        <v>46264.189999999995</v>
      </c>
      <c r="L69" s="466">
        <f t="shared" si="23"/>
        <v>1</v>
      </c>
      <c r="M69" s="466">
        <f t="shared" si="23"/>
        <v>1</v>
      </c>
      <c r="N69" s="430">
        <f t="shared" si="24"/>
        <v>46264.189999999995</v>
      </c>
    </row>
    <row r="70" spans="1:14">
      <c r="A70" s="1153">
        <f t="shared" si="1"/>
        <v>56</v>
      </c>
      <c r="B70" s="1039">
        <v>37503</v>
      </c>
      <c r="C70" s="88" t="s">
        <v>998</v>
      </c>
      <c r="D70" s="322">
        <f>'[4]Gross Plant'!$AF150</f>
        <v>4005.08</v>
      </c>
      <c r="E70" s="430">
        <v>0</v>
      </c>
      <c r="F70" s="430">
        <f t="shared" si="20"/>
        <v>4005.08</v>
      </c>
      <c r="G70" s="466">
        <f t="shared" si="21"/>
        <v>1</v>
      </c>
      <c r="H70" s="466">
        <f t="shared" si="21"/>
        <v>1</v>
      </c>
      <c r="I70" s="430">
        <f t="shared" si="22"/>
        <v>4005.08</v>
      </c>
      <c r="K70" s="322">
        <f>'[4]Gross Plant'!$D150</f>
        <v>4005.0800000000013</v>
      </c>
      <c r="L70" s="466">
        <f t="shared" si="23"/>
        <v>1</v>
      </c>
      <c r="M70" s="466">
        <f t="shared" si="23"/>
        <v>1</v>
      </c>
      <c r="N70" s="430">
        <f t="shared" si="24"/>
        <v>4005.0800000000013</v>
      </c>
    </row>
    <row r="71" spans="1:14">
      <c r="A71" s="1153">
        <f t="shared" si="1"/>
        <v>57</v>
      </c>
      <c r="B71" s="1039">
        <v>37600</v>
      </c>
      <c r="C71" s="88" t="s">
        <v>844</v>
      </c>
      <c r="D71" s="322">
        <f>'[4]Gross Plant'!$AF151</f>
        <v>20494641.494669665</v>
      </c>
      <c r="E71" s="430">
        <v>0</v>
      </c>
      <c r="F71" s="430">
        <f t="shared" si="20"/>
        <v>20494641.494669665</v>
      </c>
      <c r="G71" s="466">
        <f t="shared" si="21"/>
        <v>1</v>
      </c>
      <c r="H71" s="466">
        <f t="shared" si="21"/>
        <v>1</v>
      </c>
      <c r="I71" s="430">
        <f t="shared" si="22"/>
        <v>20494641.494669665</v>
      </c>
      <c r="K71" s="322">
        <f>'[4]Gross Plant'!$D151</f>
        <v>20611541.356392864</v>
      </c>
      <c r="L71" s="466">
        <f t="shared" si="23"/>
        <v>1</v>
      </c>
      <c r="M71" s="466">
        <f t="shared" si="23"/>
        <v>1</v>
      </c>
      <c r="N71" s="430">
        <f t="shared" si="24"/>
        <v>20611541.356392864</v>
      </c>
    </row>
    <row r="72" spans="1:14">
      <c r="A72" s="1153">
        <f t="shared" si="1"/>
        <v>58</v>
      </c>
      <c r="B72" s="1039">
        <v>37601</v>
      </c>
      <c r="C72" s="88" t="s">
        <v>16</v>
      </c>
      <c r="D72" s="322">
        <f>'[4]Gross Plant'!$AF152</f>
        <v>185677812.81167099</v>
      </c>
      <c r="E72" s="430">
        <v>0</v>
      </c>
      <c r="F72" s="430">
        <f t="shared" si="20"/>
        <v>185677812.81167099</v>
      </c>
      <c r="G72" s="466">
        <f t="shared" si="21"/>
        <v>1</v>
      </c>
      <c r="H72" s="466">
        <f t="shared" si="21"/>
        <v>1</v>
      </c>
      <c r="I72" s="430">
        <f t="shared" si="22"/>
        <v>185677812.81167099</v>
      </c>
      <c r="K72" s="322">
        <f>'[4]Gross Plant'!$D152</f>
        <v>176025498.32535535</v>
      </c>
      <c r="L72" s="466">
        <f t="shared" si="23"/>
        <v>1</v>
      </c>
      <c r="M72" s="466">
        <f t="shared" si="23"/>
        <v>1</v>
      </c>
      <c r="N72" s="430">
        <f t="shared" si="24"/>
        <v>176025498.32535535</v>
      </c>
    </row>
    <row r="73" spans="1:14">
      <c r="A73" s="1153">
        <f t="shared" si="1"/>
        <v>59</v>
      </c>
      <c r="B73" s="1039">
        <v>37602</v>
      </c>
      <c r="C73" s="88" t="s">
        <v>845</v>
      </c>
      <c r="D73" s="322">
        <f>'[4]Gross Plant'!$AF153</f>
        <v>142406508.50896525</v>
      </c>
      <c r="E73" s="430">
        <v>0</v>
      </c>
      <c r="F73" s="430">
        <f t="shared" si="20"/>
        <v>142406508.50896525</v>
      </c>
      <c r="G73" s="466">
        <f t="shared" si="21"/>
        <v>1</v>
      </c>
      <c r="H73" s="466">
        <f t="shared" si="21"/>
        <v>1</v>
      </c>
      <c r="I73" s="430">
        <f t="shared" si="22"/>
        <v>142406508.50896525</v>
      </c>
      <c r="K73" s="322">
        <f>'[4]Gross Plant'!$D153</f>
        <v>133261909.89236718</v>
      </c>
      <c r="L73" s="466">
        <f t="shared" si="23"/>
        <v>1</v>
      </c>
      <c r="M73" s="466">
        <f t="shared" si="23"/>
        <v>1</v>
      </c>
      <c r="N73" s="430">
        <f t="shared" si="24"/>
        <v>133261909.89236718</v>
      </c>
    </row>
    <row r="74" spans="1:14">
      <c r="A74" s="1153">
        <f t="shared" si="1"/>
        <v>60</v>
      </c>
      <c r="B74" s="1039">
        <v>37603</v>
      </c>
      <c r="C74" s="233" t="s">
        <v>1666</v>
      </c>
      <c r="D74" s="322">
        <f>'[4]Gross Plant'!$AF154</f>
        <v>0</v>
      </c>
      <c r="E74" s="430">
        <v>0</v>
      </c>
      <c r="F74" s="430">
        <f t="shared" ref="F74:F75" si="25">D74+E74</f>
        <v>0</v>
      </c>
      <c r="G74" s="466">
        <f t="shared" si="21"/>
        <v>1</v>
      </c>
      <c r="H74" s="466">
        <f t="shared" si="21"/>
        <v>1</v>
      </c>
      <c r="I74" s="430">
        <f t="shared" ref="I74:I75" si="26">F74*G74*H74</f>
        <v>0</v>
      </c>
      <c r="K74" s="322">
        <f>'[4]Gross Plant'!$D154</f>
        <v>0</v>
      </c>
      <c r="L74" s="466">
        <f t="shared" si="23"/>
        <v>1</v>
      </c>
      <c r="M74" s="466">
        <f t="shared" si="23"/>
        <v>1</v>
      </c>
      <c r="N74" s="430">
        <f t="shared" ref="N74:N75" si="27">K74*L74*M74</f>
        <v>0</v>
      </c>
    </row>
    <row r="75" spans="1:14">
      <c r="A75" s="1153">
        <f t="shared" si="1"/>
        <v>61</v>
      </c>
      <c r="B75" s="1039">
        <v>37604</v>
      </c>
      <c r="C75" s="233" t="s">
        <v>1667</v>
      </c>
      <c r="D75" s="322">
        <f>'[4]Gross Plant'!$AF155</f>
        <v>0</v>
      </c>
      <c r="E75" s="430">
        <v>0</v>
      </c>
      <c r="F75" s="430">
        <f t="shared" si="25"/>
        <v>0</v>
      </c>
      <c r="G75" s="466">
        <f t="shared" si="21"/>
        <v>1</v>
      </c>
      <c r="H75" s="466">
        <f t="shared" si="21"/>
        <v>1</v>
      </c>
      <c r="I75" s="430">
        <f t="shared" si="26"/>
        <v>0</v>
      </c>
      <c r="K75" s="322">
        <f>'[4]Gross Plant'!$D155</f>
        <v>0</v>
      </c>
      <c r="L75" s="466">
        <f t="shared" si="23"/>
        <v>1</v>
      </c>
      <c r="M75" s="466">
        <f t="shared" si="23"/>
        <v>1</v>
      </c>
      <c r="N75" s="430">
        <f t="shared" si="27"/>
        <v>0</v>
      </c>
    </row>
    <row r="76" spans="1:14">
      <c r="A76" s="1153">
        <f t="shared" si="1"/>
        <v>62</v>
      </c>
      <c r="B76" s="1039">
        <v>37800</v>
      </c>
      <c r="C76" s="88" t="s">
        <v>229</v>
      </c>
      <c r="D76" s="322">
        <f>'[4]Gross Plant'!$AF156</f>
        <v>35505787.348374337</v>
      </c>
      <c r="E76" s="430">
        <v>0</v>
      </c>
      <c r="F76" s="430">
        <f t="shared" si="20"/>
        <v>35505787.348374337</v>
      </c>
      <c r="G76" s="466">
        <f t="shared" si="21"/>
        <v>1</v>
      </c>
      <c r="H76" s="466">
        <f t="shared" si="21"/>
        <v>1</v>
      </c>
      <c r="I76" s="430">
        <f t="shared" si="22"/>
        <v>35505787.348374337</v>
      </c>
      <c r="K76" s="322">
        <f>'[4]Gross Plant'!$D156</f>
        <v>29911912.984866656</v>
      </c>
      <c r="L76" s="466">
        <f t="shared" si="23"/>
        <v>1</v>
      </c>
      <c r="M76" s="466">
        <f t="shared" si="23"/>
        <v>1</v>
      </c>
      <c r="N76" s="430">
        <f t="shared" si="24"/>
        <v>29911912.984866656</v>
      </c>
    </row>
    <row r="77" spans="1:14">
      <c r="A77" s="1153">
        <f t="shared" si="1"/>
        <v>63</v>
      </c>
      <c r="B77" s="1039">
        <v>37900</v>
      </c>
      <c r="C77" s="88" t="s">
        <v>1190</v>
      </c>
      <c r="D77" s="322">
        <f>'[4]Gross Plant'!$AF157</f>
        <v>5504544.809806155</v>
      </c>
      <c r="E77" s="430">
        <v>0</v>
      </c>
      <c r="F77" s="430">
        <f t="shared" si="20"/>
        <v>5504544.809806155</v>
      </c>
      <c r="G77" s="466">
        <f t="shared" si="21"/>
        <v>1</v>
      </c>
      <c r="H77" s="466">
        <f t="shared" si="21"/>
        <v>1</v>
      </c>
      <c r="I77" s="430">
        <f t="shared" si="22"/>
        <v>5504544.809806155</v>
      </c>
      <c r="K77" s="322">
        <f>'[4]Gross Plant'!$D157</f>
        <v>5126031.8073734026</v>
      </c>
      <c r="L77" s="466">
        <f t="shared" si="23"/>
        <v>1</v>
      </c>
      <c r="M77" s="466">
        <f t="shared" si="23"/>
        <v>1</v>
      </c>
      <c r="N77" s="430">
        <f t="shared" si="24"/>
        <v>5126031.8073734026</v>
      </c>
    </row>
    <row r="78" spans="1:14">
      <c r="A78" s="1153">
        <f t="shared" si="1"/>
        <v>64</v>
      </c>
      <c r="B78" s="1039">
        <v>37905</v>
      </c>
      <c r="C78" s="88" t="s">
        <v>725</v>
      </c>
      <c r="D78" s="322">
        <f>'[4]Gross Plant'!$AF158</f>
        <v>1652258.54</v>
      </c>
      <c r="E78" s="430">
        <v>0</v>
      </c>
      <c r="F78" s="430">
        <f t="shared" si="20"/>
        <v>1652258.54</v>
      </c>
      <c r="G78" s="466">
        <f t="shared" si="21"/>
        <v>1</v>
      </c>
      <c r="H78" s="466">
        <f t="shared" si="21"/>
        <v>1</v>
      </c>
      <c r="I78" s="430">
        <f t="shared" si="22"/>
        <v>1652258.54</v>
      </c>
      <c r="K78" s="322">
        <f>'[4]Gross Plant'!$D158</f>
        <v>1652258.5399999996</v>
      </c>
      <c r="L78" s="466">
        <f t="shared" si="23"/>
        <v>1</v>
      </c>
      <c r="M78" s="466">
        <f t="shared" si="23"/>
        <v>1</v>
      </c>
      <c r="N78" s="430">
        <f t="shared" si="24"/>
        <v>1652258.5399999996</v>
      </c>
    </row>
    <row r="79" spans="1:14">
      <c r="A79" s="1153">
        <f t="shared" si="1"/>
        <v>65</v>
      </c>
      <c r="B79" s="1039">
        <v>38000</v>
      </c>
      <c r="C79" s="88" t="s">
        <v>1052</v>
      </c>
      <c r="D79" s="322">
        <f>'[4]Gross Plant'!$AF159</f>
        <v>159839171.91461176</v>
      </c>
      <c r="E79" s="430">
        <v>0</v>
      </c>
      <c r="F79" s="430">
        <f t="shared" si="20"/>
        <v>159839171.91461176</v>
      </c>
      <c r="G79" s="466">
        <f t="shared" si="21"/>
        <v>1</v>
      </c>
      <c r="H79" s="466">
        <f t="shared" si="21"/>
        <v>1</v>
      </c>
      <c r="I79" s="430">
        <f t="shared" si="22"/>
        <v>159839171.91461176</v>
      </c>
      <c r="K79" s="322">
        <f>'[4]Gross Plant'!$D159</f>
        <v>150274437.13210142</v>
      </c>
      <c r="L79" s="466">
        <f t="shared" si="23"/>
        <v>1</v>
      </c>
      <c r="M79" s="466">
        <f t="shared" si="23"/>
        <v>1</v>
      </c>
      <c r="N79" s="430">
        <f t="shared" si="24"/>
        <v>150274437.13210142</v>
      </c>
    </row>
    <row r="80" spans="1:14">
      <c r="A80" s="1153">
        <f t="shared" si="1"/>
        <v>66</v>
      </c>
      <c r="B80" s="1039">
        <v>38100</v>
      </c>
      <c r="C80" s="88" t="s">
        <v>846</v>
      </c>
      <c r="D80" s="322">
        <f>'[4]Gross Plant'!$AF160</f>
        <v>40873233.244704925</v>
      </c>
      <c r="E80" s="430">
        <v>0</v>
      </c>
      <c r="F80" s="430">
        <f t="shared" si="20"/>
        <v>40873233.244704925</v>
      </c>
      <c r="G80" s="466">
        <f t="shared" si="21"/>
        <v>1</v>
      </c>
      <c r="H80" s="466">
        <f t="shared" si="21"/>
        <v>1</v>
      </c>
      <c r="I80" s="430">
        <f t="shared" si="22"/>
        <v>40873233.244704925</v>
      </c>
      <c r="K80" s="322">
        <f>'[4]Gross Plant'!$D160</f>
        <v>38722014.899853833</v>
      </c>
      <c r="L80" s="466">
        <f t="shared" si="23"/>
        <v>1</v>
      </c>
      <c r="M80" s="466">
        <f t="shared" si="23"/>
        <v>1</v>
      </c>
      <c r="N80" s="430">
        <f t="shared" si="24"/>
        <v>38722014.899853833</v>
      </c>
    </row>
    <row r="81" spans="1:14">
      <c r="A81" s="1153">
        <f t="shared" si="1"/>
        <v>67</v>
      </c>
      <c r="B81" s="1039">
        <v>38200</v>
      </c>
      <c r="C81" s="88" t="s">
        <v>442</v>
      </c>
      <c r="D81" s="322">
        <f>'[4]Gross Plant'!$AF161</f>
        <v>57594641.088073432</v>
      </c>
      <c r="E81" s="430">
        <v>0</v>
      </c>
      <c r="F81" s="430">
        <f t="shared" si="20"/>
        <v>57594641.088073432</v>
      </c>
      <c r="G81" s="466">
        <f t="shared" si="21"/>
        <v>1</v>
      </c>
      <c r="H81" s="466">
        <f t="shared" si="21"/>
        <v>1</v>
      </c>
      <c r="I81" s="430">
        <f t="shared" si="22"/>
        <v>57594641.088073432</v>
      </c>
      <c r="K81" s="322">
        <f>'[4]Gross Plant'!$D161</f>
        <v>57067155.487784423</v>
      </c>
      <c r="L81" s="466">
        <f t="shared" si="23"/>
        <v>1</v>
      </c>
      <c r="M81" s="466">
        <f t="shared" si="23"/>
        <v>1</v>
      </c>
      <c r="N81" s="430">
        <f t="shared" si="24"/>
        <v>57067155.487784423</v>
      </c>
    </row>
    <row r="82" spans="1:14">
      <c r="A82" s="1153">
        <f t="shared" si="1"/>
        <v>68</v>
      </c>
      <c r="B82" s="1039">
        <v>38300</v>
      </c>
      <c r="C82" s="88" t="s">
        <v>1053</v>
      </c>
      <c r="D82" s="322">
        <f>'[4]Gross Plant'!$AF162</f>
        <v>13379913.978415158</v>
      </c>
      <c r="E82" s="430">
        <v>0</v>
      </c>
      <c r="F82" s="430">
        <f t="shared" si="20"/>
        <v>13379913.978415158</v>
      </c>
      <c r="G82" s="466">
        <f t="shared" si="21"/>
        <v>1</v>
      </c>
      <c r="H82" s="466">
        <f t="shared" si="21"/>
        <v>1</v>
      </c>
      <c r="I82" s="430">
        <f t="shared" si="22"/>
        <v>13379913.978415158</v>
      </c>
      <c r="K82" s="322">
        <f>'[4]Gross Plant'!$D162</f>
        <v>12779948.061638121</v>
      </c>
      <c r="L82" s="466">
        <f t="shared" si="23"/>
        <v>1</v>
      </c>
      <c r="M82" s="466">
        <f t="shared" si="23"/>
        <v>1</v>
      </c>
      <c r="N82" s="430">
        <f t="shared" si="24"/>
        <v>12779948.061638121</v>
      </c>
    </row>
    <row r="83" spans="1:14">
      <c r="A83" s="1153">
        <f t="shared" si="1"/>
        <v>69</v>
      </c>
      <c r="B83" s="1039">
        <v>38400</v>
      </c>
      <c r="C83" s="88" t="s">
        <v>443</v>
      </c>
      <c r="D83" s="322">
        <f>'[4]Gross Plant'!$AF163</f>
        <v>268060.13924998633</v>
      </c>
      <c r="E83" s="430">
        <v>0</v>
      </c>
      <c r="F83" s="430">
        <f t="shared" si="20"/>
        <v>268060.13924998633</v>
      </c>
      <c r="G83" s="466">
        <f t="shared" si="21"/>
        <v>1</v>
      </c>
      <c r="H83" s="466">
        <f t="shared" si="21"/>
        <v>1</v>
      </c>
      <c r="I83" s="430">
        <f t="shared" si="22"/>
        <v>268060.13924998633</v>
      </c>
      <c r="K83" s="322">
        <f>'[4]Gross Plant'!$D163</f>
        <v>252586.66062917048</v>
      </c>
      <c r="L83" s="466">
        <f t="shared" si="23"/>
        <v>1</v>
      </c>
      <c r="M83" s="466">
        <f t="shared" si="23"/>
        <v>1</v>
      </c>
      <c r="N83" s="430">
        <f t="shared" si="24"/>
        <v>252586.66062917048</v>
      </c>
    </row>
    <row r="84" spans="1:14">
      <c r="A84" s="1153">
        <f t="shared" ref="A84:A147" si="28">A83+1</f>
        <v>70</v>
      </c>
      <c r="B84" s="1039">
        <v>38500</v>
      </c>
      <c r="C84" s="88" t="s">
        <v>444</v>
      </c>
      <c r="D84" s="322">
        <f>'[4]Gross Plant'!$AF164</f>
        <v>5262616.2456932655</v>
      </c>
      <c r="E84" s="430">
        <v>0</v>
      </c>
      <c r="F84" s="430">
        <f t="shared" si="20"/>
        <v>5262616.2456932655</v>
      </c>
      <c r="G84" s="466">
        <f t="shared" si="21"/>
        <v>1</v>
      </c>
      <c r="H84" s="466">
        <f t="shared" si="21"/>
        <v>1</v>
      </c>
      <c r="I84" s="430">
        <f t="shared" si="22"/>
        <v>5262616.2456932655</v>
      </c>
      <c r="K84" s="322">
        <f>'[4]Gross Plant'!$D164</f>
        <v>5241042.9322416978</v>
      </c>
      <c r="L84" s="466">
        <f t="shared" si="23"/>
        <v>1</v>
      </c>
      <c r="M84" s="466">
        <f t="shared" si="23"/>
        <v>1</v>
      </c>
      <c r="N84" s="430">
        <f t="shared" si="24"/>
        <v>5241042.9322416978</v>
      </c>
    </row>
    <row r="85" spans="1:14">
      <c r="A85" s="1153">
        <f t="shared" si="28"/>
        <v>71</v>
      </c>
      <c r="B85" s="1041"/>
      <c r="C85" s="88"/>
      <c r="D85" s="619"/>
      <c r="E85" s="619"/>
      <c r="F85" s="619"/>
      <c r="G85" s="466"/>
      <c r="H85" s="466"/>
      <c r="I85" s="619"/>
      <c r="K85" s="619"/>
      <c r="N85" s="619"/>
    </row>
    <row r="86" spans="1:14">
      <c r="A86" s="1153">
        <f t="shared" si="28"/>
        <v>72</v>
      </c>
      <c r="B86" s="1041"/>
      <c r="C86" s="88" t="s">
        <v>300</v>
      </c>
      <c r="D86" s="360">
        <f>SUM(D63:D85)</f>
        <v>673469007.66965663</v>
      </c>
      <c r="E86" s="346">
        <f>SUM(E63:E85)</f>
        <v>0</v>
      </c>
      <c r="F86" s="360">
        <f>SUM(F63:F85)</f>
        <v>673469007.66965663</v>
      </c>
      <c r="G86" s="466"/>
      <c r="H86" s="466"/>
      <c r="I86" s="360">
        <f>SUM(I63:I85)</f>
        <v>673469007.66965663</v>
      </c>
      <c r="K86" s="360">
        <f>SUM(K63:K85)</f>
        <v>635629618.90292406</v>
      </c>
      <c r="N86" s="360">
        <f>SUM(N63:N85)</f>
        <v>635629618.90292406</v>
      </c>
    </row>
    <row r="87" spans="1:14">
      <c r="A87" s="1153">
        <f t="shared" si="28"/>
        <v>73</v>
      </c>
      <c r="B87" s="1041"/>
      <c r="C87" s="88"/>
      <c r="G87" s="466"/>
      <c r="H87" s="466"/>
    </row>
    <row r="88" spans="1:14">
      <c r="A88" s="1153">
        <f t="shared" si="28"/>
        <v>74</v>
      </c>
      <c r="B88" s="1041"/>
      <c r="C88" s="620" t="s">
        <v>301</v>
      </c>
      <c r="G88" s="466"/>
      <c r="H88" s="466"/>
    </row>
    <row r="89" spans="1:14">
      <c r="A89" s="1153">
        <f t="shared" si="28"/>
        <v>75</v>
      </c>
      <c r="B89" s="1039">
        <v>38900</v>
      </c>
      <c r="C89" s="88" t="s">
        <v>1147</v>
      </c>
      <c r="D89" s="322">
        <f>'[4]Gross Plant'!$AF165</f>
        <v>1211697.3</v>
      </c>
      <c r="E89" s="1040">
        <v>0</v>
      </c>
      <c r="F89" s="1040">
        <f t="shared" ref="F89:F113" si="29">D89+E89</f>
        <v>1211697.3</v>
      </c>
      <c r="G89" s="466">
        <f t="shared" ref="G89:H104" si="30">$G$16</f>
        <v>1</v>
      </c>
      <c r="H89" s="466">
        <f t="shared" si="30"/>
        <v>1</v>
      </c>
      <c r="I89" s="360">
        <f t="shared" ref="I89:I113" si="31">F89*G89*H89</f>
        <v>1211697.3</v>
      </c>
      <c r="K89" s="322">
        <f>'[4]Gross Plant'!$D165</f>
        <v>1211697.3000000003</v>
      </c>
      <c r="L89" s="466">
        <f>$G$16</f>
        <v>1</v>
      </c>
      <c r="M89" s="466">
        <f>$G$16</f>
        <v>1</v>
      </c>
      <c r="N89" s="1040">
        <f>K89*L89*M89</f>
        <v>1211697.3000000003</v>
      </c>
    </row>
    <row r="90" spans="1:14">
      <c r="A90" s="1153">
        <f t="shared" si="28"/>
        <v>76</v>
      </c>
      <c r="B90" s="1039">
        <v>39000</v>
      </c>
      <c r="C90" s="88" t="s">
        <v>856</v>
      </c>
      <c r="D90" s="322">
        <f>'[4]Gross Plant'!$AF166</f>
        <v>7718850.4102714844</v>
      </c>
      <c r="E90" s="430">
        <v>0</v>
      </c>
      <c r="F90" s="430">
        <f t="shared" si="29"/>
        <v>7718850.4102714844</v>
      </c>
      <c r="G90" s="466">
        <f t="shared" si="30"/>
        <v>1</v>
      </c>
      <c r="H90" s="466">
        <f t="shared" si="30"/>
        <v>1</v>
      </c>
      <c r="I90" s="430">
        <f t="shared" si="31"/>
        <v>7718850.4102714844</v>
      </c>
      <c r="K90" s="322">
        <f>'[4]Gross Plant'!$D166</f>
        <v>7595599.7675585095</v>
      </c>
      <c r="L90" s="466">
        <f>$G$16</f>
        <v>1</v>
      </c>
      <c r="M90" s="466">
        <f>$G$16</f>
        <v>1</v>
      </c>
      <c r="N90" s="430">
        <f t="shared" ref="N90:N113" si="32">K90*L90*M90</f>
        <v>7595599.7675585095</v>
      </c>
    </row>
    <row r="91" spans="1:14">
      <c r="A91" s="1153">
        <f t="shared" si="28"/>
        <v>77</v>
      </c>
      <c r="B91" s="1039">
        <v>39002</v>
      </c>
      <c r="C91" s="88" t="s">
        <v>747</v>
      </c>
      <c r="D91" s="322">
        <f>'[4]Gross Plant'!$AF167</f>
        <v>173114.85</v>
      </c>
      <c r="E91" s="430">
        <v>0</v>
      </c>
      <c r="F91" s="430">
        <f t="shared" si="29"/>
        <v>173114.85</v>
      </c>
      <c r="G91" s="466">
        <f t="shared" si="30"/>
        <v>1</v>
      </c>
      <c r="H91" s="466">
        <f t="shared" si="30"/>
        <v>1</v>
      </c>
      <c r="I91" s="430">
        <f t="shared" si="31"/>
        <v>173114.85</v>
      </c>
      <c r="K91" s="322">
        <f>'[4]Gross Plant'!$D167</f>
        <v>173114.85000000003</v>
      </c>
      <c r="L91" s="466">
        <f t="shared" ref="L91:M106" si="33">$G$16</f>
        <v>1</v>
      </c>
      <c r="M91" s="466">
        <f t="shared" si="33"/>
        <v>1</v>
      </c>
      <c r="N91" s="430">
        <f t="shared" si="32"/>
        <v>173114.85000000003</v>
      </c>
    </row>
    <row r="92" spans="1:14">
      <c r="A92" s="1153">
        <f t="shared" si="28"/>
        <v>78</v>
      </c>
      <c r="B92" s="1039">
        <v>39003</v>
      </c>
      <c r="C92" s="88" t="s">
        <v>998</v>
      </c>
      <c r="D92" s="322">
        <f>'[4]Gross Plant'!$AF168</f>
        <v>709199.18</v>
      </c>
      <c r="E92" s="430">
        <v>0</v>
      </c>
      <c r="F92" s="430">
        <f t="shared" si="29"/>
        <v>709199.18</v>
      </c>
      <c r="G92" s="466">
        <f t="shared" si="30"/>
        <v>1</v>
      </c>
      <c r="H92" s="466">
        <f t="shared" si="30"/>
        <v>1</v>
      </c>
      <c r="I92" s="430">
        <f t="shared" si="31"/>
        <v>709199.18</v>
      </c>
      <c r="K92" s="322">
        <f>'[4]Gross Plant'!$D168</f>
        <v>709199.17999999982</v>
      </c>
      <c r="L92" s="466">
        <f t="shared" si="33"/>
        <v>1</v>
      </c>
      <c r="M92" s="466">
        <f t="shared" si="33"/>
        <v>1</v>
      </c>
      <c r="N92" s="430">
        <f t="shared" si="32"/>
        <v>709199.17999999982</v>
      </c>
    </row>
    <row r="93" spans="1:14">
      <c r="A93" s="1153">
        <f t="shared" si="28"/>
        <v>79</v>
      </c>
      <c r="B93" s="1039">
        <v>39004</v>
      </c>
      <c r="C93" s="88" t="s">
        <v>445</v>
      </c>
      <c r="D93" s="322">
        <f>'[4]Gross Plant'!$AF169</f>
        <v>12954.74</v>
      </c>
      <c r="E93" s="430">
        <v>0</v>
      </c>
      <c r="F93" s="430">
        <f t="shared" si="29"/>
        <v>12954.74</v>
      </c>
      <c r="G93" s="466">
        <f t="shared" si="30"/>
        <v>1</v>
      </c>
      <c r="H93" s="466">
        <f t="shared" si="30"/>
        <v>1</v>
      </c>
      <c r="I93" s="430">
        <f t="shared" si="31"/>
        <v>12954.74</v>
      </c>
      <c r="K93" s="322">
        <f>'[4]Gross Plant'!$D169</f>
        <v>12954.74</v>
      </c>
      <c r="L93" s="466">
        <f t="shared" si="33"/>
        <v>1</v>
      </c>
      <c r="M93" s="466">
        <f t="shared" si="33"/>
        <v>1</v>
      </c>
      <c r="N93" s="430">
        <f t="shared" si="32"/>
        <v>12954.74</v>
      </c>
    </row>
    <row r="94" spans="1:14">
      <c r="A94" s="1153">
        <f t="shared" si="28"/>
        <v>80</v>
      </c>
      <c r="B94" s="1039">
        <v>39009</v>
      </c>
      <c r="C94" s="88" t="s">
        <v>1036</v>
      </c>
      <c r="D94" s="322">
        <f>'[4]Gross Plant'!$AF170</f>
        <v>1246194.18</v>
      </c>
      <c r="E94" s="430">
        <v>0</v>
      </c>
      <c r="F94" s="430">
        <f t="shared" si="29"/>
        <v>1246194.18</v>
      </c>
      <c r="G94" s="466">
        <f t="shared" si="30"/>
        <v>1</v>
      </c>
      <c r="H94" s="466">
        <f t="shared" si="30"/>
        <v>1</v>
      </c>
      <c r="I94" s="430">
        <f t="shared" si="31"/>
        <v>1246194.18</v>
      </c>
      <c r="K94" s="322">
        <f>'[4]Gross Plant'!$D170</f>
        <v>1246194.18</v>
      </c>
      <c r="L94" s="466">
        <f t="shared" si="33"/>
        <v>1</v>
      </c>
      <c r="M94" s="466">
        <f t="shared" si="33"/>
        <v>1</v>
      </c>
      <c r="N94" s="430">
        <f t="shared" si="32"/>
        <v>1246194.18</v>
      </c>
    </row>
    <row r="95" spans="1:14">
      <c r="A95" s="1153">
        <f t="shared" si="28"/>
        <v>81</v>
      </c>
      <c r="B95" s="1039">
        <v>39100</v>
      </c>
      <c r="C95" s="88" t="s">
        <v>779</v>
      </c>
      <c r="D95" s="322">
        <f>'[4]Gross Plant'!$AF171</f>
        <v>1903398.8523846189</v>
      </c>
      <c r="E95" s="430">
        <v>0</v>
      </c>
      <c r="F95" s="430">
        <f t="shared" si="29"/>
        <v>1903398.8523846189</v>
      </c>
      <c r="G95" s="466">
        <f t="shared" si="30"/>
        <v>1</v>
      </c>
      <c r="H95" s="466">
        <f t="shared" si="30"/>
        <v>1</v>
      </c>
      <c r="I95" s="430">
        <f t="shared" si="31"/>
        <v>1903398.8523846189</v>
      </c>
      <c r="K95" s="322">
        <f>'[4]Gross Plant'!$D171</f>
        <v>1866038.1465637307</v>
      </c>
      <c r="L95" s="466">
        <f t="shared" si="33"/>
        <v>1</v>
      </c>
      <c r="M95" s="466">
        <f t="shared" si="33"/>
        <v>1</v>
      </c>
      <c r="N95" s="430">
        <f t="shared" si="32"/>
        <v>1866038.1465637307</v>
      </c>
    </row>
    <row r="96" spans="1:14">
      <c r="A96" s="1153">
        <f t="shared" si="28"/>
        <v>82</v>
      </c>
      <c r="B96" s="1039">
        <v>39103</v>
      </c>
      <c r="C96" s="88" t="s">
        <v>780</v>
      </c>
      <c r="D96" s="322">
        <f>'[4]Gross Plant'!$AF172</f>
        <v>0</v>
      </c>
      <c r="E96" s="430">
        <v>0</v>
      </c>
      <c r="F96" s="430">
        <f t="shared" si="29"/>
        <v>0</v>
      </c>
      <c r="G96" s="466">
        <f t="shared" si="30"/>
        <v>1</v>
      </c>
      <c r="H96" s="466">
        <f t="shared" si="30"/>
        <v>1</v>
      </c>
      <c r="I96" s="430">
        <f t="shared" si="31"/>
        <v>0</v>
      </c>
      <c r="K96" s="322">
        <f>'[4]Gross Plant'!$D172</f>
        <v>0</v>
      </c>
      <c r="L96" s="466">
        <f t="shared" si="33"/>
        <v>1</v>
      </c>
      <c r="M96" s="466">
        <f t="shared" si="33"/>
        <v>1</v>
      </c>
      <c r="N96" s="430">
        <f t="shared" si="32"/>
        <v>0</v>
      </c>
    </row>
    <row r="97" spans="1:14">
      <c r="A97" s="1153">
        <f t="shared" si="28"/>
        <v>83</v>
      </c>
      <c r="B97" s="1039">
        <v>39200</v>
      </c>
      <c r="C97" s="88" t="s">
        <v>1076</v>
      </c>
      <c r="D97" s="322">
        <f>'[4]Gross Plant'!$AF173</f>
        <v>220986.9</v>
      </c>
      <c r="E97" s="430">
        <v>0</v>
      </c>
      <c r="F97" s="430">
        <f t="shared" si="29"/>
        <v>220986.9</v>
      </c>
      <c r="G97" s="466">
        <f t="shared" si="30"/>
        <v>1</v>
      </c>
      <c r="H97" s="466">
        <f t="shared" si="30"/>
        <v>1</v>
      </c>
      <c r="I97" s="430">
        <f t="shared" si="31"/>
        <v>220986.9</v>
      </c>
      <c r="K97" s="322">
        <f>'[4]Gross Plant'!$D173</f>
        <v>220986.89999999994</v>
      </c>
      <c r="L97" s="466">
        <f t="shared" si="33"/>
        <v>1</v>
      </c>
      <c r="M97" s="466">
        <f t="shared" si="33"/>
        <v>1</v>
      </c>
      <c r="N97" s="430">
        <f t="shared" si="32"/>
        <v>220986.89999999994</v>
      </c>
    </row>
    <row r="98" spans="1:14">
      <c r="A98" s="1153">
        <f t="shared" si="28"/>
        <v>84</v>
      </c>
      <c r="B98" s="1039">
        <v>39202</v>
      </c>
      <c r="C98" s="88" t="s">
        <v>86</v>
      </c>
      <c r="D98" s="322">
        <f>'[4]Gross Plant'!$AF174</f>
        <v>0</v>
      </c>
      <c r="E98" s="430">
        <v>0</v>
      </c>
      <c r="F98" s="430">
        <f t="shared" si="29"/>
        <v>0</v>
      </c>
      <c r="G98" s="466">
        <f t="shared" si="30"/>
        <v>1</v>
      </c>
      <c r="H98" s="466">
        <f t="shared" si="30"/>
        <v>1</v>
      </c>
      <c r="I98" s="430">
        <f t="shared" si="31"/>
        <v>0</v>
      </c>
      <c r="K98" s="322">
        <f>'[4]Gross Plant'!$D174</f>
        <v>0</v>
      </c>
      <c r="L98" s="466">
        <f t="shared" si="33"/>
        <v>1</v>
      </c>
      <c r="M98" s="466">
        <f t="shared" si="33"/>
        <v>1</v>
      </c>
      <c r="N98" s="430">
        <f t="shared" si="32"/>
        <v>0</v>
      </c>
    </row>
    <row r="99" spans="1:14">
      <c r="A99" s="1153">
        <f t="shared" si="28"/>
        <v>85</v>
      </c>
      <c r="B99" s="1039">
        <v>39400</v>
      </c>
      <c r="C99" s="88" t="s">
        <v>1035</v>
      </c>
      <c r="D99" s="322">
        <f>'[4]Gross Plant'!$AF175</f>
        <v>4340623.5074312286</v>
      </c>
      <c r="E99" s="430">
        <v>0</v>
      </c>
      <c r="F99" s="430">
        <f t="shared" si="29"/>
        <v>4340623.5074312286</v>
      </c>
      <c r="G99" s="466">
        <f t="shared" si="30"/>
        <v>1</v>
      </c>
      <c r="H99" s="466">
        <f t="shared" si="30"/>
        <v>1</v>
      </c>
      <c r="I99" s="430">
        <f t="shared" si="31"/>
        <v>4340623.5074312286</v>
      </c>
      <c r="K99" s="322">
        <f>'[4]Gross Plant'!$D175</f>
        <v>4078360.7595184175</v>
      </c>
      <c r="L99" s="466">
        <f t="shared" si="33"/>
        <v>1</v>
      </c>
      <c r="M99" s="466">
        <f t="shared" si="33"/>
        <v>1</v>
      </c>
      <c r="N99" s="430">
        <f t="shared" si="32"/>
        <v>4078360.7595184175</v>
      </c>
    </row>
    <row r="100" spans="1:14">
      <c r="A100" s="1153">
        <f t="shared" si="28"/>
        <v>86</v>
      </c>
      <c r="B100" s="1039">
        <v>39603</v>
      </c>
      <c r="C100" s="88" t="s">
        <v>87</v>
      </c>
      <c r="D100" s="322">
        <f>'[4]Gross Plant'!$AF176</f>
        <v>39610.080000000002</v>
      </c>
      <c r="E100" s="430">
        <v>0</v>
      </c>
      <c r="F100" s="430">
        <f t="shared" si="29"/>
        <v>39610.080000000002</v>
      </c>
      <c r="G100" s="466">
        <f t="shared" si="30"/>
        <v>1</v>
      </c>
      <c r="H100" s="466">
        <f t="shared" si="30"/>
        <v>1</v>
      </c>
      <c r="I100" s="430">
        <f t="shared" si="31"/>
        <v>39610.080000000002</v>
      </c>
      <c r="K100" s="322">
        <f>'[4]Gross Plant'!$D176</f>
        <v>39610.080000000009</v>
      </c>
      <c r="L100" s="466">
        <f t="shared" si="33"/>
        <v>1</v>
      </c>
      <c r="M100" s="466">
        <f t="shared" si="33"/>
        <v>1</v>
      </c>
      <c r="N100" s="430">
        <f t="shared" si="32"/>
        <v>39610.080000000009</v>
      </c>
    </row>
    <row r="101" spans="1:14">
      <c r="A101" s="1153">
        <f t="shared" si="28"/>
        <v>87</v>
      </c>
      <c r="B101" s="1039">
        <v>39604</v>
      </c>
      <c r="C101" s="88" t="s">
        <v>88</v>
      </c>
      <c r="D101" s="322">
        <f>'[4]Gross Plant'!$AF177</f>
        <v>62747.29</v>
      </c>
      <c r="E101" s="430">
        <v>0</v>
      </c>
      <c r="F101" s="430">
        <f t="shared" si="29"/>
        <v>62747.29</v>
      </c>
      <c r="G101" s="466">
        <f t="shared" si="30"/>
        <v>1</v>
      </c>
      <c r="H101" s="466">
        <f t="shared" si="30"/>
        <v>1</v>
      </c>
      <c r="I101" s="430">
        <f t="shared" si="31"/>
        <v>62747.29</v>
      </c>
      <c r="K101" s="322">
        <f>'[4]Gross Plant'!$D177</f>
        <v>62747.290000000008</v>
      </c>
      <c r="L101" s="466">
        <f t="shared" si="33"/>
        <v>1</v>
      </c>
      <c r="M101" s="466">
        <f t="shared" si="33"/>
        <v>1</v>
      </c>
      <c r="N101" s="430">
        <f t="shared" si="32"/>
        <v>62747.290000000008</v>
      </c>
    </row>
    <row r="102" spans="1:14">
      <c r="A102" s="1153">
        <f t="shared" si="28"/>
        <v>88</v>
      </c>
      <c r="B102" s="1039">
        <v>39605</v>
      </c>
      <c r="C102" s="81" t="s">
        <v>89</v>
      </c>
      <c r="D102" s="322">
        <f>'[4]Gross Plant'!$AF178</f>
        <v>19427.23</v>
      </c>
      <c r="E102" s="430">
        <v>0</v>
      </c>
      <c r="F102" s="430">
        <f t="shared" si="29"/>
        <v>19427.23</v>
      </c>
      <c r="G102" s="466">
        <f t="shared" si="30"/>
        <v>1</v>
      </c>
      <c r="H102" s="466">
        <f t="shared" si="30"/>
        <v>1</v>
      </c>
      <c r="I102" s="430">
        <f t="shared" si="31"/>
        <v>19427.23</v>
      </c>
      <c r="K102" s="322">
        <f>'[4]Gross Plant'!$D178</f>
        <v>19427.230000000003</v>
      </c>
      <c r="L102" s="466">
        <f t="shared" si="33"/>
        <v>1</v>
      </c>
      <c r="M102" s="466">
        <f t="shared" si="33"/>
        <v>1</v>
      </c>
      <c r="N102" s="430">
        <f t="shared" si="32"/>
        <v>19427.230000000003</v>
      </c>
    </row>
    <row r="103" spans="1:14">
      <c r="A103" s="1153">
        <f t="shared" si="28"/>
        <v>89</v>
      </c>
      <c r="B103" s="1039">
        <v>39700</v>
      </c>
      <c r="C103" s="88" t="s">
        <v>440</v>
      </c>
      <c r="D103" s="322">
        <f>'[4]Gross Plant'!$AF179</f>
        <v>524257.15</v>
      </c>
      <c r="E103" s="430">
        <v>0</v>
      </c>
      <c r="F103" s="430">
        <f t="shared" si="29"/>
        <v>524257.15</v>
      </c>
      <c r="G103" s="466">
        <f t="shared" si="30"/>
        <v>1</v>
      </c>
      <c r="H103" s="466">
        <f t="shared" si="30"/>
        <v>1</v>
      </c>
      <c r="I103" s="430">
        <f t="shared" si="31"/>
        <v>524257.15</v>
      </c>
      <c r="K103" s="322">
        <f>'[4]Gross Plant'!$D179</f>
        <v>524257.15000000008</v>
      </c>
      <c r="L103" s="466">
        <f t="shared" si="33"/>
        <v>1</v>
      </c>
      <c r="M103" s="466">
        <f t="shared" si="33"/>
        <v>1</v>
      </c>
      <c r="N103" s="430">
        <f t="shared" si="32"/>
        <v>524257.15000000008</v>
      </c>
    </row>
    <row r="104" spans="1:14">
      <c r="A104" s="1153">
        <f t="shared" si="28"/>
        <v>90</v>
      </c>
      <c r="B104" s="1039">
        <v>39701</v>
      </c>
      <c r="C104" s="88" t="s">
        <v>1499</v>
      </c>
      <c r="D104" s="322">
        <f>'[4]Gross Plant'!$AF180</f>
        <v>0</v>
      </c>
      <c r="E104" s="430">
        <v>0</v>
      </c>
      <c r="F104" s="430">
        <f t="shared" si="29"/>
        <v>0</v>
      </c>
      <c r="G104" s="466">
        <f t="shared" si="30"/>
        <v>1</v>
      </c>
      <c r="H104" s="466">
        <f t="shared" si="30"/>
        <v>1</v>
      </c>
      <c r="I104" s="430">
        <f t="shared" si="31"/>
        <v>0</v>
      </c>
      <c r="K104" s="322">
        <f>'[4]Gross Plant'!$D180</f>
        <v>0</v>
      </c>
      <c r="L104" s="466">
        <f t="shared" si="33"/>
        <v>1</v>
      </c>
      <c r="M104" s="466">
        <f t="shared" si="33"/>
        <v>1</v>
      </c>
      <c r="N104" s="430">
        <f t="shared" si="32"/>
        <v>0</v>
      </c>
    </row>
    <row r="105" spans="1:14">
      <c r="A105" s="1153">
        <f t="shared" si="28"/>
        <v>91</v>
      </c>
      <c r="B105" s="1039">
        <v>39702</v>
      </c>
      <c r="C105" s="88" t="s">
        <v>1499</v>
      </c>
      <c r="D105" s="322">
        <f>'[4]Gross Plant'!$AF181</f>
        <v>0</v>
      </c>
      <c r="E105" s="430">
        <v>0</v>
      </c>
      <c r="F105" s="430">
        <f t="shared" si="29"/>
        <v>0</v>
      </c>
      <c r="G105" s="466">
        <f t="shared" ref="G105:H109" si="34">$G$16</f>
        <v>1</v>
      </c>
      <c r="H105" s="466">
        <f t="shared" si="34"/>
        <v>1</v>
      </c>
      <c r="I105" s="430">
        <f t="shared" si="31"/>
        <v>0</v>
      </c>
      <c r="K105" s="322">
        <f>'[4]Gross Plant'!$D181</f>
        <v>0</v>
      </c>
      <c r="L105" s="466">
        <f t="shared" si="33"/>
        <v>1</v>
      </c>
      <c r="M105" s="466">
        <f t="shared" si="33"/>
        <v>1</v>
      </c>
      <c r="N105" s="430">
        <f t="shared" si="32"/>
        <v>0</v>
      </c>
    </row>
    <row r="106" spans="1:14">
      <c r="A106" s="1153">
        <f t="shared" si="28"/>
        <v>92</v>
      </c>
      <c r="B106" s="1039">
        <v>39705</v>
      </c>
      <c r="C106" s="88" t="s">
        <v>721</v>
      </c>
      <c r="D106" s="322">
        <f>'[4]Gross Plant'!$AF182</f>
        <v>0</v>
      </c>
      <c r="E106" s="430">
        <v>0</v>
      </c>
      <c r="F106" s="430">
        <f t="shared" si="29"/>
        <v>0</v>
      </c>
      <c r="G106" s="466">
        <f t="shared" si="34"/>
        <v>1</v>
      </c>
      <c r="H106" s="466">
        <f t="shared" si="34"/>
        <v>1</v>
      </c>
      <c r="I106" s="430">
        <f t="shared" si="31"/>
        <v>0</v>
      </c>
      <c r="K106" s="322">
        <f>'[4]Gross Plant'!$D182</f>
        <v>0</v>
      </c>
      <c r="L106" s="466">
        <f t="shared" si="33"/>
        <v>1</v>
      </c>
      <c r="M106" s="466">
        <f t="shared" si="33"/>
        <v>1</v>
      </c>
      <c r="N106" s="430">
        <f t="shared" si="32"/>
        <v>0</v>
      </c>
    </row>
    <row r="107" spans="1:14">
      <c r="A107" s="1153">
        <f t="shared" si="28"/>
        <v>93</v>
      </c>
      <c r="B107" s="1039">
        <v>39800</v>
      </c>
      <c r="C107" s="88" t="s">
        <v>650</v>
      </c>
      <c r="D107" s="322">
        <f>'[4]Gross Plant'!$AF183</f>
        <v>3891771.09</v>
      </c>
      <c r="E107" s="430">
        <v>0</v>
      </c>
      <c r="F107" s="430">
        <f t="shared" si="29"/>
        <v>3891771.09</v>
      </c>
      <c r="G107" s="466">
        <f t="shared" si="34"/>
        <v>1</v>
      </c>
      <c r="H107" s="466">
        <f t="shared" si="34"/>
        <v>1</v>
      </c>
      <c r="I107" s="430">
        <f t="shared" si="31"/>
        <v>3891771.09</v>
      </c>
      <c r="K107" s="322">
        <f>'[4]Gross Plant'!$D183</f>
        <v>3891771.0900000012</v>
      </c>
      <c r="L107" s="466">
        <f t="shared" ref="L107:M112" si="35">$G$16</f>
        <v>1</v>
      </c>
      <c r="M107" s="466">
        <f t="shared" si="35"/>
        <v>1</v>
      </c>
      <c r="N107" s="430">
        <f t="shared" si="32"/>
        <v>3891771.0900000012</v>
      </c>
    </row>
    <row r="108" spans="1:14">
      <c r="A108" s="1153">
        <f t="shared" si="28"/>
        <v>94</v>
      </c>
      <c r="B108" s="1039">
        <v>39901</v>
      </c>
      <c r="C108" s="88" t="s">
        <v>1500</v>
      </c>
      <c r="D108" s="322">
        <f>'[4]Gross Plant'!$AF184</f>
        <v>14389.76</v>
      </c>
      <c r="E108" s="430">
        <v>0</v>
      </c>
      <c r="F108" s="430">
        <f t="shared" si="29"/>
        <v>14389.76</v>
      </c>
      <c r="G108" s="466">
        <f t="shared" si="34"/>
        <v>1</v>
      </c>
      <c r="H108" s="466">
        <f t="shared" si="34"/>
        <v>1</v>
      </c>
      <c r="I108" s="430">
        <f t="shared" si="31"/>
        <v>14389.76</v>
      </c>
      <c r="K108" s="322">
        <f>'[4]Gross Plant'!$D184</f>
        <v>14389.76</v>
      </c>
      <c r="L108" s="466">
        <f t="shared" si="35"/>
        <v>1</v>
      </c>
      <c r="M108" s="466">
        <f t="shared" si="35"/>
        <v>1</v>
      </c>
      <c r="N108" s="430">
        <f t="shared" si="32"/>
        <v>14389.76</v>
      </c>
    </row>
    <row r="109" spans="1:14">
      <c r="A109" s="1153">
        <f t="shared" si="28"/>
        <v>95</v>
      </c>
      <c r="B109" s="1039">
        <v>39902</v>
      </c>
      <c r="C109" s="88" t="s">
        <v>1501</v>
      </c>
      <c r="D109" s="322">
        <f>'[4]Gross Plant'!$AF185</f>
        <v>0</v>
      </c>
      <c r="E109" s="430">
        <v>0</v>
      </c>
      <c r="F109" s="430">
        <f t="shared" si="29"/>
        <v>0</v>
      </c>
      <c r="G109" s="466">
        <f t="shared" si="34"/>
        <v>1</v>
      </c>
      <c r="H109" s="466">
        <f t="shared" si="34"/>
        <v>1</v>
      </c>
      <c r="I109" s="430">
        <f t="shared" si="31"/>
        <v>0</v>
      </c>
      <c r="K109" s="322">
        <f>'[4]Gross Plant'!$D185</f>
        <v>0</v>
      </c>
      <c r="L109" s="466">
        <f t="shared" si="35"/>
        <v>1</v>
      </c>
      <c r="M109" s="466">
        <f t="shared" si="35"/>
        <v>1</v>
      </c>
      <c r="N109" s="430">
        <f t="shared" si="32"/>
        <v>0</v>
      </c>
    </row>
    <row r="110" spans="1:14">
      <c r="A110" s="1153">
        <f t="shared" si="28"/>
        <v>96</v>
      </c>
      <c r="B110" s="1039">
        <v>39903</v>
      </c>
      <c r="C110" s="88" t="s">
        <v>1003</v>
      </c>
      <c r="D110" s="322">
        <f>'[4]Gross Plant'!$AF186</f>
        <v>134598.85999999999</v>
      </c>
      <c r="E110" s="430">
        <v>0</v>
      </c>
      <c r="F110" s="430">
        <f t="shared" si="29"/>
        <v>134598.85999999999</v>
      </c>
      <c r="G110" s="466">
        <f t="shared" ref="G110:H113" si="36">$G$16</f>
        <v>1</v>
      </c>
      <c r="H110" s="466">
        <f t="shared" si="36"/>
        <v>1</v>
      </c>
      <c r="I110" s="430">
        <f t="shared" si="31"/>
        <v>134598.85999999999</v>
      </c>
      <c r="K110" s="322">
        <f>'[4]Gross Plant'!$D186</f>
        <v>134598.85999999993</v>
      </c>
      <c r="L110" s="466">
        <f t="shared" si="35"/>
        <v>1</v>
      </c>
      <c r="M110" s="466">
        <f t="shared" si="35"/>
        <v>1</v>
      </c>
      <c r="N110" s="430">
        <f t="shared" si="32"/>
        <v>134598.85999999993</v>
      </c>
    </row>
    <row r="111" spans="1:14">
      <c r="A111" s="1153">
        <f t="shared" si="28"/>
        <v>97</v>
      </c>
      <c r="B111" s="1039">
        <v>39906</v>
      </c>
      <c r="C111" s="88" t="s">
        <v>451</v>
      </c>
      <c r="D111" s="322">
        <f>'[4]Gross Plant'!$AF187</f>
        <v>268135.62347352976</v>
      </c>
      <c r="E111" s="430">
        <v>0</v>
      </c>
      <c r="F111" s="430">
        <f t="shared" si="29"/>
        <v>268135.62347352976</v>
      </c>
      <c r="G111" s="466">
        <f t="shared" si="36"/>
        <v>1</v>
      </c>
      <c r="H111" s="466">
        <f t="shared" si="36"/>
        <v>1</v>
      </c>
      <c r="I111" s="430">
        <f t="shared" si="31"/>
        <v>268135.62347352976</v>
      </c>
      <c r="K111" s="322">
        <f>'[4]Gross Plant'!$D187</f>
        <v>461887.9076963847</v>
      </c>
      <c r="L111" s="466">
        <f t="shared" si="35"/>
        <v>1</v>
      </c>
      <c r="M111" s="466">
        <f t="shared" si="35"/>
        <v>1</v>
      </c>
      <c r="N111" s="430">
        <f t="shared" si="32"/>
        <v>461887.9076963847</v>
      </c>
    </row>
    <row r="112" spans="1:14">
      <c r="A112" s="1153">
        <f t="shared" si="28"/>
        <v>98</v>
      </c>
      <c r="B112" s="1039">
        <v>39907</v>
      </c>
      <c r="C112" s="88" t="s">
        <v>505</v>
      </c>
      <c r="D112" s="322">
        <f>'[4]Gross Plant'!$AF188</f>
        <v>0</v>
      </c>
      <c r="E112" s="430">
        <v>0</v>
      </c>
      <c r="F112" s="430">
        <f t="shared" si="29"/>
        <v>0</v>
      </c>
      <c r="G112" s="466">
        <f t="shared" si="36"/>
        <v>1</v>
      </c>
      <c r="H112" s="466">
        <f t="shared" si="36"/>
        <v>1</v>
      </c>
      <c r="I112" s="430">
        <f t="shared" si="31"/>
        <v>0</v>
      </c>
      <c r="K112" s="322">
        <f>'[4]Gross Plant'!$D188</f>
        <v>0</v>
      </c>
      <c r="L112" s="466">
        <f t="shared" si="35"/>
        <v>1</v>
      </c>
      <c r="M112" s="466">
        <f t="shared" si="35"/>
        <v>1</v>
      </c>
      <c r="N112" s="430">
        <f t="shared" si="32"/>
        <v>0</v>
      </c>
    </row>
    <row r="113" spans="1:19">
      <c r="A113" s="1153">
        <f t="shared" si="28"/>
        <v>99</v>
      </c>
      <c r="B113" s="1039">
        <v>39908</v>
      </c>
      <c r="C113" s="88" t="s">
        <v>179</v>
      </c>
      <c r="D113" s="322">
        <f>'[4]Gross Plant'!$AF189</f>
        <v>123514.83</v>
      </c>
      <c r="E113" s="430">
        <v>0</v>
      </c>
      <c r="F113" s="430">
        <f t="shared" si="29"/>
        <v>123514.83</v>
      </c>
      <c r="G113" s="466">
        <f t="shared" si="36"/>
        <v>1</v>
      </c>
      <c r="H113" s="466">
        <f t="shared" si="36"/>
        <v>1</v>
      </c>
      <c r="I113" s="430">
        <f t="shared" si="31"/>
        <v>123514.83</v>
      </c>
      <c r="K113" s="322">
        <f>'[4]Gross Plant'!$D189</f>
        <v>123514.83000000002</v>
      </c>
      <c r="L113" s="466">
        <f t="shared" ref="L113:M113" si="37">$G$16</f>
        <v>1</v>
      </c>
      <c r="M113" s="466">
        <f t="shared" si="37"/>
        <v>1</v>
      </c>
      <c r="N113" s="430">
        <f t="shared" si="32"/>
        <v>123514.83000000002</v>
      </c>
    </row>
    <row r="114" spans="1:19">
      <c r="A114" s="1153">
        <f t="shared" si="28"/>
        <v>100</v>
      </c>
      <c r="B114" s="1041"/>
      <c r="C114" s="88"/>
      <c r="D114" s="619"/>
      <c r="E114" s="619"/>
      <c r="F114" s="619"/>
      <c r="I114" s="619"/>
      <c r="K114" s="619"/>
      <c r="N114" s="619"/>
    </row>
    <row r="115" spans="1:19">
      <c r="A115" s="1153">
        <f t="shared" si="28"/>
        <v>101</v>
      </c>
      <c r="B115" s="1041"/>
      <c r="C115" s="88" t="s">
        <v>4</v>
      </c>
      <c r="D115" s="360">
        <f>SUM(D89:D114)</f>
        <v>22615471.833560858</v>
      </c>
      <c r="E115" s="346">
        <f>SUM(E89:E114)</f>
        <v>0</v>
      </c>
      <c r="F115" s="360">
        <f>SUM(F89:F114)</f>
        <v>22615471.833560858</v>
      </c>
      <c r="G115" s="466"/>
      <c r="H115" s="466"/>
      <c r="I115" s="360">
        <f>SUM(I89:I114)</f>
        <v>22615471.833560858</v>
      </c>
      <c r="K115" s="360">
        <f>SUM(K89:K114)</f>
        <v>22386350.02133704</v>
      </c>
      <c r="N115" s="360">
        <f>SUM(N89:N114)</f>
        <v>22386350.02133704</v>
      </c>
    </row>
    <row r="116" spans="1:19">
      <c r="A116" s="1153">
        <f t="shared" si="28"/>
        <v>102</v>
      </c>
      <c r="B116" s="1041"/>
      <c r="C116" s="88"/>
    </row>
    <row r="117" spans="1:19" ht="15.75" thickBot="1">
      <c r="A117" s="1153">
        <f t="shared" si="28"/>
        <v>103</v>
      </c>
      <c r="B117" s="1041"/>
      <c r="C117" s="233" t="s">
        <v>1320</v>
      </c>
      <c r="D117" s="1010">
        <f>D19+D26+D47+D60+D86+D115</f>
        <v>742234660.78513122</v>
      </c>
      <c r="E117" s="329">
        <f>E19+E26+E47+E60+E86+E115</f>
        <v>0</v>
      </c>
      <c r="F117" s="1010">
        <f>F19+F26+F47+F60+F86+F115</f>
        <v>742234660.78513122</v>
      </c>
      <c r="I117" s="1010">
        <f>I19+I26+I47+I60+I86+I115</f>
        <v>742234660.78513122</v>
      </c>
      <c r="K117" s="1010">
        <f>K19+K26+K47+K60+K86+K115</f>
        <v>704356322.99829149</v>
      </c>
      <c r="N117" s="1010">
        <f>N19+N26+N47+N60+N86+N115</f>
        <v>704356322.99829149</v>
      </c>
    </row>
    <row r="118" spans="1:19" ht="15.75" thickTop="1">
      <c r="A118" s="1153">
        <f t="shared" si="28"/>
        <v>104</v>
      </c>
      <c r="B118" s="1041"/>
      <c r="C118" s="88"/>
    </row>
    <row r="119" spans="1:19">
      <c r="A119" s="1153">
        <f t="shared" si="28"/>
        <v>105</v>
      </c>
      <c r="B119" s="1041"/>
      <c r="C119" s="81" t="s">
        <v>749</v>
      </c>
      <c r="D119" s="322">
        <f>'[4]Gross Plant'!$AF$223</f>
        <v>38154808.559999995</v>
      </c>
      <c r="E119" s="328">
        <v>0</v>
      </c>
      <c r="F119" s="328">
        <f>D119+E119</f>
        <v>38154808.559999995</v>
      </c>
      <c r="G119" s="422">
        <f>$G$16</f>
        <v>1</v>
      </c>
      <c r="H119" s="422">
        <f>$G$16</f>
        <v>1</v>
      </c>
      <c r="I119" s="328">
        <f>F119*G119*H119</f>
        <v>38154808.559999995</v>
      </c>
      <c r="K119" s="322">
        <f>'[4]Gross Plant'!$D$223</f>
        <v>38154808.559999995</v>
      </c>
      <c r="L119" s="466">
        <f>$G$16</f>
        <v>1</v>
      </c>
      <c r="M119" s="466">
        <f>$G$16</f>
        <v>1</v>
      </c>
      <c r="N119" s="328">
        <f>K119*L119*M119</f>
        <v>38154808.559999995</v>
      </c>
    </row>
    <row r="120" spans="1:19">
      <c r="A120" s="1153">
        <f t="shared" si="28"/>
        <v>106</v>
      </c>
      <c r="B120" s="1041"/>
      <c r="K120" s="360"/>
    </row>
    <row r="121" spans="1:19" ht="15.75">
      <c r="A121" s="1153">
        <f t="shared" si="28"/>
        <v>107</v>
      </c>
      <c r="B121" s="1044" t="s">
        <v>7</v>
      </c>
      <c r="K121" s="360"/>
    </row>
    <row r="122" spans="1:19">
      <c r="A122" s="1153">
        <f t="shared" si="28"/>
        <v>108</v>
      </c>
      <c r="B122" s="1041"/>
      <c r="K122" s="360"/>
    </row>
    <row r="123" spans="1:19">
      <c r="A123" s="1153">
        <f t="shared" si="28"/>
        <v>109</v>
      </c>
      <c r="B123" s="1041"/>
      <c r="C123" s="620" t="s">
        <v>297</v>
      </c>
      <c r="K123" s="360"/>
    </row>
    <row r="124" spans="1:19">
      <c r="A124" s="1153">
        <f t="shared" si="28"/>
        <v>110</v>
      </c>
      <c r="B124" s="1045">
        <v>30100</v>
      </c>
      <c r="C124" s="88" t="s">
        <v>291</v>
      </c>
      <c r="D124" s="322">
        <f>'[4]Gross Plant'!$AF84</f>
        <v>185309.27</v>
      </c>
      <c r="E124" s="346">
        <v>0</v>
      </c>
      <c r="F124" s="346">
        <f>D124+E124</f>
        <v>185309.27</v>
      </c>
      <c r="G124" s="466">
        <f>$G$16</f>
        <v>1</v>
      </c>
      <c r="H124" s="467">
        <f>Allocation!$D$17</f>
        <v>0.49780000000000002</v>
      </c>
      <c r="I124" s="346">
        <f>F124*G124*H124</f>
        <v>92246.954605999999</v>
      </c>
      <c r="K124" s="322">
        <f>'[4]Gross Plant'!$D84</f>
        <v>185309.27</v>
      </c>
      <c r="L124" s="466">
        <f t="shared" ref="L124:M125" si="38">G124</f>
        <v>1</v>
      </c>
      <c r="M124" s="467">
        <f t="shared" si="38"/>
        <v>0.49780000000000002</v>
      </c>
      <c r="N124" s="346">
        <f>K124*L124*M124</f>
        <v>92246.954605999999</v>
      </c>
      <c r="S124" s="424"/>
    </row>
    <row r="125" spans="1:19">
      <c r="A125" s="1153">
        <f t="shared" si="28"/>
        <v>111</v>
      </c>
      <c r="B125" s="1045">
        <v>30300</v>
      </c>
      <c r="C125" s="88" t="s">
        <v>542</v>
      </c>
      <c r="D125" s="322">
        <f>'[4]Gross Plant'!$AF85</f>
        <v>1109551.68</v>
      </c>
      <c r="E125" s="1043">
        <v>0</v>
      </c>
      <c r="F125" s="1043">
        <f>D125+E125</f>
        <v>1109551.68</v>
      </c>
      <c r="G125" s="466">
        <f>$G$16</f>
        <v>1</v>
      </c>
      <c r="H125" s="467">
        <f>$H$124</f>
        <v>0.49780000000000002</v>
      </c>
      <c r="I125" s="1043">
        <f>F125*G125*H125</f>
        <v>552334.82630399999</v>
      </c>
      <c r="K125" s="322">
        <f>'[4]Gross Plant'!$D85</f>
        <v>1109551.68</v>
      </c>
      <c r="L125" s="466">
        <f t="shared" si="38"/>
        <v>1</v>
      </c>
      <c r="M125" s="467">
        <f t="shared" si="38"/>
        <v>0.49780000000000002</v>
      </c>
      <c r="N125" s="1043">
        <f>K125*L125*M125</f>
        <v>552334.82630399999</v>
      </c>
      <c r="S125" s="424"/>
    </row>
    <row r="126" spans="1:19">
      <c r="A126" s="1153">
        <f t="shared" si="28"/>
        <v>112</v>
      </c>
      <c r="B126" s="1041"/>
      <c r="C126" s="88"/>
      <c r="D126" s="619"/>
      <c r="K126" s="619"/>
    </row>
    <row r="127" spans="1:19">
      <c r="A127" s="1153">
        <f t="shared" si="28"/>
        <v>113</v>
      </c>
      <c r="B127" s="1041"/>
      <c r="C127" s="88" t="s">
        <v>298</v>
      </c>
      <c r="D127" s="360">
        <f>SUM(D124:D126)</f>
        <v>1294860.95</v>
      </c>
      <c r="E127" s="346">
        <f>SUM(E124:E126)</f>
        <v>0</v>
      </c>
      <c r="F127" s="346">
        <f>SUM(F124:F126)</f>
        <v>1294860.95</v>
      </c>
      <c r="G127" s="466"/>
      <c r="H127" s="466"/>
      <c r="I127" s="346">
        <f>SUM(I124:I126)</f>
        <v>644581.78090999997</v>
      </c>
      <c r="K127" s="360">
        <f>SUM(K124:K126)</f>
        <v>1294860.95</v>
      </c>
      <c r="N127" s="346">
        <f>SUM(N124:N126)</f>
        <v>644581.78090999997</v>
      </c>
    </row>
    <row r="128" spans="1:19">
      <c r="A128" s="1153">
        <f t="shared" si="28"/>
        <v>114</v>
      </c>
      <c r="B128" s="1041"/>
    </row>
    <row r="129" spans="1:16">
      <c r="A129" s="1153">
        <f t="shared" si="28"/>
        <v>115</v>
      </c>
      <c r="B129" s="1041"/>
      <c r="C129" s="620" t="s">
        <v>299</v>
      </c>
    </row>
    <row r="130" spans="1:16">
      <c r="A130" s="1153">
        <f t="shared" si="28"/>
        <v>116</v>
      </c>
      <c r="B130" s="1045">
        <v>37400</v>
      </c>
      <c r="C130" s="88" t="s">
        <v>1147</v>
      </c>
      <c r="D130" s="360">
        <v>0</v>
      </c>
      <c r="E130" s="346">
        <v>0</v>
      </c>
      <c r="F130" s="346">
        <f t="shared" ref="F130:F150" si="39">D130+E130</f>
        <v>0</v>
      </c>
      <c r="G130" s="466">
        <f t="shared" ref="G130:G150" si="40">$G$16</f>
        <v>1</v>
      </c>
      <c r="H130" s="467">
        <f t="shared" ref="H130:H150" si="41">$H$124</f>
        <v>0.49780000000000002</v>
      </c>
      <c r="I130" s="346">
        <f t="shared" ref="I130:I150" si="42">F130*G130*H130</f>
        <v>0</v>
      </c>
      <c r="K130" s="360">
        <v>0</v>
      </c>
      <c r="L130" s="466">
        <f t="shared" ref="L130:L150" si="43">G130</f>
        <v>1</v>
      </c>
      <c r="M130" s="467">
        <f t="shared" ref="M130:M150" si="44">H130</f>
        <v>0.49780000000000002</v>
      </c>
      <c r="N130" s="346">
        <f t="shared" ref="N130:N150" si="45">K130*L130*M130</f>
        <v>0</v>
      </c>
      <c r="P130" s="671"/>
    </row>
    <row r="131" spans="1:16">
      <c r="A131" s="1153">
        <f t="shared" si="28"/>
        <v>117</v>
      </c>
      <c r="B131" s="1045">
        <v>35010</v>
      </c>
      <c r="C131" s="88" t="s">
        <v>292</v>
      </c>
      <c r="D131" s="617">
        <v>0</v>
      </c>
      <c r="E131" s="430">
        <v>0</v>
      </c>
      <c r="F131" s="430">
        <f t="shared" si="39"/>
        <v>0</v>
      </c>
      <c r="G131" s="466">
        <f t="shared" si="40"/>
        <v>1</v>
      </c>
      <c r="H131" s="467">
        <f t="shared" si="41"/>
        <v>0.49780000000000002</v>
      </c>
      <c r="I131" s="430">
        <f t="shared" si="42"/>
        <v>0</v>
      </c>
      <c r="K131" s="617">
        <v>0</v>
      </c>
      <c r="L131" s="466">
        <f t="shared" si="43"/>
        <v>1</v>
      </c>
      <c r="M131" s="467">
        <f t="shared" si="44"/>
        <v>0.49780000000000002</v>
      </c>
      <c r="N131" s="430">
        <f t="shared" si="45"/>
        <v>0</v>
      </c>
      <c r="P131" s="671"/>
    </row>
    <row r="132" spans="1:16">
      <c r="A132" s="1153">
        <f t="shared" si="28"/>
        <v>118</v>
      </c>
      <c r="B132" s="1045">
        <v>37402</v>
      </c>
      <c r="C132" s="88" t="s">
        <v>999</v>
      </c>
      <c r="D132" s="617">
        <v>0</v>
      </c>
      <c r="E132" s="430">
        <v>0</v>
      </c>
      <c r="F132" s="430">
        <f t="shared" si="39"/>
        <v>0</v>
      </c>
      <c r="G132" s="466">
        <f t="shared" si="40"/>
        <v>1</v>
      </c>
      <c r="H132" s="467">
        <f t="shared" si="41"/>
        <v>0.49780000000000002</v>
      </c>
      <c r="I132" s="430">
        <f t="shared" si="42"/>
        <v>0</v>
      </c>
      <c r="K132" s="617">
        <v>0</v>
      </c>
      <c r="L132" s="466">
        <f t="shared" si="43"/>
        <v>1</v>
      </c>
      <c r="M132" s="467">
        <f t="shared" si="44"/>
        <v>0.49780000000000002</v>
      </c>
      <c r="N132" s="430">
        <f t="shared" si="45"/>
        <v>0</v>
      </c>
      <c r="P132" s="671"/>
    </row>
    <row r="133" spans="1:16">
      <c r="A133" s="1153">
        <f t="shared" si="28"/>
        <v>119</v>
      </c>
      <c r="B133" s="1045">
        <v>37403</v>
      </c>
      <c r="C133" s="88" t="s">
        <v>996</v>
      </c>
      <c r="D133" s="617">
        <v>0</v>
      </c>
      <c r="E133" s="430">
        <v>0</v>
      </c>
      <c r="F133" s="430">
        <f t="shared" si="39"/>
        <v>0</v>
      </c>
      <c r="G133" s="466">
        <f t="shared" si="40"/>
        <v>1</v>
      </c>
      <c r="H133" s="467">
        <f t="shared" si="41"/>
        <v>0.49780000000000002</v>
      </c>
      <c r="I133" s="430">
        <f t="shared" si="42"/>
        <v>0</v>
      </c>
      <c r="K133" s="617">
        <v>0</v>
      </c>
      <c r="L133" s="466">
        <f t="shared" si="43"/>
        <v>1</v>
      </c>
      <c r="M133" s="467">
        <f t="shared" si="44"/>
        <v>0.49780000000000002</v>
      </c>
      <c r="N133" s="430">
        <f t="shared" si="45"/>
        <v>0</v>
      </c>
    </row>
    <row r="134" spans="1:16">
      <c r="A134" s="1153">
        <f t="shared" si="28"/>
        <v>120</v>
      </c>
      <c r="B134" s="1045">
        <v>36602</v>
      </c>
      <c r="C134" s="88" t="s">
        <v>856</v>
      </c>
      <c r="D134" s="617">
        <v>0</v>
      </c>
      <c r="E134" s="430">
        <v>0</v>
      </c>
      <c r="F134" s="430">
        <f t="shared" si="39"/>
        <v>0</v>
      </c>
      <c r="G134" s="466">
        <f t="shared" si="40"/>
        <v>1</v>
      </c>
      <c r="H134" s="467">
        <f t="shared" si="41"/>
        <v>0.49780000000000002</v>
      </c>
      <c r="I134" s="430">
        <f t="shared" si="42"/>
        <v>0</v>
      </c>
      <c r="K134" s="617">
        <v>0</v>
      </c>
      <c r="L134" s="466">
        <f t="shared" si="43"/>
        <v>1</v>
      </c>
      <c r="M134" s="467">
        <f t="shared" si="44"/>
        <v>0.49780000000000002</v>
      </c>
      <c r="N134" s="430">
        <f t="shared" si="45"/>
        <v>0</v>
      </c>
      <c r="P134" s="671"/>
    </row>
    <row r="135" spans="1:16">
      <c r="A135" s="1153">
        <f t="shared" si="28"/>
        <v>121</v>
      </c>
      <c r="B135" s="1045">
        <v>37402</v>
      </c>
      <c r="C135" s="88" t="s">
        <v>999</v>
      </c>
      <c r="D135" s="617">
        <v>0</v>
      </c>
      <c r="E135" s="430">
        <v>0</v>
      </c>
      <c r="F135" s="430">
        <f>D135+E135</f>
        <v>0</v>
      </c>
      <c r="G135" s="466">
        <f t="shared" si="40"/>
        <v>1</v>
      </c>
      <c r="H135" s="467">
        <f t="shared" si="41"/>
        <v>0.49780000000000002</v>
      </c>
      <c r="I135" s="430">
        <f>F135*G135*H135</f>
        <v>0</v>
      </c>
      <c r="K135" s="617">
        <v>0</v>
      </c>
      <c r="L135" s="466">
        <f>G135</f>
        <v>1</v>
      </c>
      <c r="M135" s="467">
        <f>H135</f>
        <v>0.49780000000000002</v>
      </c>
      <c r="N135" s="430">
        <f>K135*L135*M135</f>
        <v>0</v>
      </c>
    </row>
    <row r="136" spans="1:16">
      <c r="A136" s="1153">
        <f t="shared" si="28"/>
        <v>122</v>
      </c>
      <c r="B136" s="1045">
        <v>37501</v>
      </c>
      <c r="C136" s="88" t="s">
        <v>997</v>
      </c>
      <c r="D136" s="617">
        <v>0</v>
      </c>
      <c r="E136" s="430">
        <v>0</v>
      </c>
      <c r="F136" s="430">
        <f t="shared" si="39"/>
        <v>0</v>
      </c>
      <c r="G136" s="466">
        <f t="shared" si="40"/>
        <v>1</v>
      </c>
      <c r="H136" s="467">
        <f t="shared" si="41"/>
        <v>0.49780000000000002</v>
      </c>
      <c r="I136" s="430">
        <f t="shared" si="42"/>
        <v>0</v>
      </c>
      <c r="K136" s="617">
        <v>0</v>
      </c>
      <c r="L136" s="466">
        <f t="shared" si="43"/>
        <v>1</v>
      </c>
      <c r="M136" s="467">
        <f t="shared" si="44"/>
        <v>0.49780000000000002</v>
      </c>
      <c r="N136" s="430">
        <f t="shared" si="45"/>
        <v>0</v>
      </c>
    </row>
    <row r="137" spans="1:16">
      <c r="A137" s="1153">
        <f t="shared" si="28"/>
        <v>123</v>
      </c>
      <c r="B137" s="1045">
        <v>37503</v>
      </c>
      <c r="C137" s="88" t="s">
        <v>998</v>
      </c>
      <c r="D137" s="617">
        <v>0</v>
      </c>
      <c r="E137" s="430">
        <v>0</v>
      </c>
      <c r="F137" s="430">
        <f t="shared" si="39"/>
        <v>0</v>
      </c>
      <c r="G137" s="466">
        <f t="shared" si="40"/>
        <v>1</v>
      </c>
      <c r="H137" s="467">
        <f t="shared" si="41"/>
        <v>0.49780000000000002</v>
      </c>
      <c r="I137" s="430">
        <f t="shared" si="42"/>
        <v>0</v>
      </c>
      <c r="K137" s="617">
        <v>0</v>
      </c>
      <c r="L137" s="466">
        <f t="shared" si="43"/>
        <v>1</v>
      </c>
      <c r="M137" s="467">
        <f t="shared" si="44"/>
        <v>0.49780000000000002</v>
      </c>
      <c r="N137" s="430">
        <f t="shared" si="45"/>
        <v>0</v>
      </c>
    </row>
    <row r="138" spans="1:16">
      <c r="A138" s="1153">
        <f t="shared" si="28"/>
        <v>124</v>
      </c>
      <c r="B138" s="1045">
        <v>36700</v>
      </c>
      <c r="C138" s="88" t="s">
        <v>844</v>
      </c>
      <c r="D138" s="617">
        <v>0</v>
      </c>
      <c r="E138" s="430">
        <v>0</v>
      </c>
      <c r="F138" s="430">
        <f t="shared" si="39"/>
        <v>0</v>
      </c>
      <c r="G138" s="466">
        <f t="shared" si="40"/>
        <v>1</v>
      </c>
      <c r="H138" s="467">
        <f t="shared" si="41"/>
        <v>0.49780000000000002</v>
      </c>
      <c r="I138" s="430">
        <f t="shared" si="42"/>
        <v>0</v>
      </c>
      <c r="K138" s="617">
        <v>0</v>
      </c>
      <c r="L138" s="466">
        <f t="shared" si="43"/>
        <v>1</v>
      </c>
      <c r="M138" s="467">
        <f t="shared" si="44"/>
        <v>0.49780000000000002</v>
      </c>
      <c r="N138" s="430">
        <f t="shared" si="45"/>
        <v>0</v>
      </c>
    </row>
    <row r="139" spans="1:16">
      <c r="A139" s="1153">
        <f t="shared" si="28"/>
        <v>125</v>
      </c>
      <c r="B139" s="1045">
        <v>36701</v>
      </c>
      <c r="C139" s="88" t="s">
        <v>16</v>
      </c>
      <c r="D139" s="617">
        <v>0</v>
      </c>
      <c r="E139" s="430">
        <v>0</v>
      </c>
      <c r="F139" s="430">
        <f t="shared" si="39"/>
        <v>0</v>
      </c>
      <c r="G139" s="466">
        <f t="shared" si="40"/>
        <v>1</v>
      </c>
      <c r="H139" s="467">
        <f t="shared" si="41"/>
        <v>0.49780000000000002</v>
      </c>
      <c r="I139" s="430">
        <f t="shared" si="42"/>
        <v>0</v>
      </c>
      <c r="K139" s="617">
        <v>0</v>
      </c>
      <c r="L139" s="466">
        <f t="shared" si="43"/>
        <v>1</v>
      </c>
      <c r="M139" s="467">
        <f t="shared" si="44"/>
        <v>0.49780000000000002</v>
      </c>
      <c r="N139" s="430">
        <f t="shared" si="45"/>
        <v>0</v>
      </c>
    </row>
    <row r="140" spans="1:16">
      <c r="A140" s="1153">
        <f t="shared" si="28"/>
        <v>126</v>
      </c>
      <c r="B140" s="1045">
        <v>37602</v>
      </c>
      <c r="C140" s="88" t="s">
        <v>845</v>
      </c>
      <c r="D140" s="617">
        <v>0</v>
      </c>
      <c r="E140" s="430">
        <v>0</v>
      </c>
      <c r="F140" s="430">
        <f t="shared" si="39"/>
        <v>0</v>
      </c>
      <c r="G140" s="466">
        <f t="shared" si="40"/>
        <v>1</v>
      </c>
      <c r="H140" s="467">
        <f t="shared" si="41"/>
        <v>0.49780000000000002</v>
      </c>
      <c r="I140" s="430">
        <f t="shared" si="42"/>
        <v>0</v>
      </c>
      <c r="K140" s="617">
        <v>0</v>
      </c>
      <c r="L140" s="466">
        <f t="shared" si="43"/>
        <v>1</v>
      </c>
      <c r="M140" s="467">
        <f t="shared" si="44"/>
        <v>0.49780000000000002</v>
      </c>
      <c r="N140" s="430">
        <f t="shared" si="45"/>
        <v>0</v>
      </c>
    </row>
    <row r="141" spans="1:16">
      <c r="A141" s="1153">
        <f t="shared" si="28"/>
        <v>127</v>
      </c>
      <c r="B141" s="1045">
        <v>37800</v>
      </c>
      <c r="C141" s="88" t="s">
        <v>229</v>
      </c>
      <c r="D141" s="617">
        <v>0</v>
      </c>
      <c r="E141" s="430">
        <v>0</v>
      </c>
      <c r="F141" s="430">
        <f t="shared" si="39"/>
        <v>0</v>
      </c>
      <c r="G141" s="466">
        <f t="shared" si="40"/>
        <v>1</v>
      </c>
      <c r="H141" s="467">
        <f t="shared" si="41"/>
        <v>0.49780000000000002</v>
      </c>
      <c r="I141" s="430">
        <f t="shared" si="42"/>
        <v>0</v>
      </c>
      <c r="K141" s="617">
        <v>0</v>
      </c>
      <c r="L141" s="466">
        <f t="shared" si="43"/>
        <v>1</v>
      </c>
      <c r="M141" s="467">
        <f t="shared" si="44"/>
        <v>0.49780000000000002</v>
      </c>
      <c r="N141" s="430">
        <f t="shared" si="45"/>
        <v>0</v>
      </c>
    </row>
    <row r="142" spans="1:16">
      <c r="A142" s="1153">
        <f t="shared" si="28"/>
        <v>128</v>
      </c>
      <c r="B142" s="1045">
        <v>37900</v>
      </c>
      <c r="C142" s="88" t="s">
        <v>1190</v>
      </c>
      <c r="D142" s="617">
        <v>0</v>
      </c>
      <c r="E142" s="430">
        <v>0</v>
      </c>
      <c r="F142" s="430">
        <f t="shared" si="39"/>
        <v>0</v>
      </c>
      <c r="G142" s="466">
        <f t="shared" si="40"/>
        <v>1</v>
      </c>
      <c r="H142" s="467">
        <f t="shared" si="41"/>
        <v>0.49780000000000002</v>
      </c>
      <c r="I142" s="430">
        <f t="shared" si="42"/>
        <v>0</v>
      </c>
      <c r="K142" s="617">
        <v>0</v>
      </c>
      <c r="L142" s="466">
        <f t="shared" si="43"/>
        <v>1</v>
      </c>
      <c r="M142" s="467">
        <f t="shared" si="44"/>
        <v>0.49780000000000002</v>
      </c>
      <c r="N142" s="430">
        <f t="shared" si="45"/>
        <v>0</v>
      </c>
    </row>
    <row r="143" spans="1:16">
      <c r="A143" s="1153">
        <f t="shared" si="28"/>
        <v>129</v>
      </c>
      <c r="B143" s="1045">
        <v>37905</v>
      </c>
      <c r="C143" s="88" t="s">
        <v>725</v>
      </c>
      <c r="D143" s="617">
        <v>0</v>
      </c>
      <c r="E143" s="430">
        <v>0</v>
      </c>
      <c r="F143" s="430">
        <f t="shared" si="39"/>
        <v>0</v>
      </c>
      <c r="G143" s="466">
        <f t="shared" si="40"/>
        <v>1</v>
      </c>
      <c r="H143" s="467">
        <f t="shared" si="41"/>
        <v>0.49780000000000002</v>
      </c>
      <c r="I143" s="430">
        <f t="shared" si="42"/>
        <v>0</v>
      </c>
      <c r="K143" s="617">
        <v>0</v>
      </c>
      <c r="L143" s="466">
        <f t="shared" si="43"/>
        <v>1</v>
      </c>
      <c r="M143" s="467">
        <f t="shared" si="44"/>
        <v>0.49780000000000002</v>
      </c>
      <c r="N143" s="430">
        <f t="shared" si="45"/>
        <v>0</v>
      </c>
    </row>
    <row r="144" spans="1:16">
      <c r="A144" s="1153">
        <f t="shared" si="28"/>
        <v>130</v>
      </c>
      <c r="B144" s="1045">
        <v>38000</v>
      </c>
      <c r="C144" s="88" t="s">
        <v>1052</v>
      </c>
      <c r="D144" s="617">
        <v>0</v>
      </c>
      <c r="E144" s="430">
        <v>0</v>
      </c>
      <c r="F144" s="430">
        <f t="shared" si="39"/>
        <v>0</v>
      </c>
      <c r="G144" s="466">
        <f t="shared" si="40"/>
        <v>1</v>
      </c>
      <c r="H144" s="467">
        <f t="shared" si="41"/>
        <v>0.49780000000000002</v>
      </c>
      <c r="I144" s="430">
        <f t="shared" si="42"/>
        <v>0</v>
      </c>
      <c r="K144" s="617">
        <v>0</v>
      </c>
      <c r="L144" s="466">
        <f t="shared" si="43"/>
        <v>1</v>
      </c>
      <c r="M144" s="467">
        <f t="shared" si="44"/>
        <v>0.49780000000000002</v>
      </c>
      <c r="N144" s="430">
        <f t="shared" si="45"/>
        <v>0</v>
      </c>
    </row>
    <row r="145" spans="1:19">
      <c r="A145" s="1153">
        <f t="shared" si="28"/>
        <v>131</v>
      </c>
      <c r="B145" s="1045">
        <v>38100</v>
      </c>
      <c r="C145" s="88" t="s">
        <v>846</v>
      </c>
      <c r="D145" s="617">
        <v>0</v>
      </c>
      <c r="E145" s="430">
        <v>0</v>
      </c>
      <c r="F145" s="430">
        <f t="shared" si="39"/>
        <v>0</v>
      </c>
      <c r="G145" s="466">
        <f t="shared" si="40"/>
        <v>1</v>
      </c>
      <c r="H145" s="467">
        <f t="shared" si="41"/>
        <v>0.49780000000000002</v>
      </c>
      <c r="I145" s="430">
        <f t="shared" si="42"/>
        <v>0</v>
      </c>
      <c r="K145" s="617">
        <v>0</v>
      </c>
      <c r="L145" s="466">
        <f t="shared" si="43"/>
        <v>1</v>
      </c>
      <c r="M145" s="467">
        <f t="shared" si="44"/>
        <v>0.49780000000000002</v>
      </c>
      <c r="N145" s="430">
        <f t="shared" si="45"/>
        <v>0</v>
      </c>
    </row>
    <row r="146" spans="1:19">
      <c r="A146" s="1153">
        <f t="shared" si="28"/>
        <v>132</v>
      </c>
      <c r="B146" s="1045">
        <v>38200</v>
      </c>
      <c r="C146" s="88" t="s">
        <v>442</v>
      </c>
      <c r="D146" s="617">
        <v>0</v>
      </c>
      <c r="E146" s="430">
        <v>0</v>
      </c>
      <c r="F146" s="430">
        <f t="shared" si="39"/>
        <v>0</v>
      </c>
      <c r="G146" s="466">
        <f t="shared" si="40"/>
        <v>1</v>
      </c>
      <c r="H146" s="467">
        <f t="shared" si="41"/>
        <v>0.49780000000000002</v>
      </c>
      <c r="I146" s="430">
        <f t="shared" si="42"/>
        <v>0</v>
      </c>
      <c r="K146" s="617">
        <v>0</v>
      </c>
      <c r="L146" s="466">
        <f t="shared" si="43"/>
        <v>1</v>
      </c>
      <c r="M146" s="467">
        <f t="shared" si="44"/>
        <v>0.49780000000000002</v>
      </c>
      <c r="N146" s="430">
        <f t="shared" si="45"/>
        <v>0</v>
      </c>
    </row>
    <row r="147" spans="1:19">
      <c r="A147" s="1153">
        <f t="shared" si="28"/>
        <v>133</v>
      </c>
      <c r="B147" s="1045">
        <v>38300</v>
      </c>
      <c r="C147" s="88" t="s">
        <v>1053</v>
      </c>
      <c r="D147" s="617">
        <v>0</v>
      </c>
      <c r="E147" s="430">
        <v>0</v>
      </c>
      <c r="F147" s="430">
        <f t="shared" si="39"/>
        <v>0</v>
      </c>
      <c r="G147" s="466">
        <f t="shared" si="40"/>
        <v>1</v>
      </c>
      <c r="H147" s="467">
        <f t="shared" si="41"/>
        <v>0.49780000000000002</v>
      </c>
      <c r="I147" s="430">
        <f t="shared" si="42"/>
        <v>0</v>
      </c>
      <c r="K147" s="617">
        <v>0</v>
      </c>
      <c r="L147" s="466">
        <f t="shared" si="43"/>
        <v>1</v>
      </c>
      <c r="M147" s="467">
        <f t="shared" si="44"/>
        <v>0.49780000000000002</v>
      </c>
      <c r="N147" s="430">
        <f t="shared" si="45"/>
        <v>0</v>
      </c>
    </row>
    <row r="148" spans="1:19">
      <c r="A148" s="1153">
        <f t="shared" ref="A148:A211" si="46">A147+1</f>
        <v>134</v>
      </c>
      <c r="B148" s="1045">
        <v>38400</v>
      </c>
      <c r="C148" s="88" t="s">
        <v>443</v>
      </c>
      <c r="D148" s="617">
        <v>0</v>
      </c>
      <c r="E148" s="430">
        <v>0</v>
      </c>
      <c r="F148" s="430">
        <f t="shared" si="39"/>
        <v>0</v>
      </c>
      <c r="G148" s="466">
        <f t="shared" si="40"/>
        <v>1</v>
      </c>
      <c r="H148" s="467">
        <f t="shared" si="41"/>
        <v>0.49780000000000002</v>
      </c>
      <c r="I148" s="430">
        <f t="shared" si="42"/>
        <v>0</v>
      </c>
      <c r="K148" s="617">
        <v>0</v>
      </c>
      <c r="L148" s="466">
        <f t="shared" si="43"/>
        <v>1</v>
      </c>
      <c r="M148" s="467">
        <f t="shared" si="44"/>
        <v>0.49780000000000002</v>
      </c>
      <c r="N148" s="430">
        <f t="shared" si="45"/>
        <v>0</v>
      </c>
    </row>
    <row r="149" spans="1:19">
      <c r="A149" s="1153">
        <f t="shared" si="46"/>
        <v>135</v>
      </c>
      <c r="B149" s="1045">
        <v>38500</v>
      </c>
      <c r="C149" s="88" t="s">
        <v>444</v>
      </c>
      <c r="D149" s="617">
        <v>0</v>
      </c>
      <c r="E149" s="430">
        <v>0</v>
      </c>
      <c r="F149" s="430">
        <f t="shared" si="39"/>
        <v>0</v>
      </c>
      <c r="G149" s="466">
        <f t="shared" si="40"/>
        <v>1</v>
      </c>
      <c r="H149" s="467">
        <f t="shared" si="41"/>
        <v>0.49780000000000002</v>
      </c>
      <c r="I149" s="430">
        <f t="shared" si="42"/>
        <v>0</v>
      </c>
      <c r="K149" s="617">
        <v>0</v>
      </c>
      <c r="L149" s="466">
        <f t="shared" si="43"/>
        <v>1</v>
      </c>
      <c r="M149" s="467">
        <f t="shared" si="44"/>
        <v>0.49780000000000002</v>
      </c>
      <c r="N149" s="430">
        <f t="shared" si="45"/>
        <v>0</v>
      </c>
    </row>
    <row r="150" spans="1:19">
      <c r="A150" s="1153">
        <f t="shared" si="46"/>
        <v>136</v>
      </c>
      <c r="B150" s="1045">
        <v>38600</v>
      </c>
      <c r="C150" s="88" t="s">
        <v>106</v>
      </c>
      <c r="D150" s="1046">
        <v>0</v>
      </c>
      <c r="E150" s="1043">
        <v>0</v>
      </c>
      <c r="F150" s="1043">
        <f t="shared" si="39"/>
        <v>0</v>
      </c>
      <c r="G150" s="466">
        <f t="shared" si="40"/>
        <v>1</v>
      </c>
      <c r="H150" s="467">
        <f t="shared" si="41"/>
        <v>0.49780000000000002</v>
      </c>
      <c r="I150" s="1043">
        <f t="shared" si="42"/>
        <v>0</v>
      </c>
      <c r="K150" s="1046">
        <v>0</v>
      </c>
      <c r="L150" s="466">
        <f t="shared" si="43"/>
        <v>1</v>
      </c>
      <c r="M150" s="467">
        <f t="shared" si="44"/>
        <v>0.49780000000000002</v>
      </c>
      <c r="N150" s="1043">
        <f t="shared" si="45"/>
        <v>0</v>
      </c>
    </row>
    <row r="151" spans="1:19">
      <c r="A151" s="1153">
        <f t="shared" si="46"/>
        <v>137</v>
      </c>
      <c r="B151" s="1041"/>
      <c r="C151" s="88"/>
      <c r="M151" s="467"/>
    </row>
    <row r="152" spans="1:19">
      <c r="A152" s="1153">
        <f t="shared" si="46"/>
        <v>138</v>
      </c>
      <c r="B152" s="1041"/>
      <c r="C152" s="88" t="s">
        <v>300</v>
      </c>
      <c r="D152" s="360">
        <f>SUM(D130:D151)</f>
        <v>0</v>
      </c>
      <c r="E152" s="346">
        <f>SUM(E130:E151)</f>
        <v>0</v>
      </c>
      <c r="F152" s="346">
        <f>SUM(F130:F151)</f>
        <v>0</v>
      </c>
      <c r="I152" s="346">
        <f>SUM(I130:I151)</f>
        <v>0</v>
      </c>
      <c r="K152" s="360">
        <f>SUM(K130:K151)</f>
        <v>0</v>
      </c>
      <c r="M152" s="467"/>
      <c r="N152" s="346">
        <f>SUM(N130:N151)</f>
        <v>0</v>
      </c>
    </row>
    <row r="153" spans="1:19">
      <c r="A153" s="1153">
        <f t="shared" si="46"/>
        <v>139</v>
      </c>
      <c r="B153" s="1041"/>
      <c r="C153" s="88"/>
      <c r="M153" s="467"/>
    </row>
    <row r="154" spans="1:19">
      <c r="A154" s="1153">
        <f t="shared" si="46"/>
        <v>140</v>
      </c>
      <c r="B154" s="1041"/>
      <c r="C154" s="620" t="s">
        <v>1169</v>
      </c>
      <c r="M154" s="467"/>
    </row>
    <row r="155" spans="1:19">
      <c r="A155" s="1153">
        <f t="shared" si="46"/>
        <v>141</v>
      </c>
      <c r="B155" s="1045">
        <v>39001</v>
      </c>
      <c r="C155" s="88" t="s">
        <v>540</v>
      </c>
      <c r="D155" s="322">
        <f>'[4]Gross Plant'!$AF86</f>
        <v>179338.52</v>
      </c>
      <c r="E155" s="346">
        <v>0</v>
      </c>
      <c r="F155" s="346">
        <f t="shared" ref="F155:F175" si="47">D155+E155</f>
        <v>179338.52</v>
      </c>
      <c r="G155" s="466">
        <f t="shared" ref="G155:G175" si="48">$G$16</f>
        <v>1</v>
      </c>
      <c r="H155" s="467">
        <f t="shared" ref="H155:H175" si="49">$H$124</f>
        <v>0.49780000000000002</v>
      </c>
      <c r="I155" s="346">
        <f t="shared" ref="I155:I175" si="50">F155*G155*H155</f>
        <v>89274.715255999996</v>
      </c>
      <c r="K155" s="322">
        <f>'[4]Gross Plant'!$D86</f>
        <v>179338.52</v>
      </c>
      <c r="L155" s="466">
        <f t="shared" ref="L155:L175" si="51">G155</f>
        <v>1</v>
      </c>
      <c r="M155" s="467">
        <f t="shared" ref="M155:M175" si="52">H155</f>
        <v>0.49780000000000002</v>
      </c>
      <c r="N155" s="346">
        <f t="shared" ref="N155:N175" si="53">K155*L155*M155</f>
        <v>89274.715255999996</v>
      </c>
      <c r="S155" s="424"/>
    </row>
    <row r="156" spans="1:19">
      <c r="A156" s="1153">
        <f t="shared" si="46"/>
        <v>142</v>
      </c>
      <c r="B156" s="1045">
        <v>39004</v>
      </c>
      <c r="C156" s="88" t="s">
        <v>445</v>
      </c>
      <c r="D156" s="322">
        <f>'[4]Gross Plant'!$AF87</f>
        <v>15383.91</v>
      </c>
      <c r="E156" s="430">
        <v>0</v>
      </c>
      <c r="F156" s="430">
        <f t="shared" si="47"/>
        <v>15383.91</v>
      </c>
      <c r="G156" s="466">
        <f t="shared" si="48"/>
        <v>1</v>
      </c>
      <c r="H156" s="467">
        <f t="shared" si="49"/>
        <v>0.49780000000000002</v>
      </c>
      <c r="I156" s="430">
        <f t="shared" si="50"/>
        <v>7658.1103979999998</v>
      </c>
      <c r="K156" s="322">
        <f>'[4]Gross Plant'!$D87</f>
        <v>15383.910000000002</v>
      </c>
      <c r="L156" s="466">
        <f t="shared" si="51"/>
        <v>1</v>
      </c>
      <c r="M156" s="467">
        <f t="shared" si="52"/>
        <v>0.49780000000000002</v>
      </c>
      <c r="N156" s="430">
        <f t="shared" si="53"/>
        <v>7658.1103980000007</v>
      </c>
      <c r="S156" s="424"/>
    </row>
    <row r="157" spans="1:19">
      <c r="A157" s="1153">
        <f t="shared" si="46"/>
        <v>143</v>
      </c>
      <c r="B157" s="1045">
        <v>39009</v>
      </c>
      <c r="C157" s="88" t="s">
        <v>1036</v>
      </c>
      <c r="D157" s="322">
        <f>'[4]Gross Plant'!$AF88</f>
        <v>38834</v>
      </c>
      <c r="E157" s="430">
        <v>0</v>
      </c>
      <c r="F157" s="430">
        <f t="shared" si="47"/>
        <v>38834</v>
      </c>
      <c r="G157" s="466">
        <f t="shared" si="48"/>
        <v>1</v>
      </c>
      <c r="H157" s="467">
        <f t="shared" si="49"/>
        <v>0.49780000000000002</v>
      </c>
      <c r="I157" s="430">
        <f t="shared" si="50"/>
        <v>19331.565200000001</v>
      </c>
      <c r="K157" s="322">
        <f>'[4]Gross Plant'!$D88</f>
        <v>38834</v>
      </c>
      <c r="L157" s="466">
        <f t="shared" si="51"/>
        <v>1</v>
      </c>
      <c r="M157" s="467">
        <f t="shared" si="52"/>
        <v>0.49780000000000002</v>
      </c>
      <c r="N157" s="430">
        <f t="shared" si="53"/>
        <v>19331.565200000001</v>
      </c>
      <c r="S157" s="424"/>
    </row>
    <row r="158" spans="1:19">
      <c r="A158" s="1153">
        <f t="shared" si="46"/>
        <v>144</v>
      </c>
      <c r="B158" s="1045">
        <v>39100</v>
      </c>
      <c r="C158" s="88" t="s">
        <v>779</v>
      </c>
      <c r="D158" s="322">
        <f>'[4]Gross Plant'!$AF89</f>
        <v>38609.33</v>
      </c>
      <c r="E158" s="430">
        <v>0</v>
      </c>
      <c r="F158" s="430">
        <f t="shared" si="47"/>
        <v>38609.33</v>
      </c>
      <c r="G158" s="466">
        <f t="shared" si="48"/>
        <v>1</v>
      </c>
      <c r="H158" s="467">
        <f t="shared" si="49"/>
        <v>0.49780000000000002</v>
      </c>
      <c r="I158" s="430">
        <f t="shared" si="50"/>
        <v>19219.724474000002</v>
      </c>
      <c r="K158" s="322">
        <f>'[4]Gross Plant'!$D89</f>
        <v>38609.330000000009</v>
      </c>
      <c r="L158" s="466">
        <f t="shared" si="51"/>
        <v>1</v>
      </c>
      <c r="M158" s="467">
        <f t="shared" si="52"/>
        <v>0.49780000000000002</v>
      </c>
      <c r="N158" s="430">
        <f t="shared" si="53"/>
        <v>19219.724474000006</v>
      </c>
      <c r="S158" s="424"/>
    </row>
    <row r="159" spans="1:19">
      <c r="A159" s="1153">
        <f t="shared" si="46"/>
        <v>145</v>
      </c>
      <c r="B159" s="1045">
        <v>39101</v>
      </c>
      <c r="C159" s="88" t="s">
        <v>1502</v>
      </c>
      <c r="D159" s="322">
        <f>'[4]Gross Plant'!$AF90</f>
        <v>0</v>
      </c>
      <c r="E159" s="430">
        <v>0</v>
      </c>
      <c r="F159" s="430">
        <f t="shared" si="47"/>
        <v>0</v>
      </c>
      <c r="G159" s="466">
        <f t="shared" si="48"/>
        <v>1</v>
      </c>
      <c r="H159" s="467">
        <f t="shared" si="49"/>
        <v>0.49780000000000002</v>
      </c>
      <c r="I159" s="430">
        <f t="shared" si="50"/>
        <v>0</v>
      </c>
      <c r="K159" s="322">
        <f>'[4]Gross Plant'!$D90</f>
        <v>0</v>
      </c>
      <c r="L159" s="466">
        <f t="shared" ref="L159:L170" si="54">G159</f>
        <v>1</v>
      </c>
      <c r="M159" s="467">
        <f t="shared" ref="M159:M170" si="55">H159</f>
        <v>0.49780000000000002</v>
      </c>
      <c r="N159" s="430">
        <f t="shared" ref="N159:N170" si="56">K159*L159*M159</f>
        <v>0</v>
      </c>
      <c r="S159" s="424"/>
    </row>
    <row r="160" spans="1:19">
      <c r="A160" s="1153">
        <f t="shared" si="46"/>
        <v>146</v>
      </c>
      <c r="B160" s="1045">
        <v>39103</v>
      </c>
      <c r="C160" s="88" t="s">
        <v>780</v>
      </c>
      <c r="D160" s="322">
        <f>'[4]Gross Plant'!$AF91</f>
        <v>0</v>
      </c>
      <c r="E160" s="430">
        <v>0</v>
      </c>
      <c r="F160" s="430">
        <f t="shared" si="47"/>
        <v>0</v>
      </c>
      <c r="G160" s="466">
        <f t="shared" si="48"/>
        <v>1</v>
      </c>
      <c r="H160" s="467">
        <f t="shared" si="49"/>
        <v>0.49780000000000002</v>
      </c>
      <c r="I160" s="430">
        <f t="shared" si="50"/>
        <v>0</v>
      </c>
      <c r="K160" s="322">
        <f>'[4]Gross Plant'!$D91</f>
        <v>0</v>
      </c>
      <c r="L160" s="466">
        <f t="shared" si="54"/>
        <v>1</v>
      </c>
      <c r="M160" s="467">
        <f t="shared" si="55"/>
        <v>0.49780000000000002</v>
      </c>
      <c r="N160" s="430">
        <f t="shared" si="56"/>
        <v>0</v>
      </c>
      <c r="S160" s="424"/>
    </row>
    <row r="161" spans="1:19">
      <c r="A161" s="1153">
        <f t="shared" si="46"/>
        <v>147</v>
      </c>
      <c r="B161" s="1045">
        <v>39200</v>
      </c>
      <c r="C161" s="88" t="s">
        <v>1076</v>
      </c>
      <c r="D161" s="322">
        <f>'[4]Gross Plant'!$AF92</f>
        <v>27284.69</v>
      </c>
      <c r="E161" s="430">
        <v>0</v>
      </c>
      <c r="F161" s="430">
        <f t="shared" si="47"/>
        <v>27284.69</v>
      </c>
      <c r="G161" s="466">
        <f t="shared" si="48"/>
        <v>1</v>
      </c>
      <c r="H161" s="467">
        <f t="shared" si="49"/>
        <v>0.49780000000000002</v>
      </c>
      <c r="I161" s="430">
        <f t="shared" si="50"/>
        <v>13582.318681999999</v>
      </c>
      <c r="K161" s="322">
        <f>'[4]Gross Plant'!$D92</f>
        <v>27284.69</v>
      </c>
      <c r="L161" s="466">
        <f t="shared" si="54"/>
        <v>1</v>
      </c>
      <c r="M161" s="467">
        <f t="shared" si="55"/>
        <v>0.49780000000000002</v>
      </c>
      <c r="N161" s="430">
        <f t="shared" si="56"/>
        <v>13582.318681999999</v>
      </c>
      <c r="S161" s="424"/>
    </row>
    <row r="162" spans="1:19">
      <c r="A162" s="1153">
        <f t="shared" si="46"/>
        <v>148</v>
      </c>
      <c r="B162" s="1045">
        <v>39300</v>
      </c>
      <c r="C162" s="88" t="s">
        <v>649</v>
      </c>
      <c r="D162" s="322">
        <f>'[4]Gross Plant'!$AF93</f>
        <v>0</v>
      </c>
      <c r="E162" s="430">
        <v>0</v>
      </c>
      <c r="F162" s="430">
        <f t="shared" si="47"/>
        <v>0</v>
      </c>
      <c r="G162" s="466">
        <f t="shared" si="48"/>
        <v>1</v>
      </c>
      <c r="H162" s="467">
        <f t="shared" si="49"/>
        <v>0.49780000000000002</v>
      </c>
      <c r="I162" s="430">
        <f t="shared" si="50"/>
        <v>0</v>
      </c>
      <c r="K162" s="322">
        <f>'[4]Gross Plant'!$D93</f>
        <v>0</v>
      </c>
      <c r="L162" s="466">
        <f t="shared" si="54"/>
        <v>1</v>
      </c>
      <c r="M162" s="467">
        <f t="shared" si="55"/>
        <v>0.49780000000000002</v>
      </c>
      <c r="N162" s="430">
        <f t="shared" si="56"/>
        <v>0</v>
      </c>
      <c r="S162" s="424"/>
    </row>
    <row r="163" spans="1:19">
      <c r="A163" s="1153">
        <f t="shared" si="46"/>
        <v>149</v>
      </c>
      <c r="B163" s="1045">
        <v>39400</v>
      </c>
      <c r="C163" s="88" t="s">
        <v>1035</v>
      </c>
      <c r="D163" s="322">
        <f>'[4]Gross Plant'!$AF94</f>
        <v>175867.44</v>
      </c>
      <c r="E163" s="430">
        <v>0</v>
      </c>
      <c r="F163" s="430">
        <f t="shared" si="47"/>
        <v>175867.44</v>
      </c>
      <c r="G163" s="466">
        <f t="shared" si="48"/>
        <v>1</v>
      </c>
      <c r="H163" s="467">
        <f t="shared" si="49"/>
        <v>0.49780000000000002</v>
      </c>
      <c r="I163" s="430">
        <f t="shared" si="50"/>
        <v>87546.811632000012</v>
      </c>
      <c r="K163" s="322">
        <f>'[4]Gross Plant'!$D94</f>
        <v>175867.43999999997</v>
      </c>
      <c r="L163" s="466">
        <f t="shared" si="54"/>
        <v>1</v>
      </c>
      <c r="M163" s="467">
        <f t="shared" si="55"/>
        <v>0.49780000000000002</v>
      </c>
      <c r="N163" s="430">
        <f t="shared" si="56"/>
        <v>87546.811631999997</v>
      </c>
      <c r="S163" s="424"/>
    </row>
    <row r="164" spans="1:19">
      <c r="A164" s="1153">
        <f t="shared" si="46"/>
        <v>150</v>
      </c>
      <c r="B164" s="1045">
        <v>39600</v>
      </c>
      <c r="C164" s="88" t="s">
        <v>541</v>
      </c>
      <c r="D164" s="322">
        <f>'[4]Gross Plant'!$AF95</f>
        <v>20515.689999999999</v>
      </c>
      <c r="E164" s="430">
        <v>0</v>
      </c>
      <c r="F164" s="430">
        <f t="shared" si="47"/>
        <v>20515.689999999999</v>
      </c>
      <c r="G164" s="466">
        <f t="shared" si="48"/>
        <v>1</v>
      </c>
      <c r="H164" s="467">
        <f t="shared" si="49"/>
        <v>0.49780000000000002</v>
      </c>
      <c r="I164" s="430">
        <f t="shared" si="50"/>
        <v>10212.710482</v>
      </c>
      <c r="K164" s="322">
        <f>'[4]Gross Plant'!$D95</f>
        <v>20515.689999999999</v>
      </c>
      <c r="L164" s="466">
        <f t="shared" si="54"/>
        <v>1</v>
      </c>
      <c r="M164" s="467">
        <f t="shared" si="55"/>
        <v>0.49780000000000002</v>
      </c>
      <c r="N164" s="430">
        <f t="shared" si="56"/>
        <v>10212.710482</v>
      </c>
      <c r="S164" s="424"/>
    </row>
    <row r="165" spans="1:19">
      <c r="A165" s="1153">
        <f t="shared" si="46"/>
        <v>151</v>
      </c>
      <c r="B165" s="1045">
        <v>39700</v>
      </c>
      <c r="C165" s="88" t="s">
        <v>440</v>
      </c>
      <c r="D165" s="322">
        <f>'[4]Gross Plant'!$AF96</f>
        <v>37541</v>
      </c>
      <c r="E165" s="430">
        <v>0</v>
      </c>
      <c r="F165" s="430">
        <f t="shared" si="47"/>
        <v>37541</v>
      </c>
      <c r="G165" s="466">
        <f t="shared" si="48"/>
        <v>1</v>
      </c>
      <c r="H165" s="467">
        <f t="shared" si="49"/>
        <v>0.49780000000000002</v>
      </c>
      <c r="I165" s="430">
        <f t="shared" si="50"/>
        <v>18687.909800000001</v>
      </c>
      <c r="K165" s="322">
        <f>'[4]Gross Plant'!$D96</f>
        <v>37541</v>
      </c>
      <c r="L165" s="466">
        <f t="shared" si="54"/>
        <v>1</v>
      </c>
      <c r="M165" s="467">
        <f t="shared" si="55"/>
        <v>0.49780000000000002</v>
      </c>
      <c r="N165" s="430">
        <f t="shared" si="56"/>
        <v>18687.909800000001</v>
      </c>
      <c r="S165" s="424"/>
    </row>
    <row r="166" spans="1:19">
      <c r="A166" s="1153">
        <f t="shared" si="46"/>
        <v>152</v>
      </c>
      <c r="B166" s="1045">
        <v>39701</v>
      </c>
      <c r="C166" s="88" t="s">
        <v>1499</v>
      </c>
      <c r="D166" s="322">
        <f>'[4]Gross Plant'!$AF97</f>
        <v>0</v>
      </c>
      <c r="E166" s="430">
        <v>0</v>
      </c>
      <c r="F166" s="430">
        <f t="shared" si="47"/>
        <v>0</v>
      </c>
      <c r="G166" s="466">
        <f t="shared" si="48"/>
        <v>1</v>
      </c>
      <c r="H166" s="467">
        <f t="shared" si="49"/>
        <v>0.49780000000000002</v>
      </c>
      <c r="I166" s="430">
        <f t="shared" si="50"/>
        <v>0</v>
      </c>
      <c r="K166" s="322">
        <f>'[4]Gross Plant'!$D97</f>
        <v>0</v>
      </c>
      <c r="L166" s="466">
        <f t="shared" si="54"/>
        <v>1</v>
      </c>
      <c r="M166" s="467">
        <f t="shared" si="55"/>
        <v>0.49780000000000002</v>
      </c>
      <c r="N166" s="430">
        <f t="shared" si="56"/>
        <v>0</v>
      </c>
      <c r="S166" s="424"/>
    </row>
    <row r="167" spans="1:19">
      <c r="A167" s="1153">
        <f t="shared" si="46"/>
        <v>153</v>
      </c>
      <c r="B167" s="1045">
        <v>39702</v>
      </c>
      <c r="C167" s="88" t="s">
        <v>1499</v>
      </c>
      <c r="D167" s="322">
        <f>'[4]Gross Plant'!$AF98</f>
        <v>0</v>
      </c>
      <c r="E167" s="430">
        <v>0</v>
      </c>
      <c r="F167" s="430">
        <f t="shared" si="47"/>
        <v>0</v>
      </c>
      <c r="G167" s="466">
        <f t="shared" si="48"/>
        <v>1</v>
      </c>
      <c r="H167" s="467">
        <f t="shared" si="49"/>
        <v>0.49780000000000002</v>
      </c>
      <c r="I167" s="430">
        <f t="shared" si="50"/>
        <v>0</v>
      </c>
      <c r="K167" s="322">
        <f>'[4]Gross Plant'!$D98</f>
        <v>0</v>
      </c>
      <c r="L167" s="466">
        <f t="shared" si="54"/>
        <v>1</v>
      </c>
      <c r="M167" s="467">
        <f t="shared" si="55"/>
        <v>0.49780000000000002</v>
      </c>
      <c r="N167" s="430">
        <f t="shared" si="56"/>
        <v>0</v>
      </c>
      <c r="S167" s="424"/>
    </row>
    <row r="168" spans="1:19">
      <c r="A168" s="1153">
        <f t="shared" si="46"/>
        <v>154</v>
      </c>
      <c r="B168" s="1045">
        <v>39800</v>
      </c>
      <c r="C168" s="88" t="s">
        <v>650</v>
      </c>
      <c r="D168" s="322">
        <f>'[4]Gross Plant'!$AF99</f>
        <v>814166.88</v>
      </c>
      <c r="E168" s="430">
        <v>0</v>
      </c>
      <c r="F168" s="430">
        <f t="shared" si="47"/>
        <v>814166.88</v>
      </c>
      <c r="G168" s="466">
        <f t="shared" si="48"/>
        <v>1</v>
      </c>
      <c r="H168" s="467">
        <f t="shared" si="49"/>
        <v>0.49780000000000002</v>
      </c>
      <c r="I168" s="430">
        <f t="shared" si="50"/>
        <v>405292.272864</v>
      </c>
      <c r="K168" s="322">
        <f>'[4]Gross Plant'!$D99</f>
        <v>814166.88000000012</v>
      </c>
      <c r="L168" s="466">
        <f t="shared" si="54"/>
        <v>1</v>
      </c>
      <c r="M168" s="467">
        <f t="shared" si="55"/>
        <v>0.49780000000000002</v>
      </c>
      <c r="N168" s="430">
        <f t="shared" si="56"/>
        <v>405292.27286400006</v>
      </c>
      <c r="S168" s="424"/>
    </row>
    <row r="169" spans="1:19">
      <c r="A169" s="1153">
        <f t="shared" si="46"/>
        <v>155</v>
      </c>
      <c r="B169" s="1045">
        <v>39900</v>
      </c>
      <c r="C169" s="88" t="s">
        <v>1152</v>
      </c>
      <c r="D169" s="322">
        <f>'[4]Gross Plant'!$AF100</f>
        <v>0</v>
      </c>
      <c r="E169" s="430">
        <v>0</v>
      </c>
      <c r="F169" s="430">
        <f t="shared" si="47"/>
        <v>0</v>
      </c>
      <c r="G169" s="466">
        <f t="shared" si="48"/>
        <v>1</v>
      </c>
      <c r="H169" s="467">
        <f t="shared" si="49"/>
        <v>0.49780000000000002</v>
      </c>
      <c r="I169" s="430">
        <f t="shared" si="50"/>
        <v>0</v>
      </c>
      <c r="K169" s="322">
        <f>'[4]Gross Plant'!$D100</f>
        <v>0</v>
      </c>
      <c r="L169" s="466">
        <f t="shared" si="54"/>
        <v>1</v>
      </c>
      <c r="M169" s="467">
        <f t="shared" si="55"/>
        <v>0.49780000000000002</v>
      </c>
      <c r="N169" s="430">
        <f t="shared" si="56"/>
        <v>0</v>
      </c>
      <c r="S169" s="424"/>
    </row>
    <row r="170" spans="1:19">
      <c r="A170" s="1153">
        <f t="shared" si="46"/>
        <v>156</v>
      </c>
      <c r="B170" s="1045">
        <v>39901</v>
      </c>
      <c r="C170" s="88" t="s">
        <v>474</v>
      </c>
      <c r="D170" s="322">
        <f>'[4]Gross Plant'!$AF101</f>
        <v>0</v>
      </c>
      <c r="E170" s="430">
        <v>0</v>
      </c>
      <c r="F170" s="430">
        <f t="shared" si="47"/>
        <v>0</v>
      </c>
      <c r="G170" s="466">
        <f t="shared" si="48"/>
        <v>1</v>
      </c>
      <c r="H170" s="467">
        <f t="shared" si="49"/>
        <v>0.49780000000000002</v>
      </c>
      <c r="I170" s="430">
        <f t="shared" si="50"/>
        <v>0</v>
      </c>
      <c r="K170" s="322">
        <f>'[4]Gross Plant'!$D101</f>
        <v>0</v>
      </c>
      <c r="L170" s="466">
        <f t="shared" si="54"/>
        <v>1</v>
      </c>
      <c r="M170" s="467">
        <f t="shared" si="55"/>
        <v>0.49780000000000002</v>
      </c>
      <c r="N170" s="430">
        <f t="shared" si="56"/>
        <v>0</v>
      </c>
      <c r="S170" s="424"/>
    </row>
    <row r="171" spans="1:19">
      <c r="A171" s="1153">
        <f t="shared" si="46"/>
        <v>157</v>
      </c>
      <c r="B171" s="1045">
        <v>39902</v>
      </c>
      <c r="C171" s="88" t="s">
        <v>960</v>
      </c>
      <c r="D171" s="322">
        <f>'[4]Gross Plant'!$AF102</f>
        <v>0</v>
      </c>
      <c r="E171" s="430">
        <v>0</v>
      </c>
      <c r="F171" s="430">
        <f t="shared" si="47"/>
        <v>0</v>
      </c>
      <c r="G171" s="466">
        <f t="shared" si="48"/>
        <v>1</v>
      </c>
      <c r="H171" s="467">
        <f t="shared" si="49"/>
        <v>0.49780000000000002</v>
      </c>
      <c r="I171" s="430">
        <f t="shared" si="50"/>
        <v>0</v>
      </c>
      <c r="K171" s="322">
        <f>'[4]Gross Plant'!$D102</f>
        <v>0</v>
      </c>
      <c r="L171" s="466">
        <f t="shared" si="51"/>
        <v>1</v>
      </c>
      <c r="M171" s="467">
        <f t="shared" si="52"/>
        <v>0.49780000000000002</v>
      </c>
      <c r="N171" s="430">
        <f t="shared" si="53"/>
        <v>0</v>
      </c>
      <c r="S171" s="424"/>
    </row>
    <row r="172" spans="1:19">
      <c r="A172" s="1153">
        <f t="shared" si="46"/>
        <v>158</v>
      </c>
      <c r="B172" s="1045">
        <v>39903</v>
      </c>
      <c r="C172" s="88" t="s">
        <v>1003</v>
      </c>
      <c r="D172" s="322">
        <f>'[4]Gross Plant'!$AF103</f>
        <v>0</v>
      </c>
      <c r="E172" s="430">
        <v>0</v>
      </c>
      <c r="F172" s="430">
        <f t="shared" si="47"/>
        <v>0</v>
      </c>
      <c r="G172" s="466">
        <f t="shared" si="48"/>
        <v>1</v>
      </c>
      <c r="H172" s="467">
        <f t="shared" si="49"/>
        <v>0.49780000000000002</v>
      </c>
      <c r="I172" s="430">
        <f t="shared" si="50"/>
        <v>0</v>
      </c>
      <c r="K172" s="322">
        <f>'[4]Gross Plant'!$D103</f>
        <v>0</v>
      </c>
      <c r="L172" s="466">
        <f t="shared" si="51"/>
        <v>1</v>
      </c>
      <c r="M172" s="467">
        <f t="shared" si="52"/>
        <v>0.49780000000000002</v>
      </c>
      <c r="N172" s="430">
        <f t="shared" si="53"/>
        <v>0</v>
      </c>
      <c r="S172" s="424"/>
    </row>
    <row r="173" spans="1:19">
      <c r="A173" s="1153">
        <f t="shared" si="46"/>
        <v>159</v>
      </c>
      <c r="B173" s="1045">
        <v>39906</v>
      </c>
      <c r="C173" s="88" t="s">
        <v>451</v>
      </c>
      <c r="D173" s="322">
        <f>'[4]Gross Plant'!$AF104</f>
        <v>70177.67</v>
      </c>
      <c r="E173" s="430">
        <v>0</v>
      </c>
      <c r="F173" s="430">
        <f t="shared" si="47"/>
        <v>70177.67</v>
      </c>
      <c r="G173" s="466">
        <f t="shared" si="48"/>
        <v>1</v>
      </c>
      <c r="H173" s="467">
        <f t="shared" si="49"/>
        <v>0.49780000000000002</v>
      </c>
      <c r="I173" s="430">
        <f t="shared" si="50"/>
        <v>34934.444126000002</v>
      </c>
      <c r="K173" s="322">
        <f>'[4]Gross Plant'!$D104</f>
        <v>70177.670000000013</v>
      </c>
      <c r="L173" s="466">
        <f t="shared" si="51"/>
        <v>1</v>
      </c>
      <c r="M173" s="467">
        <f t="shared" si="52"/>
        <v>0.49780000000000002</v>
      </c>
      <c r="N173" s="430">
        <f t="shared" si="53"/>
        <v>34934.444126000009</v>
      </c>
      <c r="S173" s="424"/>
    </row>
    <row r="174" spans="1:19">
      <c r="A174" s="1153">
        <f t="shared" si="46"/>
        <v>160</v>
      </c>
      <c r="B174" s="1045">
        <v>39907</v>
      </c>
      <c r="C174" s="88" t="s">
        <v>505</v>
      </c>
      <c r="D174" s="322">
        <f>'[4]Gross Plant'!$AF105</f>
        <v>197252.58000000002</v>
      </c>
      <c r="E174" s="430">
        <v>0</v>
      </c>
      <c r="F174" s="430">
        <f t="shared" si="47"/>
        <v>197252.58000000002</v>
      </c>
      <c r="G174" s="466">
        <f t="shared" si="48"/>
        <v>1</v>
      </c>
      <c r="H174" s="467">
        <f t="shared" si="49"/>
        <v>0.49780000000000002</v>
      </c>
      <c r="I174" s="430">
        <f t="shared" si="50"/>
        <v>98192.33432400001</v>
      </c>
      <c r="K174" s="322">
        <f>'[4]Gross Plant'!$D105</f>
        <v>165303.79923076925</v>
      </c>
      <c r="L174" s="466">
        <f t="shared" si="51"/>
        <v>1</v>
      </c>
      <c r="M174" s="467">
        <f t="shared" si="52"/>
        <v>0.49780000000000002</v>
      </c>
      <c r="N174" s="430">
        <f t="shared" si="53"/>
        <v>82288.231257076928</v>
      </c>
      <c r="S174" s="424"/>
    </row>
    <row r="175" spans="1:19">
      <c r="A175" s="1153">
        <f t="shared" si="46"/>
        <v>161</v>
      </c>
      <c r="B175" s="1045">
        <v>39908</v>
      </c>
      <c r="C175" s="88" t="s">
        <v>179</v>
      </c>
      <c r="D175" s="322">
        <f>'[4]Gross Plant'!$AF106</f>
        <v>828509.36</v>
      </c>
      <c r="E175" s="430">
        <v>0</v>
      </c>
      <c r="F175" s="430">
        <f t="shared" si="47"/>
        <v>828509.36</v>
      </c>
      <c r="G175" s="466">
        <f t="shared" si="48"/>
        <v>1</v>
      </c>
      <c r="H175" s="467">
        <f t="shared" si="49"/>
        <v>0.49780000000000002</v>
      </c>
      <c r="I175" s="430">
        <f t="shared" si="50"/>
        <v>412431.959408</v>
      </c>
      <c r="K175" s="322">
        <f>'[4]Gross Plant'!$D106</f>
        <v>828509.36</v>
      </c>
      <c r="L175" s="466">
        <f t="shared" si="51"/>
        <v>1</v>
      </c>
      <c r="M175" s="467">
        <f t="shared" si="52"/>
        <v>0.49780000000000002</v>
      </c>
      <c r="N175" s="430">
        <f t="shared" si="53"/>
        <v>412431.959408</v>
      </c>
      <c r="S175" s="424"/>
    </row>
    <row r="176" spans="1:19">
      <c r="A176" s="1153">
        <f t="shared" si="46"/>
        <v>162</v>
      </c>
      <c r="B176" s="1041"/>
      <c r="C176" s="88"/>
      <c r="D176" s="619"/>
      <c r="E176" s="619"/>
      <c r="F176" s="619"/>
      <c r="I176" s="619"/>
      <c r="K176" s="619"/>
      <c r="N176" s="619"/>
    </row>
    <row r="177" spans="1:19">
      <c r="A177" s="1153">
        <f t="shared" si="46"/>
        <v>163</v>
      </c>
      <c r="B177" s="1041"/>
      <c r="C177" s="88" t="s">
        <v>4</v>
      </c>
      <c r="D177" s="360">
        <f>SUM(D155:D176)</f>
        <v>2443481.0699999998</v>
      </c>
      <c r="E177" s="346">
        <f>SUM(E155:E176)</f>
        <v>0</v>
      </c>
      <c r="F177" s="360">
        <f>SUM(F155:F176)</f>
        <v>2443481.0699999998</v>
      </c>
      <c r="I177" s="360">
        <f>SUM(I155:I176)</f>
        <v>1216364.876646</v>
      </c>
      <c r="K177" s="360">
        <f>SUM(K155:K176)</f>
        <v>2411532.2892307695</v>
      </c>
      <c r="N177" s="360">
        <f>SUM(N155:N176)</f>
        <v>1200460.7735790771</v>
      </c>
    </row>
    <row r="178" spans="1:19">
      <c r="A178" s="1153">
        <f t="shared" si="46"/>
        <v>164</v>
      </c>
      <c r="B178" s="1041"/>
      <c r="C178" s="88"/>
    </row>
    <row r="179" spans="1:19" ht="15.75" thickBot="1">
      <c r="A179" s="1153">
        <f t="shared" si="46"/>
        <v>165</v>
      </c>
      <c r="B179" s="1041"/>
      <c r="C179" s="233" t="s">
        <v>1319</v>
      </c>
      <c r="D179" s="1010">
        <f>D127+D152+D177</f>
        <v>3738342.0199999996</v>
      </c>
      <c r="E179" s="329">
        <f>E127+E152+E177</f>
        <v>0</v>
      </c>
      <c r="F179" s="1010">
        <f>F127+F152+F177</f>
        <v>3738342.0199999996</v>
      </c>
      <c r="I179" s="1010">
        <f>I127+I152+I177</f>
        <v>1860946.6575559999</v>
      </c>
      <c r="K179" s="1010">
        <f>K127+K152+K177</f>
        <v>3706393.2392307697</v>
      </c>
      <c r="N179" s="1010">
        <f>N127+N152+N177</f>
        <v>1845042.5544890771</v>
      </c>
    </row>
    <row r="180" spans="1:19" ht="15.75" thickTop="1">
      <c r="A180" s="1153">
        <f t="shared" si="46"/>
        <v>166</v>
      </c>
      <c r="B180" s="1041"/>
      <c r="C180" s="88"/>
      <c r="D180" s="322"/>
      <c r="E180" s="328"/>
      <c r="F180" s="328"/>
      <c r="I180" s="328"/>
    </row>
    <row r="181" spans="1:19">
      <c r="A181" s="1153">
        <f t="shared" si="46"/>
        <v>167</v>
      </c>
      <c r="B181" s="1041"/>
      <c r="C181" s="81" t="s">
        <v>749</v>
      </c>
      <c r="D181" s="322">
        <f>'[4]Gross Plant'!$AF$219</f>
        <v>4641.7299999999923</v>
      </c>
      <c r="E181" s="328">
        <v>0</v>
      </c>
      <c r="F181" s="328">
        <f>D181+E181</f>
        <v>4641.7299999999923</v>
      </c>
      <c r="G181" s="466">
        <f>$G$16</f>
        <v>1</v>
      </c>
      <c r="H181" s="467">
        <f>$H$124</f>
        <v>0.49780000000000002</v>
      </c>
      <c r="I181" s="328">
        <f>F181*G181*H181</f>
        <v>2310.6531939999963</v>
      </c>
      <c r="K181" s="322">
        <f>'[4]Gross Plant'!$D$219</f>
        <v>4641.7299999999941</v>
      </c>
      <c r="L181" s="466">
        <f>G181</f>
        <v>1</v>
      </c>
      <c r="M181" s="467">
        <f>H181</f>
        <v>0.49780000000000002</v>
      </c>
      <c r="N181" s="328">
        <f>K181*L181*M181</f>
        <v>2310.6531939999973</v>
      </c>
    </row>
    <row r="182" spans="1:19">
      <c r="A182" s="1153">
        <f t="shared" si="46"/>
        <v>168</v>
      </c>
      <c r="B182" s="1041"/>
    </row>
    <row r="183" spans="1:19" ht="15.75">
      <c r="A183" s="1153">
        <f t="shared" si="46"/>
        <v>169</v>
      </c>
      <c r="B183" s="1044" t="s">
        <v>8</v>
      </c>
    </row>
    <row r="184" spans="1:19">
      <c r="A184" s="1153">
        <f t="shared" si="46"/>
        <v>170</v>
      </c>
      <c r="B184" s="1041"/>
    </row>
    <row r="185" spans="1:19">
      <c r="A185" s="1153">
        <f t="shared" si="46"/>
        <v>171</v>
      </c>
      <c r="B185" s="1041"/>
      <c r="C185" s="620" t="s">
        <v>301</v>
      </c>
    </row>
    <row r="186" spans="1:19">
      <c r="A186" s="1153">
        <f t="shared" si="46"/>
        <v>172</v>
      </c>
      <c r="B186" s="1047">
        <v>39000</v>
      </c>
      <c r="C186" s="233" t="s">
        <v>856</v>
      </c>
      <c r="D186" s="322">
        <f>'[4]Gross Plant'!$AF7</f>
        <v>1906437.8822358211</v>
      </c>
      <c r="E186" s="346">
        <v>0</v>
      </c>
      <c r="F186" s="346">
        <f t="shared" ref="F186" si="57">D186+E186</f>
        <v>1906437.8822358211</v>
      </c>
      <c r="G186" s="467">
        <f>Allocation!$C$14</f>
        <v>0.104</v>
      </c>
      <c r="H186" s="467">
        <f>Allocation!$D$14</f>
        <v>0.49780000000000002</v>
      </c>
      <c r="I186" s="346">
        <f t="shared" ref="I186:I223" si="58">F186*G186*H186</f>
        <v>98698.576888807147</v>
      </c>
      <c r="K186" s="322">
        <f>'[4]Gross Plant'!$D7</f>
        <v>1779523.200019439</v>
      </c>
      <c r="L186" s="467">
        <f t="shared" ref="L186:L213" si="59">G186</f>
        <v>0.104</v>
      </c>
      <c r="M186" s="467">
        <f t="shared" ref="M186:M198" si="60">H186</f>
        <v>0.49780000000000002</v>
      </c>
      <c r="N186" s="346">
        <f t="shared" ref="N186" si="61">K186*L186*M186</f>
        <v>92128.051492846382</v>
      </c>
      <c r="P186" s="661"/>
      <c r="S186" s="424"/>
    </row>
    <row r="187" spans="1:19">
      <c r="A187" s="1153">
        <f t="shared" si="46"/>
        <v>173</v>
      </c>
      <c r="B187" s="1047">
        <v>39005</v>
      </c>
      <c r="C187" s="233" t="s">
        <v>1196</v>
      </c>
      <c r="D187" s="322">
        <f>'[4]Gross Plant'!$AF8</f>
        <v>9187141.9699999988</v>
      </c>
      <c r="E187" s="622">
        <v>0</v>
      </c>
      <c r="F187" s="430">
        <f>D187+E187</f>
        <v>9187141.9699999988</v>
      </c>
      <c r="G187" s="467">
        <v>1</v>
      </c>
      <c r="H187" s="467">
        <f>Allocation!$E$20</f>
        <v>1.570628E-2</v>
      </c>
      <c r="I187" s="430">
        <f>F187*G187*H187</f>
        <v>144295.82418057157</v>
      </c>
      <c r="K187" s="322">
        <f>'[4]Gross Plant'!$D8</f>
        <v>9187141.9699999988</v>
      </c>
      <c r="L187" s="467">
        <f>G187</f>
        <v>1</v>
      </c>
      <c r="M187" s="467">
        <f t="shared" si="60"/>
        <v>1.570628E-2</v>
      </c>
      <c r="N187" s="430">
        <f>K187*L187*M187</f>
        <v>144295.82418057157</v>
      </c>
      <c r="P187" s="661"/>
      <c r="S187" s="424"/>
    </row>
    <row r="188" spans="1:19">
      <c r="A188" s="1153">
        <f t="shared" si="46"/>
        <v>174</v>
      </c>
      <c r="B188" s="1047">
        <v>39009</v>
      </c>
      <c r="C188" s="233" t="s">
        <v>1036</v>
      </c>
      <c r="D188" s="322">
        <f>'[4]Gross Plant'!$AF9</f>
        <v>9316001.1799999997</v>
      </c>
      <c r="E188" s="622">
        <v>0</v>
      </c>
      <c r="F188" s="430">
        <f t="shared" ref="F188:F223" si="62">D188+E188</f>
        <v>9316001.1799999997</v>
      </c>
      <c r="G188" s="467">
        <f t="shared" ref="G188:G207" si="63">$G$186</f>
        <v>0.104</v>
      </c>
      <c r="H188" s="467">
        <f>$H$186</f>
        <v>0.49780000000000002</v>
      </c>
      <c r="I188" s="430">
        <f t="shared" si="58"/>
        <v>482300.56029001594</v>
      </c>
      <c r="K188" s="322">
        <f>'[4]Gross Plant'!$D9</f>
        <v>9316001.1800000034</v>
      </c>
      <c r="L188" s="467">
        <f t="shared" si="59"/>
        <v>0.104</v>
      </c>
      <c r="M188" s="467">
        <f t="shared" si="60"/>
        <v>0.49780000000000002</v>
      </c>
      <c r="N188" s="430">
        <f t="shared" ref="N188:N223" si="64">K188*L188*M188</f>
        <v>482300.56029001618</v>
      </c>
      <c r="P188" s="661"/>
      <c r="S188" s="424"/>
    </row>
    <row r="189" spans="1:19">
      <c r="A189" s="1153">
        <f t="shared" si="46"/>
        <v>175</v>
      </c>
      <c r="B189" s="1047">
        <v>39020</v>
      </c>
      <c r="C189" s="233" t="s">
        <v>1503</v>
      </c>
      <c r="D189" s="322">
        <f>'[4]Gross Plant'!$AF10</f>
        <v>0</v>
      </c>
      <c r="E189" s="622">
        <v>0</v>
      </c>
      <c r="F189" s="430">
        <f t="shared" si="62"/>
        <v>0</v>
      </c>
      <c r="G189" s="467">
        <v>1</v>
      </c>
      <c r="H189" s="467">
        <f>Allocation!E22</f>
        <v>6.3622429999999994E-2</v>
      </c>
      <c r="I189" s="430">
        <f t="shared" si="58"/>
        <v>0</v>
      </c>
      <c r="K189" s="322">
        <f>'[4]Gross Plant'!$D10</f>
        <v>0</v>
      </c>
      <c r="L189" s="467">
        <v>1</v>
      </c>
      <c r="M189" s="467">
        <f t="shared" si="60"/>
        <v>6.3622429999999994E-2</v>
      </c>
      <c r="N189" s="430">
        <f t="shared" si="64"/>
        <v>0</v>
      </c>
      <c r="P189" s="661"/>
      <c r="S189" s="424"/>
    </row>
    <row r="190" spans="1:19">
      <c r="A190" s="1153">
        <f t="shared" si="46"/>
        <v>176</v>
      </c>
      <c r="B190" s="1047">
        <v>39029</v>
      </c>
      <c r="C190" s="233" t="s">
        <v>1504</v>
      </c>
      <c r="D190" s="322">
        <f>'[4]Gross Plant'!$AF11</f>
        <v>22336.69518871027</v>
      </c>
      <c r="E190" s="622">
        <v>0</v>
      </c>
      <c r="F190" s="430">
        <f t="shared" si="62"/>
        <v>22336.69518871027</v>
      </c>
      <c r="G190" s="467">
        <v>1</v>
      </c>
      <c r="H190" s="467">
        <f>H189</f>
        <v>6.3622429999999994E-2</v>
      </c>
      <c r="I190" s="430">
        <f t="shared" si="58"/>
        <v>1421.1148260750558</v>
      </c>
      <c r="K190" s="322">
        <f>'[4]Gross Plant'!$D11</f>
        <v>16610.270993162954</v>
      </c>
      <c r="L190" s="467">
        <v>1</v>
      </c>
      <c r="M190" s="467">
        <f t="shared" si="60"/>
        <v>6.3622429999999994E-2</v>
      </c>
      <c r="N190" s="430">
        <f t="shared" si="64"/>
        <v>1056.7858035435404</v>
      </c>
      <c r="P190" s="661"/>
      <c r="S190" s="424"/>
    </row>
    <row r="191" spans="1:19">
      <c r="A191" s="1153">
        <f t="shared" si="46"/>
        <v>177</v>
      </c>
      <c r="B191" s="1047">
        <v>39100</v>
      </c>
      <c r="C191" s="233" t="s">
        <v>779</v>
      </c>
      <c r="D191" s="322">
        <f>'[4]Gross Plant'!$AF12</f>
        <v>5191908.1543094171</v>
      </c>
      <c r="E191" s="622">
        <v>0</v>
      </c>
      <c r="F191" s="430">
        <f t="shared" si="62"/>
        <v>5191908.1543094171</v>
      </c>
      <c r="G191" s="467">
        <f t="shared" si="63"/>
        <v>0.104</v>
      </c>
      <c r="H191" s="467">
        <f>$H$186</f>
        <v>0.49780000000000002</v>
      </c>
      <c r="I191" s="430">
        <f t="shared" si="58"/>
        <v>268791.31543838372</v>
      </c>
      <c r="K191" s="322">
        <f>'[4]Gross Plant'!$D12</f>
        <v>5173166.5316175232</v>
      </c>
      <c r="L191" s="467">
        <f t="shared" si="59"/>
        <v>0.104</v>
      </c>
      <c r="M191" s="467">
        <f t="shared" si="60"/>
        <v>0.49780000000000002</v>
      </c>
      <c r="N191" s="430">
        <f t="shared" si="64"/>
        <v>267821.03914167709</v>
      </c>
      <c r="P191" s="661"/>
      <c r="S191" s="424"/>
    </row>
    <row r="192" spans="1:19">
      <c r="A192" s="1153">
        <f t="shared" si="46"/>
        <v>178</v>
      </c>
      <c r="B192" s="1047">
        <v>39102</v>
      </c>
      <c r="C192" s="233" t="s">
        <v>527</v>
      </c>
      <c r="D192" s="322">
        <f>'[4]Gross Plant'!$AF13</f>
        <v>0</v>
      </c>
      <c r="E192" s="622">
        <v>0</v>
      </c>
      <c r="F192" s="430">
        <f t="shared" si="62"/>
        <v>0</v>
      </c>
      <c r="G192" s="467">
        <f t="shared" si="63"/>
        <v>0.104</v>
      </c>
      <c r="H192" s="467">
        <f>$H$186</f>
        <v>0.49780000000000002</v>
      </c>
      <c r="I192" s="430">
        <f t="shared" si="58"/>
        <v>0</v>
      </c>
      <c r="K192" s="322">
        <f>'[4]Gross Plant'!$D13</f>
        <v>0</v>
      </c>
      <c r="L192" s="467">
        <f t="shared" si="59"/>
        <v>0.104</v>
      </c>
      <c r="M192" s="467">
        <f t="shared" si="60"/>
        <v>0.49780000000000002</v>
      </c>
      <c r="N192" s="430">
        <f t="shared" si="64"/>
        <v>0</v>
      </c>
      <c r="P192" s="661"/>
      <c r="S192" s="424"/>
    </row>
    <row r="193" spans="1:19">
      <c r="A193" s="1153">
        <f t="shared" si="46"/>
        <v>179</v>
      </c>
      <c r="B193" s="1047">
        <v>39103</v>
      </c>
      <c r="C193" s="233" t="s">
        <v>780</v>
      </c>
      <c r="D193" s="322">
        <f>'[4]Gross Plant'!$AF14</f>
        <v>0</v>
      </c>
      <c r="E193" s="622">
        <v>0</v>
      </c>
      <c r="F193" s="430">
        <f t="shared" si="62"/>
        <v>0</v>
      </c>
      <c r="G193" s="467">
        <f t="shared" si="63"/>
        <v>0.104</v>
      </c>
      <c r="H193" s="467">
        <f>$H$186</f>
        <v>0.49780000000000002</v>
      </c>
      <c r="I193" s="430">
        <f t="shared" si="58"/>
        <v>0</v>
      </c>
      <c r="K193" s="322">
        <f>'[4]Gross Plant'!$D14</f>
        <v>0</v>
      </c>
      <c r="L193" s="467">
        <f t="shared" si="59"/>
        <v>0.104</v>
      </c>
      <c r="M193" s="467">
        <f t="shared" si="60"/>
        <v>0.49780000000000002</v>
      </c>
      <c r="N193" s="430">
        <f t="shared" si="64"/>
        <v>0</v>
      </c>
      <c r="P193" s="661"/>
      <c r="S193" s="424"/>
    </row>
    <row r="194" spans="1:19">
      <c r="A194" s="1153">
        <f t="shared" si="46"/>
        <v>180</v>
      </c>
      <c r="B194" s="1047">
        <v>39104</v>
      </c>
      <c r="C194" s="233" t="s">
        <v>1197</v>
      </c>
      <c r="D194" s="322">
        <f>'[4]Gross Plant'!$AF15</f>
        <v>178593.64742374749</v>
      </c>
      <c r="E194" s="622">
        <v>0</v>
      </c>
      <c r="F194" s="430">
        <f t="shared" si="62"/>
        <v>178593.64742374749</v>
      </c>
      <c r="G194" s="467">
        <v>1</v>
      </c>
      <c r="H194" s="467">
        <f>$H$187</f>
        <v>1.570628E-2</v>
      </c>
      <c r="I194" s="430">
        <f t="shared" si="58"/>
        <v>2805.0418326586569</v>
      </c>
      <c r="K194" s="322">
        <f>'[4]Gross Plant'!$D15</f>
        <v>149149.01237200247</v>
      </c>
      <c r="L194" s="467">
        <f>G194</f>
        <v>1</v>
      </c>
      <c r="M194" s="467">
        <f t="shared" si="60"/>
        <v>1.570628E-2</v>
      </c>
      <c r="N194" s="430">
        <f t="shared" si="64"/>
        <v>2342.576150038135</v>
      </c>
      <c r="P194" s="661"/>
      <c r="S194" s="424"/>
    </row>
    <row r="195" spans="1:19">
      <c r="A195" s="1153">
        <f t="shared" si="46"/>
        <v>181</v>
      </c>
      <c r="B195" s="1047">
        <v>39120</v>
      </c>
      <c r="C195" s="233" t="s">
        <v>1505</v>
      </c>
      <c r="D195" s="322">
        <f>'[4]Gross Plant'!$AF16</f>
        <v>263337.89</v>
      </c>
      <c r="E195" s="622">
        <v>0</v>
      </c>
      <c r="F195" s="430">
        <f t="shared" si="62"/>
        <v>263337.89</v>
      </c>
      <c r="G195" s="467">
        <v>1</v>
      </c>
      <c r="H195" s="467">
        <f>H190</f>
        <v>6.3622429999999994E-2</v>
      </c>
      <c r="I195" s="430">
        <f t="shared" si="58"/>
        <v>16754.1964728727</v>
      </c>
      <c r="K195" s="322">
        <f>'[4]Gross Plant'!$D16</f>
        <v>263337.89000000007</v>
      </c>
      <c r="L195" s="467">
        <v>1</v>
      </c>
      <c r="M195" s="467">
        <f t="shared" si="60"/>
        <v>6.3622429999999994E-2</v>
      </c>
      <c r="N195" s="430">
        <f t="shared" si="64"/>
        <v>16754.196472872703</v>
      </c>
      <c r="P195" s="661"/>
      <c r="S195" s="424"/>
    </row>
    <row r="196" spans="1:19">
      <c r="A196" s="1153">
        <f t="shared" si="46"/>
        <v>182</v>
      </c>
      <c r="B196" s="1047">
        <v>39200</v>
      </c>
      <c r="C196" s="233" t="s">
        <v>1076</v>
      </c>
      <c r="D196" s="322">
        <f>'[4]Gross Plant'!$AF17</f>
        <v>7125.41</v>
      </c>
      <c r="E196" s="622">
        <v>0</v>
      </c>
      <c r="F196" s="430">
        <f t="shared" si="62"/>
        <v>7125.41</v>
      </c>
      <c r="G196" s="467">
        <f t="shared" si="63"/>
        <v>0.104</v>
      </c>
      <c r="H196" s="467">
        <f t="shared" ref="H196:H218" si="65">$H$186</f>
        <v>0.49780000000000002</v>
      </c>
      <c r="I196" s="430">
        <f t="shared" si="58"/>
        <v>368.89102619200003</v>
      </c>
      <c r="K196" s="322">
        <f>'[4]Gross Plant'!$D17</f>
        <v>7125.4100000000026</v>
      </c>
      <c r="L196" s="467">
        <f t="shared" si="59"/>
        <v>0.104</v>
      </c>
      <c r="M196" s="467">
        <f t="shared" si="60"/>
        <v>0.49780000000000002</v>
      </c>
      <c r="N196" s="430">
        <f t="shared" si="64"/>
        <v>368.89102619200014</v>
      </c>
      <c r="P196" s="661"/>
      <c r="S196" s="424"/>
    </row>
    <row r="197" spans="1:19">
      <c r="A197" s="1153">
        <f t="shared" si="46"/>
        <v>183</v>
      </c>
      <c r="B197" s="1047">
        <v>39300</v>
      </c>
      <c r="C197" s="233" t="s">
        <v>649</v>
      </c>
      <c r="D197" s="322">
        <f>'[4]Gross Plant'!$AF18</f>
        <v>0</v>
      </c>
      <c r="E197" s="622">
        <v>0</v>
      </c>
      <c r="F197" s="430">
        <f t="shared" si="62"/>
        <v>0</v>
      </c>
      <c r="G197" s="467">
        <f t="shared" si="63"/>
        <v>0.104</v>
      </c>
      <c r="H197" s="467">
        <f t="shared" si="65"/>
        <v>0.49780000000000002</v>
      </c>
      <c r="I197" s="430">
        <f t="shared" si="58"/>
        <v>0</v>
      </c>
      <c r="K197" s="322">
        <f>'[4]Gross Plant'!$D18</f>
        <v>0</v>
      </c>
      <c r="L197" s="467">
        <f t="shared" si="59"/>
        <v>0.104</v>
      </c>
      <c r="M197" s="467">
        <f t="shared" si="60"/>
        <v>0.49780000000000002</v>
      </c>
      <c r="N197" s="430">
        <f t="shared" si="64"/>
        <v>0</v>
      </c>
      <c r="P197" s="661"/>
      <c r="S197" s="424"/>
    </row>
    <row r="198" spans="1:19">
      <c r="A198" s="1153">
        <f t="shared" si="46"/>
        <v>184</v>
      </c>
      <c r="B198" s="1047">
        <v>39400</v>
      </c>
      <c r="C198" s="233" t="s">
        <v>1035</v>
      </c>
      <c r="D198" s="322">
        <f>'[4]Gross Plant'!$AF19</f>
        <v>76071.34</v>
      </c>
      <c r="E198" s="622">
        <v>0</v>
      </c>
      <c r="F198" s="430">
        <f t="shared" si="62"/>
        <v>76071.34</v>
      </c>
      <c r="G198" s="467">
        <f t="shared" si="63"/>
        <v>0.104</v>
      </c>
      <c r="H198" s="467">
        <f t="shared" si="65"/>
        <v>0.49780000000000002</v>
      </c>
      <c r="I198" s="430">
        <f t="shared" si="58"/>
        <v>3938.3045574079997</v>
      </c>
      <c r="K198" s="322">
        <f>'[4]Gross Plant'!$D19</f>
        <v>76071.339999999982</v>
      </c>
      <c r="L198" s="467">
        <f t="shared" si="59"/>
        <v>0.104</v>
      </c>
      <c r="M198" s="467">
        <f t="shared" si="60"/>
        <v>0.49780000000000002</v>
      </c>
      <c r="N198" s="430">
        <f t="shared" si="64"/>
        <v>3938.3045574079993</v>
      </c>
      <c r="P198" s="661"/>
      <c r="S198" s="424"/>
    </row>
    <row r="199" spans="1:19">
      <c r="A199" s="1153">
        <f t="shared" si="46"/>
        <v>185</v>
      </c>
      <c r="B199" s="1047">
        <v>39420</v>
      </c>
      <c r="C199" s="233" t="s">
        <v>1506</v>
      </c>
      <c r="D199" s="322">
        <f>'[4]Gross Plant'!$AF20</f>
        <v>0</v>
      </c>
      <c r="E199" s="622">
        <v>0</v>
      </c>
      <c r="F199" s="430">
        <f t="shared" si="62"/>
        <v>0</v>
      </c>
      <c r="G199" s="467">
        <v>1</v>
      </c>
      <c r="H199" s="467">
        <f>H195</f>
        <v>6.3622429999999994E-2</v>
      </c>
      <c r="I199" s="430">
        <f t="shared" si="58"/>
        <v>0</v>
      </c>
      <c r="K199" s="322">
        <f>'[4]Gross Plant'!$D20</f>
        <v>0</v>
      </c>
      <c r="L199" s="467">
        <v>1</v>
      </c>
      <c r="M199" s="467">
        <f t="shared" ref="M199:M223" si="66">H199</f>
        <v>6.3622429999999994E-2</v>
      </c>
      <c r="N199" s="430">
        <f t="shared" si="64"/>
        <v>0</v>
      </c>
      <c r="P199" s="661"/>
      <c r="S199" s="424"/>
    </row>
    <row r="200" spans="1:19">
      <c r="A200" s="1153">
        <f t="shared" si="46"/>
        <v>186</v>
      </c>
      <c r="B200" s="1047">
        <v>39500</v>
      </c>
      <c r="C200" s="233" t="s">
        <v>1198</v>
      </c>
      <c r="D200" s="322">
        <f>'[4]Gross Plant'!$AF21</f>
        <v>0</v>
      </c>
      <c r="E200" s="622">
        <v>0</v>
      </c>
      <c r="F200" s="430">
        <f t="shared" si="62"/>
        <v>0</v>
      </c>
      <c r="G200" s="467">
        <f t="shared" si="63"/>
        <v>0.104</v>
      </c>
      <c r="H200" s="467">
        <f t="shared" si="65"/>
        <v>0.49780000000000002</v>
      </c>
      <c r="I200" s="430">
        <f t="shared" si="58"/>
        <v>0</v>
      </c>
      <c r="K200" s="322">
        <f>'[4]Gross Plant'!$D21</f>
        <v>0</v>
      </c>
      <c r="L200" s="467">
        <f t="shared" si="59"/>
        <v>0.104</v>
      </c>
      <c r="M200" s="467">
        <f t="shared" si="66"/>
        <v>0.49780000000000002</v>
      </c>
      <c r="N200" s="430">
        <f t="shared" si="64"/>
        <v>0</v>
      </c>
      <c r="P200" s="661"/>
      <c r="S200" s="424"/>
    </row>
    <row r="201" spans="1:19">
      <c r="A201" s="1153">
        <f t="shared" si="46"/>
        <v>187</v>
      </c>
      <c r="B201" s="1047">
        <v>39700</v>
      </c>
      <c r="C201" s="233" t="s">
        <v>440</v>
      </c>
      <c r="D201" s="322">
        <f>'[4]Gross Plant'!$AF22</f>
        <v>1039344.41</v>
      </c>
      <c r="E201" s="622">
        <v>0</v>
      </c>
      <c r="F201" s="430">
        <f t="shared" si="62"/>
        <v>1039344.41</v>
      </c>
      <c r="G201" s="467">
        <f t="shared" si="63"/>
        <v>0.104</v>
      </c>
      <c r="H201" s="467">
        <f t="shared" si="65"/>
        <v>0.49780000000000002</v>
      </c>
      <c r="I201" s="430">
        <f t="shared" si="58"/>
        <v>53808.107318991999</v>
      </c>
      <c r="K201" s="322">
        <f>'[4]Gross Plant'!$D22</f>
        <v>1039344.41</v>
      </c>
      <c r="L201" s="467">
        <f t="shared" si="59"/>
        <v>0.104</v>
      </c>
      <c r="M201" s="467">
        <f t="shared" si="66"/>
        <v>0.49780000000000002</v>
      </c>
      <c r="N201" s="430">
        <f t="shared" si="64"/>
        <v>53808.107318991999</v>
      </c>
      <c r="P201" s="661"/>
      <c r="S201" s="424"/>
    </row>
    <row r="202" spans="1:19">
      <c r="A202" s="1153">
        <f t="shared" si="46"/>
        <v>188</v>
      </c>
      <c r="B202" s="1047">
        <v>39720</v>
      </c>
      <c r="C202" s="233" t="s">
        <v>1507</v>
      </c>
      <c r="D202" s="322">
        <f>'[4]Gross Plant'!$AF23</f>
        <v>8824.34</v>
      </c>
      <c r="E202" s="622">
        <v>0</v>
      </c>
      <c r="F202" s="430">
        <f t="shared" si="62"/>
        <v>8824.34</v>
      </c>
      <c r="G202" s="467">
        <v>1</v>
      </c>
      <c r="H202" s="467">
        <f>H199</f>
        <v>6.3622429999999994E-2</v>
      </c>
      <c r="I202" s="430">
        <f t="shared" si="58"/>
        <v>561.42595394619991</v>
      </c>
      <c r="K202" s="322">
        <f>'[4]Gross Plant'!$D23</f>
        <v>8824.3399999999983</v>
      </c>
      <c r="L202" s="467">
        <v>1</v>
      </c>
      <c r="M202" s="467">
        <f t="shared" si="66"/>
        <v>6.3622429999999994E-2</v>
      </c>
      <c r="N202" s="430">
        <f t="shared" si="64"/>
        <v>561.4259539461998</v>
      </c>
      <c r="P202" s="661"/>
      <c r="S202" s="424"/>
    </row>
    <row r="203" spans="1:19">
      <c r="A203" s="1153">
        <f t="shared" si="46"/>
        <v>189</v>
      </c>
      <c r="B203" s="1047">
        <v>39800</v>
      </c>
      <c r="C203" s="233" t="s">
        <v>650</v>
      </c>
      <c r="D203" s="322">
        <f>'[4]Gross Plant'!$AF24</f>
        <v>136509.51999999999</v>
      </c>
      <c r="E203" s="622">
        <v>0</v>
      </c>
      <c r="F203" s="430">
        <f t="shared" si="62"/>
        <v>136509.51999999999</v>
      </c>
      <c r="G203" s="467">
        <f t="shared" si="63"/>
        <v>0.104</v>
      </c>
      <c r="H203" s="467">
        <f t="shared" si="65"/>
        <v>0.49780000000000002</v>
      </c>
      <c r="I203" s="430">
        <f t="shared" si="58"/>
        <v>7067.261661823999</v>
      </c>
      <c r="K203" s="322">
        <f>'[4]Gross Plant'!$D24</f>
        <v>136509.51999999999</v>
      </c>
      <c r="L203" s="467">
        <f t="shared" si="59"/>
        <v>0.104</v>
      </c>
      <c r="M203" s="467">
        <f t="shared" si="66"/>
        <v>0.49780000000000002</v>
      </c>
      <c r="N203" s="430">
        <f t="shared" si="64"/>
        <v>7067.261661823999</v>
      </c>
      <c r="P203" s="661"/>
      <c r="S203" s="424"/>
    </row>
    <row r="204" spans="1:19">
      <c r="A204" s="1153">
        <f t="shared" si="46"/>
        <v>190</v>
      </c>
      <c r="B204" s="1047">
        <v>39820</v>
      </c>
      <c r="C204" s="233" t="s">
        <v>1508</v>
      </c>
      <c r="D204" s="322">
        <f>'[4]Gross Plant'!$AF25</f>
        <v>7388.39</v>
      </c>
      <c r="E204" s="622">
        <v>0</v>
      </c>
      <c r="F204" s="430">
        <f t="shared" si="62"/>
        <v>7388.39</v>
      </c>
      <c r="G204" s="467">
        <v>1</v>
      </c>
      <c r="H204" s="467">
        <f>H202</f>
        <v>6.3622429999999994E-2</v>
      </c>
      <c r="I204" s="430">
        <f t="shared" si="58"/>
        <v>470.0673255877</v>
      </c>
      <c r="K204" s="322">
        <f>'[4]Gross Plant'!$D25</f>
        <v>7388.39</v>
      </c>
      <c r="L204" s="467">
        <v>1</v>
      </c>
      <c r="M204" s="467">
        <f t="shared" si="66"/>
        <v>6.3622429999999994E-2</v>
      </c>
      <c r="N204" s="430">
        <f t="shared" si="64"/>
        <v>470.0673255877</v>
      </c>
      <c r="P204" s="661"/>
      <c r="S204" s="424"/>
    </row>
    <row r="205" spans="1:19">
      <c r="A205" s="1153">
        <f t="shared" si="46"/>
        <v>191</v>
      </c>
      <c r="B205" s="1047">
        <v>39900</v>
      </c>
      <c r="C205" s="233" t="s">
        <v>1152</v>
      </c>
      <c r="D205" s="322">
        <f>'[4]Gross Plant'!$AF26</f>
        <v>161644.35355547245</v>
      </c>
      <c r="E205" s="622">
        <v>0</v>
      </c>
      <c r="F205" s="430">
        <f t="shared" si="62"/>
        <v>161644.35355547245</v>
      </c>
      <c r="G205" s="467">
        <f t="shared" si="63"/>
        <v>0.104</v>
      </c>
      <c r="H205" s="467">
        <f t="shared" si="65"/>
        <v>0.49780000000000002</v>
      </c>
      <c r="I205" s="430">
        <f t="shared" si="58"/>
        <v>8368.5221567910758</v>
      </c>
      <c r="K205" s="322">
        <f>'[4]Gross Plant'!$D26</f>
        <v>161815.07353029138</v>
      </c>
      <c r="L205" s="467">
        <f t="shared" si="59"/>
        <v>0.104</v>
      </c>
      <c r="M205" s="467">
        <f t="shared" si="66"/>
        <v>0.49780000000000002</v>
      </c>
      <c r="N205" s="430">
        <f t="shared" si="64"/>
        <v>8377.3605347514222</v>
      </c>
      <c r="P205" s="661"/>
      <c r="S205" s="424"/>
    </row>
    <row r="206" spans="1:19">
      <c r="A206" s="1153">
        <f t="shared" si="46"/>
        <v>192</v>
      </c>
      <c r="B206" s="1047">
        <v>39901</v>
      </c>
      <c r="C206" s="233" t="s">
        <v>474</v>
      </c>
      <c r="D206" s="322">
        <f>'[4]Gross Plant'!$AF27</f>
        <v>44862780.270172134</v>
      </c>
      <c r="E206" s="622">
        <v>0</v>
      </c>
      <c r="F206" s="430">
        <f t="shared" si="62"/>
        <v>44862780.270172134</v>
      </c>
      <c r="G206" s="467">
        <f t="shared" si="63"/>
        <v>0.104</v>
      </c>
      <c r="H206" s="467">
        <f t="shared" si="65"/>
        <v>0.49780000000000002</v>
      </c>
      <c r="I206" s="430">
        <f t="shared" si="58"/>
        <v>2322599.9699231354</v>
      </c>
      <c r="K206" s="322">
        <f>'[4]Gross Plant'!$D27</f>
        <v>42848022.998476818</v>
      </c>
      <c r="L206" s="467">
        <f t="shared" si="59"/>
        <v>0.104</v>
      </c>
      <c r="M206" s="467">
        <f t="shared" si="66"/>
        <v>0.49780000000000002</v>
      </c>
      <c r="N206" s="430">
        <f t="shared" si="64"/>
        <v>2218293.5682587428</v>
      </c>
      <c r="P206" s="661"/>
      <c r="S206" s="424"/>
    </row>
    <row r="207" spans="1:19">
      <c r="A207" s="1153">
        <f t="shared" si="46"/>
        <v>193</v>
      </c>
      <c r="B207" s="1047">
        <v>39902</v>
      </c>
      <c r="C207" s="233" t="s">
        <v>960</v>
      </c>
      <c r="D207" s="322">
        <f>'[4]Gross Plant'!$AF28</f>
        <v>28287161.477671895</v>
      </c>
      <c r="E207" s="622">
        <v>0</v>
      </c>
      <c r="F207" s="430">
        <f t="shared" si="62"/>
        <v>28287161.477671895</v>
      </c>
      <c r="G207" s="467">
        <f t="shared" si="63"/>
        <v>0.104</v>
      </c>
      <c r="H207" s="467">
        <f t="shared" si="65"/>
        <v>0.49780000000000002</v>
      </c>
      <c r="I207" s="430">
        <f t="shared" si="58"/>
        <v>1464460.2942928474</v>
      </c>
      <c r="K207" s="322">
        <f>'[4]Gross Plant'!$D28</f>
        <v>25907654.764438707</v>
      </c>
      <c r="L207" s="467">
        <f t="shared" si="59"/>
        <v>0.104</v>
      </c>
      <c r="M207" s="467">
        <f t="shared" si="66"/>
        <v>0.49780000000000002</v>
      </c>
      <c r="N207" s="430">
        <f t="shared" si="64"/>
        <v>1341270.3763407092</v>
      </c>
      <c r="P207" s="661"/>
      <c r="S207" s="424"/>
    </row>
    <row r="208" spans="1:19">
      <c r="A208" s="1153">
        <f t="shared" si="46"/>
        <v>194</v>
      </c>
      <c r="B208" s="1047">
        <v>39903</v>
      </c>
      <c r="C208" s="233" t="s">
        <v>1003</v>
      </c>
      <c r="D208" s="322">
        <f>'[4]Gross Plant'!$AF29</f>
        <v>10165829.93449687</v>
      </c>
      <c r="E208" s="622">
        <v>0</v>
      </c>
      <c r="F208" s="430">
        <f t="shared" si="62"/>
        <v>10165829.93449687</v>
      </c>
      <c r="G208" s="467">
        <f t="shared" ref="G208:G218" si="67">$G$186</f>
        <v>0.104</v>
      </c>
      <c r="H208" s="467">
        <f t="shared" si="65"/>
        <v>0.49780000000000002</v>
      </c>
      <c r="I208" s="430">
        <f t="shared" si="58"/>
        <v>526297.21470482438</v>
      </c>
      <c r="K208" s="322">
        <f>'[4]Gross Plant'!$D29</f>
        <v>8469471.429379439</v>
      </c>
      <c r="L208" s="467">
        <f t="shared" si="59"/>
        <v>0.104</v>
      </c>
      <c r="M208" s="467">
        <f t="shared" si="66"/>
        <v>0.49780000000000002</v>
      </c>
      <c r="N208" s="430">
        <f t="shared" si="64"/>
        <v>438474.69926468882</v>
      </c>
      <c r="P208" s="661"/>
      <c r="S208" s="424"/>
    </row>
    <row r="209" spans="1:19">
      <c r="A209" s="1153">
        <f t="shared" si="46"/>
        <v>195</v>
      </c>
      <c r="B209" s="1047">
        <v>39904</v>
      </c>
      <c r="C209" s="233" t="s">
        <v>1177</v>
      </c>
      <c r="D209" s="322">
        <f>'[4]Gross Plant'!$AF30</f>
        <v>0</v>
      </c>
      <c r="E209" s="622">
        <v>0</v>
      </c>
      <c r="F209" s="430">
        <f t="shared" si="62"/>
        <v>0</v>
      </c>
      <c r="G209" s="467">
        <f t="shared" si="67"/>
        <v>0.104</v>
      </c>
      <c r="H209" s="467">
        <f t="shared" si="65"/>
        <v>0.49780000000000002</v>
      </c>
      <c r="I209" s="430">
        <f t="shared" si="58"/>
        <v>0</v>
      </c>
      <c r="K209" s="322">
        <f>'[4]Gross Plant'!$D30</f>
        <v>0</v>
      </c>
      <c r="L209" s="467">
        <f t="shared" si="59"/>
        <v>0.104</v>
      </c>
      <c r="M209" s="467">
        <f t="shared" si="66"/>
        <v>0.49780000000000002</v>
      </c>
      <c r="N209" s="430">
        <f t="shared" si="64"/>
        <v>0</v>
      </c>
      <c r="P209" s="661"/>
      <c r="S209" s="424"/>
    </row>
    <row r="210" spans="1:19">
      <c r="A210" s="1153">
        <f t="shared" si="46"/>
        <v>196</v>
      </c>
      <c r="B210" s="1047">
        <v>39905</v>
      </c>
      <c r="C210" s="233" t="s">
        <v>497</v>
      </c>
      <c r="D210" s="322">
        <f>'[4]Gross Plant'!$AF31</f>
        <v>0</v>
      </c>
      <c r="E210" s="622">
        <v>0</v>
      </c>
      <c r="F210" s="430">
        <f t="shared" si="62"/>
        <v>0</v>
      </c>
      <c r="G210" s="467">
        <f t="shared" si="67"/>
        <v>0.104</v>
      </c>
      <c r="H210" s="467">
        <f t="shared" si="65"/>
        <v>0.49780000000000002</v>
      </c>
      <c r="I210" s="430">
        <f t="shared" si="58"/>
        <v>0</v>
      </c>
      <c r="K210" s="322">
        <f>'[4]Gross Plant'!$D31</f>
        <v>0</v>
      </c>
      <c r="L210" s="467">
        <f t="shared" si="59"/>
        <v>0.104</v>
      </c>
      <c r="M210" s="467">
        <f t="shared" si="66"/>
        <v>0.49780000000000002</v>
      </c>
      <c r="N210" s="430">
        <f t="shared" si="64"/>
        <v>0</v>
      </c>
      <c r="P210" s="661"/>
      <c r="S210" s="424"/>
    </row>
    <row r="211" spans="1:19">
      <c r="A211" s="1153">
        <f t="shared" si="46"/>
        <v>197</v>
      </c>
      <c r="B211" s="1047">
        <v>39906</v>
      </c>
      <c r="C211" s="233" t="s">
        <v>451</v>
      </c>
      <c r="D211" s="322">
        <f>'[4]Gross Plant'!$AF32</f>
        <v>2681536.1489691255</v>
      </c>
      <c r="E211" s="622">
        <v>0</v>
      </c>
      <c r="F211" s="430">
        <f t="shared" si="62"/>
        <v>2681536.1489691255</v>
      </c>
      <c r="G211" s="467">
        <f t="shared" si="67"/>
        <v>0.104</v>
      </c>
      <c r="H211" s="467">
        <f t="shared" si="65"/>
        <v>0.49780000000000002</v>
      </c>
      <c r="I211" s="430">
        <f t="shared" si="58"/>
        <v>138826.3442755104</v>
      </c>
      <c r="K211" s="322">
        <f>'[4]Gross Plant'!$D32</f>
        <v>2624239.8617039579</v>
      </c>
      <c r="L211" s="467">
        <f t="shared" si="59"/>
        <v>0.104</v>
      </c>
      <c r="M211" s="467">
        <f t="shared" si="66"/>
        <v>0.49780000000000002</v>
      </c>
      <c r="N211" s="430">
        <f t="shared" si="64"/>
        <v>135860.04672824795</v>
      </c>
      <c r="P211" s="661"/>
      <c r="S211" s="424"/>
    </row>
    <row r="212" spans="1:19">
      <c r="A212" s="1153">
        <f t="shared" ref="A212:A273" si="68">A211+1</f>
        <v>198</v>
      </c>
      <c r="B212" s="1047">
        <v>39907</v>
      </c>
      <c r="C212" s="233" t="s">
        <v>505</v>
      </c>
      <c r="D212" s="322">
        <f>'[4]Gross Plant'!$AF33</f>
        <v>1731491.9693363735</v>
      </c>
      <c r="E212" s="622">
        <v>0</v>
      </c>
      <c r="F212" s="430">
        <f t="shared" si="62"/>
        <v>1731491.9693363735</v>
      </c>
      <c r="G212" s="467">
        <f t="shared" si="67"/>
        <v>0.104</v>
      </c>
      <c r="H212" s="467">
        <f t="shared" si="65"/>
        <v>0.49780000000000002</v>
      </c>
      <c r="I212" s="430">
        <f t="shared" si="58"/>
        <v>89641.417042907255</v>
      </c>
      <c r="K212" s="322">
        <f>'[4]Gross Plant'!$D33</f>
        <v>1665290.7183161215</v>
      </c>
      <c r="L212" s="467">
        <f t="shared" si="59"/>
        <v>0.104</v>
      </c>
      <c r="M212" s="467">
        <f t="shared" si="66"/>
        <v>0.49780000000000002</v>
      </c>
      <c r="N212" s="430">
        <f t="shared" si="64"/>
        <v>86214.098836087593</v>
      </c>
      <c r="P212" s="661"/>
      <c r="S212" s="424"/>
    </row>
    <row r="213" spans="1:19">
      <c r="A213" s="1153">
        <f t="shared" si="68"/>
        <v>199</v>
      </c>
      <c r="B213" s="1047">
        <v>39908</v>
      </c>
      <c r="C213" s="233" t="s">
        <v>179</v>
      </c>
      <c r="D213" s="322">
        <f>'[4]Gross Plant'!$AF34</f>
        <v>77600897.367737845</v>
      </c>
      <c r="E213" s="622">
        <v>0</v>
      </c>
      <c r="F213" s="430">
        <f t="shared" si="62"/>
        <v>77600897.367737845</v>
      </c>
      <c r="G213" s="467">
        <f t="shared" si="67"/>
        <v>0.104</v>
      </c>
      <c r="H213" s="467">
        <f t="shared" si="65"/>
        <v>0.49780000000000002</v>
      </c>
      <c r="I213" s="430">
        <f t="shared" si="58"/>
        <v>4017491.5778046292</v>
      </c>
      <c r="K213" s="322">
        <f>'[4]Gross Plant'!$D34</f>
        <v>74938242.899011001</v>
      </c>
      <c r="L213" s="467">
        <f t="shared" si="59"/>
        <v>0.104</v>
      </c>
      <c r="M213" s="467">
        <f t="shared" si="66"/>
        <v>0.49780000000000002</v>
      </c>
      <c r="N213" s="430">
        <f t="shared" si="64"/>
        <v>3879642.7607732783</v>
      </c>
      <c r="P213" s="661"/>
      <c r="S213" s="424"/>
    </row>
    <row r="214" spans="1:19">
      <c r="A214" s="1153">
        <f t="shared" si="68"/>
        <v>200</v>
      </c>
      <c r="B214" s="1047">
        <v>39909</v>
      </c>
      <c r="C214" s="233" t="s">
        <v>342</v>
      </c>
      <c r="D214" s="322">
        <f>'[4]Gross Plant'!$AF35</f>
        <v>39251.620000000003</v>
      </c>
      <c r="E214" s="622">
        <v>0</v>
      </c>
      <c r="F214" s="430">
        <f t="shared" si="62"/>
        <v>39251.620000000003</v>
      </c>
      <c r="G214" s="467">
        <f t="shared" si="67"/>
        <v>0.104</v>
      </c>
      <c r="H214" s="467">
        <f t="shared" si="65"/>
        <v>0.49780000000000002</v>
      </c>
      <c r="I214" s="430">
        <f t="shared" si="58"/>
        <v>2032.1034693440001</v>
      </c>
      <c r="K214" s="322">
        <f>'[4]Gross Plant'!$D35</f>
        <v>39251.620000000003</v>
      </c>
      <c r="L214" s="467">
        <f t="shared" ref="L214:L218" si="69">G214</f>
        <v>0.104</v>
      </c>
      <c r="M214" s="467">
        <f t="shared" si="66"/>
        <v>0.49780000000000002</v>
      </c>
      <c r="N214" s="430">
        <f t="shared" si="64"/>
        <v>2032.1034693440001</v>
      </c>
      <c r="P214" s="661"/>
      <c r="S214" s="424"/>
    </row>
    <row r="215" spans="1:19">
      <c r="A215" s="1153">
        <f t="shared" si="68"/>
        <v>201</v>
      </c>
      <c r="B215" s="1047">
        <v>39921</v>
      </c>
      <c r="C215" s="233" t="s">
        <v>1509</v>
      </c>
      <c r="D215" s="322">
        <f>'[4]Gross Plant'!$AF36</f>
        <v>1628899.91</v>
      </c>
      <c r="E215" s="622">
        <v>0</v>
      </c>
      <c r="F215" s="430">
        <f t="shared" si="62"/>
        <v>1628899.91</v>
      </c>
      <c r="G215" s="467">
        <v>1</v>
      </c>
      <c r="H215" s="467">
        <f>$H$204</f>
        <v>6.3622429999999994E-2</v>
      </c>
      <c r="I215" s="430">
        <f t="shared" si="58"/>
        <v>103634.57050098128</v>
      </c>
      <c r="K215" s="322">
        <f>'[4]Gross Plant'!$D36</f>
        <v>1628899.91</v>
      </c>
      <c r="L215" s="467">
        <v>1</v>
      </c>
      <c r="M215" s="467">
        <f t="shared" si="66"/>
        <v>6.3622429999999994E-2</v>
      </c>
      <c r="N215" s="430">
        <f t="shared" si="64"/>
        <v>103634.57050098128</v>
      </c>
      <c r="P215" s="661"/>
      <c r="S215" s="424"/>
    </row>
    <row r="216" spans="1:19">
      <c r="A216" s="1153">
        <f t="shared" si="68"/>
        <v>202</v>
      </c>
      <c r="B216" s="1047">
        <v>39922</v>
      </c>
      <c r="C216" s="233" t="s">
        <v>1510</v>
      </c>
      <c r="D216" s="322">
        <f>'[4]Gross Plant'!$AF37</f>
        <v>961255.64</v>
      </c>
      <c r="E216" s="622">
        <v>0</v>
      </c>
      <c r="F216" s="430">
        <f t="shared" si="62"/>
        <v>961255.64</v>
      </c>
      <c r="G216" s="467">
        <v>1</v>
      </c>
      <c r="H216" s="467">
        <f t="shared" ref="H216:H217" si="70">$H$204</f>
        <v>6.3622429999999994E-2</v>
      </c>
      <c r="I216" s="430">
        <f t="shared" si="58"/>
        <v>61157.419668005197</v>
      </c>
      <c r="K216" s="322">
        <f>'[4]Gross Plant'!$D37</f>
        <v>961255.64000000013</v>
      </c>
      <c r="L216" s="467">
        <v>1</v>
      </c>
      <c r="M216" s="467">
        <f t="shared" si="66"/>
        <v>6.3622429999999994E-2</v>
      </c>
      <c r="N216" s="430">
        <f t="shared" si="64"/>
        <v>61157.419668005205</v>
      </c>
      <c r="P216" s="661"/>
      <c r="S216" s="424"/>
    </row>
    <row r="217" spans="1:19">
      <c r="A217" s="1153">
        <f t="shared" si="68"/>
        <v>203</v>
      </c>
      <c r="B217" s="1047">
        <v>39923</v>
      </c>
      <c r="C217" s="233" t="s">
        <v>1511</v>
      </c>
      <c r="D217" s="322">
        <f>'[4]Gross Plant'!$AF38</f>
        <v>60170.36</v>
      </c>
      <c r="E217" s="622">
        <v>0</v>
      </c>
      <c r="F217" s="430">
        <f t="shared" si="62"/>
        <v>60170.36</v>
      </c>
      <c r="G217" s="467">
        <v>1</v>
      </c>
      <c r="H217" s="467">
        <f t="shared" si="70"/>
        <v>6.3622429999999994E-2</v>
      </c>
      <c r="I217" s="430">
        <f t="shared" si="58"/>
        <v>3828.1845171747996</v>
      </c>
      <c r="K217" s="322">
        <f>'[4]Gross Plant'!$D38</f>
        <v>60170.359999999993</v>
      </c>
      <c r="L217" s="467">
        <v>1</v>
      </c>
      <c r="M217" s="467">
        <f t="shared" si="66"/>
        <v>6.3622429999999994E-2</v>
      </c>
      <c r="N217" s="430">
        <f t="shared" si="64"/>
        <v>3828.1845171747991</v>
      </c>
      <c r="P217" s="661"/>
      <c r="S217" s="424"/>
    </row>
    <row r="218" spans="1:19">
      <c r="A218" s="1153">
        <f t="shared" si="68"/>
        <v>204</v>
      </c>
      <c r="B218" s="1047">
        <v>39924</v>
      </c>
      <c r="C218" s="233" t="s">
        <v>1392</v>
      </c>
      <c r="D218" s="322">
        <f>'[4]Gross Plant'!$AF39</f>
        <v>0</v>
      </c>
      <c r="E218" s="622">
        <v>0</v>
      </c>
      <c r="F218" s="430">
        <f t="shared" si="62"/>
        <v>0</v>
      </c>
      <c r="G218" s="467">
        <f t="shared" si="67"/>
        <v>0.104</v>
      </c>
      <c r="H218" s="467">
        <f t="shared" si="65"/>
        <v>0.49780000000000002</v>
      </c>
      <c r="I218" s="430">
        <f t="shared" si="58"/>
        <v>0</v>
      </c>
      <c r="K218" s="322">
        <f>'[4]Gross Plant'!$D39</f>
        <v>0</v>
      </c>
      <c r="L218" s="467">
        <f t="shared" si="69"/>
        <v>0.104</v>
      </c>
      <c r="M218" s="467">
        <f t="shared" si="66"/>
        <v>0.49780000000000002</v>
      </c>
      <c r="N218" s="430">
        <f t="shared" si="64"/>
        <v>0</v>
      </c>
      <c r="P218" s="661"/>
      <c r="S218" s="424"/>
    </row>
    <row r="219" spans="1:19">
      <c r="A219" s="1153">
        <f t="shared" si="68"/>
        <v>205</v>
      </c>
      <c r="B219" s="1047">
        <v>39926</v>
      </c>
      <c r="C219" s="233" t="s">
        <v>1520</v>
      </c>
      <c r="D219" s="322">
        <f>'[4]Gross Plant'!$AF40</f>
        <v>314379.42</v>
      </c>
      <c r="E219" s="622">
        <v>0</v>
      </c>
      <c r="F219" s="430">
        <f t="shared" si="62"/>
        <v>314379.42</v>
      </c>
      <c r="G219" s="467">
        <v>1</v>
      </c>
      <c r="H219" s="467">
        <f>$H$204</f>
        <v>6.3622429999999994E-2</v>
      </c>
      <c r="I219" s="430">
        <f t="shared" si="58"/>
        <v>20001.582642390596</v>
      </c>
      <c r="K219" s="322">
        <f>'[4]Gross Plant'!$D40</f>
        <v>314379.42</v>
      </c>
      <c r="L219" s="467">
        <v>1</v>
      </c>
      <c r="M219" s="467">
        <f t="shared" si="66"/>
        <v>6.3622429999999994E-2</v>
      </c>
      <c r="N219" s="430">
        <f t="shared" si="64"/>
        <v>20001.582642390596</v>
      </c>
      <c r="P219" s="661"/>
      <c r="S219" s="424"/>
    </row>
    <row r="220" spans="1:19">
      <c r="A220" s="1153">
        <f t="shared" si="68"/>
        <v>206</v>
      </c>
      <c r="B220" s="1047">
        <v>39928</v>
      </c>
      <c r="C220" s="233" t="s">
        <v>1521</v>
      </c>
      <c r="D220" s="322">
        <f>'[4]Gross Plant'!$AF41</f>
        <v>20791579.279279158</v>
      </c>
      <c r="E220" s="622">
        <v>0</v>
      </c>
      <c r="F220" s="430">
        <f t="shared" si="62"/>
        <v>20791579.279279158</v>
      </c>
      <c r="G220" s="467">
        <v>1</v>
      </c>
      <c r="H220" s="467">
        <f t="shared" ref="H220" si="71">$H$204</f>
        <v>6.3622429999999994E-2</v>
      </c>
      <c r="I220" s="430">
        <f t="shared" si="58"/>
        <v>1322810.7972853885</v>
      </c>
      <c r="K220" s="322">
        <f>'[4]Gross Plant'!$D41</f>
        <v>20761925.421449766</v>
      </c>
      <c r="L220" s="467">
        <v>1</v>
      </c>
      <c r="M220" s="467">
        <f t="shared" si="66"/>
        <v>6.3622429999999994E-2</v>
      </c>
      <c r="N220" s="430">
        <f t="shared" si="64"/>
        <v>1320924.1467914081</v>
      </c>
      <c r="P220" s="661"/>
      <c r="S220" s="424"/>
    </row>
    <row r="221" spans="1:19">
      <c r="A221" s="1153">
        <f t="shared" si="68"/>
        <v>207</v>
      </c>
      <c r="B221" s="1047">
        <v>39931</v>
      </c>
      <c r="C221" s="233" t="s">
        <v>1522</v>
      </c>
      <c r="D221" s="322">
        <f>'[4]Gross Plant'!$AF42</f>
        <v>297266.61</v>
      </c>
      <c r="E221" s="622">
        <v>0</v>
      </c>
      <c r="F221" s="430">
        <f t="shared" si="62"/>
        <v>297266.61</v>
      </c>
      <c r="G221" s="467">
        <v>1</v>
      </c>
      <c r="H221" s="467">
        <f>Allocation!$E$23</f>
        <v>0</v>
      </c>
      <c r="I221" s="430">
        <f t="shared" si="58"/>
        <v>0</v>
      </c>
      <c r="K221" s="322">
        <f>'[4]Gross Plant'!$D42</f>
        <v>297266.60999999993</v>
      </c>
      <c r="L221" s="467">
        <v>1</v>
      </c>
      <c r="M221" s="467">
        <f t="shared" si="66"/>
        <v>0</v>
      </c>
      <c r="N221" s="430">
        <f t="shared" si="64"/>
        <v>0</v>
      </c>
      <c r="P221" s="661"/>
      <c r="S221" s="424"/>
    </row>
    <row r="222" spans="1:19">
      <c r="A222" s="1153">
        <f t="shared" si="68"/>
        <v>208</v>
      </c>
      <c r="B222" s="1047">
        <v>39932</v>
      </c>
      <c r="C222" s="233" t="s">
        <v>1523</v>
      </c>
      <c r="D222" s="322">
        <f>'[4]Gross Plant'!$AF43</f>
        <v>345729.64</v>
      </c>
      <c r="E222" s="622">
        <v>0</v>
      </c>
      <c r="F222" s="430">
        <f t="shared" si="62"/>
        <v>345729.64</v>
      </c>
      <c r="G222" s="467">
        <v>1</v>
      </c>
      <c r="H222" s="467">
        <f>Allocation!$E$23</f>
        <v>0</v>
      </c>
      <c r="I222" s="430">
        <f t="shared" si="58"/>
        <v>0</v>
      </c>
      <c r="K222" s="322">
        <f>'[4]Gross Plant'!$D43</f>
        <v>345729.64000000007</v>
      </c>
      <c r="L222" s="467">
        <v>1</v>
      </c>
      <c r="M222" s="467">
        <f t="shared" si="66"/>
        <v>0</v>
      </c>
      <c r="N222" s="430">
        <f t="shared" si="64"/>
        <v>0</v>
      </c>
      <c r="P222" s="661"/>
      <c r="S222" s="424"/>
    </row>
    <row r="223" spans="1:19">
      <c r="A223" s="1153">
        <f t="shared" si="68"/>
        <v>209</v>
      </c>
      <c r="B223" s="1047">
        <v>39938</v>
      </c>
      <c r="C223" s="233" t="s">
        <v>1524</v>
      </c>
      <c r="D223" s="322">
        <f>'[4]Gross Plant'!$AF44</f>
        <v>21018402.749623403</v>
      </c>
      <c r="E223" s="622">
        <v>0</v>
      </c>
      <c r="F223" s="430">
        <f t="shared" si="62"/>
        <v>21018402.749623403</v>
      </c>
      <c r="G223" s="467">
        <v>1</v>
      </c>
      <c r="H223" s="467">
        <f>Allocation!$E$23</f>
        <v>0</v>
      </c>
      <c r="I223" s="430">
        <f t="shared" si="58"/>
        <v>0</v>
      </c>
      <c r="K223" s="322">
        <f>'[4]Gross Plant'!$D44</f>
        <v>20120780.247922525</v>
      </c>
      <c r="L223" s="467">
        <v>1</v>
      </c>
      <c r="M223" s="467">
        <f t="shared" si="66"/>
        <v>0</v>
      </c>
      <c r="N223" s="430">
        <f t="shared" si="64"/>
        <v>0</v>
      </c>
      <c r="P223" s="661"/>
      <c r="S223" s="424"/>
    </row>
    <row r="224" spans="1:19">
      <c r="A224" s="1153">
        <f t="shared" si="68"/>
        <v>210</v>
      </c>
      <c r="B224" s="788"/>
      <c r="C224" s="832"/>
      <c r="D224" s="619"/>
      <c r="E224" s="619"/>
      <c r="F224" s="619"/>
      <c r="I224" s="619"/>
      <c r="K224" s="619"/>
      <c r="N224" s="619"/>
    </row>
    <row r="225" spans="1:19" ht="15.75" thickBot="1">
      <c r="A225" s="1153">
        <f t="shared" si="68"/>
        <v>211</v>
      </c>
      <c r="B225" s="1048"/>
      <c r="C225" s="233" t="s">
        <v>1321</v>
      </c>
      <c r="D225" s="512">
        <f>SUM(D186:D223)</f>
        <v>238289297.57999998</v>
      </c>
      <c r="E225" s="512">
        <f>SUM(E186:E223)</f>
        <v>0</v>
      </c>
      <c r="F225" s="512">
        <f>SUM(F186:F223)</f>
        <v>238289297.57999998</v>
      </c>
      <c r="G225" s="1026"/>
      <c r="H225" s="1026"/>
      <c r="I225" s="512">
        <f>SUM(I186:I223)</f>
        <v>11162430.686057266</v>
      </c>
      <c r="J225" s="807"/>
      <c r="K225" s="512">
        <f>SUM(K186:K223)</f>
        <v>228304590.07923079</v>
      </c>
      <c r="L225" s="1026"/>
      <c r="M225" s="1026"/>
      <c r="N225" s="512">
        <f>SUM(N186:N223)</f>
        <v>10692624.009701325</v>
      </c>
    </row>
    <row r="226" spans="1:19" ht="15.75" thickTop="1">
      <c r="A226" s="1153">
        <f t="shared" si="68"/>
        <v>212</v>
      </c>
      <c r="B226" s="1041"/>
      <c r="C226" s="88"/>
      <c r="D226" s="322"/>
      <c r="E226" s="328"/>
      <c r="F226" s="328"/>
      <c r="I226" s="328"/>
    </row>
    <row r="227" spans="1:19">
      <c r="A227" s="1153">
        <f t="shared" si="68"/>
        <v>213</v>
      </c>
      <c r="B227" s="1041"/>
      <c r="C227" s="81" t="s">
        <v>749</v>
      </c>
      <c r="D227" s="322">
        <f>'[4]Gross Plant'!$AF211</f>
        <v>14454840.959999993</v>
      </c>
      <c r="E227" s="328">
        <v>0</v>
      </c>
      <c r="F227" s="328">
        <f>D227+E227</f>
        <v>14454840.959999993</v>
      </c>
      <c r="G227" s="467">
        <f>$G$186</f>
        <v>0.104</v>
      </c>
      <c r="H227" s="467">
        <f>$H$186</f>
        <v>0.49780000000000002</v>
      </c>
      <c r="I227" s="328">
        <f>F227*G227*H227</f>
        <v>748344.46230835165</v>
      </c>
      <c r="K227" s="322">
        <f>'[4]Gross Plant'!$D$211</f>
        <v>14454840.959999992</v>
      </c>
      <c r="L227" s="467">
        <f>G227</f>
        <v>0.104</v>
      </c>
      <c r="M227" s="467">
        <f>H227</f>
        <v>0.49780000000000002</v>
      </c>
      <c r="N227" s="328">
        <f>K227*L227*M227</f>
        <v>748344.46230835153</v>
      </c>
    </row>
    <row r="228" spans="1:19">
      <c r="A228" s="1153">
        <f t="shared" si="68"/>
        <v>214</v>
      </c>
      <c r="B228" s="1041"/>
    </row>
    <row r="229" spans="1:19" ht="15.75">
      <c r="A229" s="1153">
        <f t="shared" si="68"/>
        <v>215</v>
      </c>
      <c r="B229" s="1044" t="s">
        <v>9</v>
      </c>
    </row>
    <row r="230" spans="1:19">
      <c r="A230" s="1153">
        <f t="shared" si="68"/>
        <v>216</v>
      </c>
      <c r="B230" s="1041"/>
    </row>
    <row r="231" spans="1:19">
      <c r="A231" s="1153">
        <f t="shared" si="68"/>
        <v>217</v>
      </c>
      <c r="B231" s="1048"/>
      <c r="C231" s="620" t="s">
        <v>301</v>
      </c>
    </row>
    <row r="232" spans="1:19">
      <c r="A232" s="1153">
        <f t="shared" si="68"/>
        <v>218</v>
      </c>
      <c r="B232" s="1047">
        <v>38900</v>
      </c>
      <c r="C232" s="233" t="s">
        <v>292</v>
      </c>
      <c r="D232" s="322">
        <f>'[4]Gross Plant'!$AF50</f>
        <v>2874239.86</v>
      </c>
      <c r="E232" s="346">
        <v>0</v>
      </c>
      <c r="F232" s="346">
        <f t="shared" ref="F232:F260" si="72">D232+E232</f>
        <v>2874239.86</v>
      </c>
      <c r="G232" s="467">
        <f>Allocation!$C$15</f>
        <v>0.1095</v>
      </c>
      <c r="H232" s="467">
        <f>Allocation!$D$15</f>
        <v>0.51517972406888612</v>
      </c>
      <c r="I232" s="346">
        <f t="shared" ref="I232:I235" si="73">F232*G232*H232</f>
        <v>162142.13572909404</v>
      </c>
      <c r="K232" s="322">
        <f>'[4]Gross Plant'!$D50</f>
        <v>2874239.86</v>
      </c>
      <c r="L232" s="467">
        <f t="shared" ref="L232:L255" si="74">G232</f>
        <v>0.1095</v>
      </c>
      <c r="M232" s="467">
        <f t="shared" ref="M232:M255" si="75">H232</f>
        <v>0.51517972406888612</v>
      </c>
      <c r="N232" s="346">
        <f t="shared" ref="N232:N260" si="76">K232*L232*M232</f>
        <v>162142.13572909404</v>
      </c>
      <c r="P232" s="661"/>
      <c r="S232" s="424"/>
    </row>
    <row r="233" spans="1:19">
      <c r="A233" s="1153">
        <f t="shared" si="68"/>
        <v>219</v>
      </c>
      <c r="B233" s="1047">
        <v>38910</v>
      </c>
      <c r="C233" s="233" t="s">
        <v>1199</v>
      </c>
      <c r="D233" s="322">
        <f>'[4]Gross Plant'!$AF51</f>
        <v>1886442.92</v>
      </c>
      <c r="E233" s="430">
        <v>0</v>
      </c>
      <c r="F233" s="623">
        <f>D233+E233</f>
        <v>1886442.92</v>
      </c>
      <c r="G233" s="467">
        <v>1</v>
      </c>
      <c r="H233" s="467">
        <f>Allocation!$E$21</f>
        <v>2.3186160000000001E-2</v>
      </c>
      <c r="I233" s="430">
        <f>F233*G233*H233</f>
        <v>43739.367373987203</v>
      </c>
      <c r="K233" s="322">
        <f>'[4]Gross Plant'!$D51</f>
        <v>1886442.9200000006</v>
      </c>
      <c r="L233" s="467">
        <f>G233</f>
        <v>1</v>
      </c>
      <c r="M233" s="467">
        <f>H233</f>
        <v>2.3186160000000001E-2</v>
      </c>
      <c r="N233" s="430">
        <f>K233*L233*M233</f>
        <v>43739.367373987217</v>
      </c>
      <c r="P233" s="661"/>
      <c r="S233" s="424"/>
    </row>
    <row r="234" spans="1:19">
      <c r="A234" s="1153">
        <f t="shared" si="68"/>
        <v>220</v>
      </c>
      <c r="B234" s="1047">
        <v>39000</v>
      </c>
      <c r="C234" s="233" t="s">
        <v>856</v>
      </c>
      <c r="D234" s="322">
        <f>'[4]Gross Plant'!$AF52</f>
        <v>12669002.609999999</v>
      </c>
      <c r="E234" s="430">
        <v>0</v>
      </c>
      <c r="F234" s="623">
        <f t="shared" si="72"/>
        <v>12669002.609999999</v>
      </c>
      <c r="G234" s="467">
        <f>$G$232</f>
        <v>0.1095</v>
      </c>
      <c r="H234" s="467">
        <f>$H$232</f>
        <v>0.51517972406888612</v>
      </c>
      <c r="I234" s="430">
        <f t="shared" si="73"/>
        <v>714686.05293883383</v>
      </c>
      <c r="K234" s="322">
        <f>'[4]Gross Plant'!$D52</f>
        <v>12669002.610000001</v>
      </c>
      <c r="L234" s="467">
        <f t="shared" si="74"/>
        <v>0.1095</v>
      </c>
      <c r="M234" s="467">
        <f t="shared" si="75"/>
        <v>0.51517972406888612</v>
      </c>
      <c r="N234" s="430">
        <f t="shared" si="76"/>
        <v>714686.05293883395</v>
      </c>
      <c r="P234" s="661"/>
      <c r="S234" s="424"/>
    </row>
    <row r="235" spans="1:19">
      <c r="A235" s="1153">
        <f t="shared" si="68"/>
        <v>221</v>
      </c>
      <c r="B235" s="1047">
        <v>39009</v>
      </c>
      <c r="C235" s="233" t="s">
        <v>1036</v>
      </c>
      <c r="D235" s="322">
        <f>'[4]Gross Plant'!$AF53</f>
        <v>2820613.55</v>
      </c>
      <c r="E235" s="430">
        <v>0</v>
      </c>
      <c r="F235" s="623">
        <f t="shared" si="72"/>
        <v>2820613.55</v>
      </c>
      <c r="G235" s="467">
        <f>$G$232</f>
        <v>0.1095</v>
      </c>
      <c r="H235" s="467">
        <f>$H$232</f>
        <v>0.51517972406888612</v>
      </c>
      <c r="I235" s="430">
        <f t="shared" si="73"/>
        <v>159116.95868813875</v>
      </c>
      <c r="K235" s="322">
        <f>'[4]Gross Plant'!$D53</f>
        <v>2820613.55</v>
      </c>
      <c r="L235" s="467">
        <f t="shared" si="74"/>
        <v>0.1095</v>
      </c>
      <c r="M235" s="467">
        <f t="shared" si="75"/>
        <v>0.51517972406888612</v>
      </c>
      <c r="N235" s="430">
        <f t="shared" si="76"/>
        <v>159116.95868813875</v>
      </c>
      <c r="P235" s="661"/>
      <c r="S235" s="424"/>
    </row>
    <row r="236" spans="1:19">
      <c r="A236" s="1153">
        <f t="shared" si="68"/>
        <v>222</v>
      </c>
      <c r="B236" s="1047">
        <v>39010</v>
      </c>
      <c r="C236" s="233" t="s">
        <v>1200</v>
      </c>
      <c r="D236" s="322">
        <f>'[4]Gross Plant'!$AF54</f>
        <v>12305840</v>
      </c>
      <c r="E236" s="430">
        <v>0</v>
      </c>
      <c r="F236" s="623">
        <f>D236+E236</f>
        <v>12305840</v>
      </c>
      <c r="G236" s="467">
        <v>1</v>
      </c>
      <c r="H236" s="467">
        <f>$H$233</f>
        <v>2.3186160000000001E-2</v>
      </c>
      <c r="I236" s="430">
        <f>F236*G236*H236</f>
        <v>285325.17517440004</v>
      </c>
      <c r="K236" s="322">
        <f>'[4]Gross Plant'!$D54</f>
        <v>12305840</v>
      </c>
      <c r="L236" s="467">
        <f>G236</f>
        <v>1</v>
      </c>
      <c r="M236" s="467">
        <f>H236</f>
        <v>2.3186160000000001E-2</v>
      </c>
      <c r="N236" s="430">
        <f>K236*L236*M236</f>
        <v>285325.17517440004</v>
      </c>
      <c r="P236" s="661"/>
      <c r="S236" s="424"/>
    </row>
    <row r="237" spans="1:19">
      <c r="A237" s="1153">
        <f t="shared" si="68"/>
        <v>223</v>
      </c>
      <c r="B237" s="1047">
        <v>39100</v>
      </c>
      <c r="C237" s="233" t="s">
        <v>779</v>
      </c>
      <c r="D237" s="322">
        <f>'[4]Gross Plant'!$AF55</f>
        <v>2601911.9417261141</v>
      </c>
      <c r="E237" s="430">
        <v>0</v>
      </c>
      <c r="F237" s="623">
        <f t="shared" si="72"/>
        <v>2601911.9417261141</v>
      </c>
      <c r="G237" s="467">
        <f>$G$232</f>
        <v>0.1095</v>
      </c>
      <c r="H237" s="467">
        <f>$H$232</f>
        <v>0.51517972406888612</v>
      </c>
      <c r="I237" s="430">
        <f t="shared" ref="I237:I260" si="77">F237*G237*H237</f>
        <v>146779.52424280491</v>
      </c>
      <c r="K237" s="322">
        <f>'[4]Gross Plant'!$D55</f>
        <v>2530129.2800050252</v>
      </c>
      <c r="L237" s="467">
        <f t="shared" si="74"/>
        <v>0.1095</v>
      </c>
      <c r="M237" s="467">
        <f t="shared" si="75"/>
        <v>0.51517972406888612</v>
      </c>
      <c r="N237" s="430">
        <f t="shared" si="76"/>
        <v>142730.10782431002</v>
      </c>
      <c r="P237" s="661"/>
      <c r="S237" s="424"/>
    </row>
    <row r="238" spans="1:19">
      <c r="A238" s="1153">
        <f t="shared" si="68"/>
        <v>224</v>
      </c>
      <c r="B238" s="1047">
        <v>39101</v>
      </c>
      <c r="C238" s="233" t="s">
        <v>1502</v>
      </c>
      <c r="D238" s="322">
        <f>'[4]Gross Plant'!$AF56</f>
        <v>0</v>
      </c>
      <c r="E238" s="430">
        <v>0</v>
      </c>
      <c r="F238" s="623">
        <f t="shared" si="72"/>
        <v>0</v>
      </c>
      <c r="G238" s="467">
        <f>Allocation!$C$15</f>
        <v>0.1095</v>
      </c>
      <c r="H238" s="467">
        <f>Allocation!$D$15</f>
        <v>0.51517972406888612</v>
      </c>
      <c r="I238" s="430">
        <f t="shared" si="77"/>
        <v>0</v>
      </c>
      <c r="K238" s="322">
        <f>'[4]Gross Plant'!$D56</f>
        <v>0</v>
      </c>
      <c r="L238" s="467">
        <f>Allocation!$C$15</f>
        <v>0.1095</v>
      </c>
      <c r="M238" s="467">
        <f>Allocation!$D$15</f>
        <v>0.51517972406888612</v>
      </c>
      <c r="N238" s="430">
        <f t="shared" si="76"/>
        <v>0</v>
      </c>
      <c r="P238" s="661"/>
      <c r="S238" s="424"/>
    </row>
    <row r="239" spans="1:19">
      <c r="A239" s="1153">
        <f t="shared" si="68"/>
        <v>225</v>
      </c>
      <c r="B239" s="1047">
        <v>39102</v>
      </c>
      <c r="C239" s="233" t="s">
        <v>1512</v>
      </c>
      <c r="D239" s="322">
        <f>'[4]Gross Plant'!$AF57</f>
        <v>0</v>
      </c>
      <c r="E239" s="430">
        <v>0</v>
      </c>
      <c r="F239" s="623">
        <f t="shared" si="72"/>
        <v>0</v>
      </c>
      <c r="G239" s="467">
        <f>Allocation!$C$15</f>
        <v>0.1095</v>
      </c>
      <c r="H239" s="467">
        <f>Allocation!$D$15</f>
        <v>0.51517972406888612</v>
      </c>
      <c r="I239" s="430">
        <f t="shared" si="77"/>
        <v>0</v>
      </c>
      <c r="K239" s="322">
        <f>'[4]Gross Plant'!$D57</f>
        <v>0</v>
      </c>
      <c r="L239" s="467">
        <f>Allocation!$C$15</f>
        <v>0.1095</v>
      </c>
      <c r="M239" s="467">
        <f>Allocation!$D$15</f>
        <v>0.51517972406888612</v>
      </c>
      <c r="N239" s="430">
        <f t="shared" si="76"/>
        <v>0</v>
      </c>
      <c r="P239" s="661"/>
      <c r="S239" s="424"/>
    </row>
    <row r="240" spans="1:19">
      <c r="A240" s="1153">
        <f t="shared" si="68"/>
        <v>226</v>
      </c>
      <c r="B240" s="1047">
        <v>39103</v>
      </c>
      <c r="C240" s="233" t="s">
        <v>1323</v>
      </c>
      <c r="D240" s="322">
        <f>'[4]Gross Plant'!$AF58</f>
        <v>0</v>
      </c>
      <c r="E240" s="430">
        <v>0</v>
      </c>
      <c r="F240" s="623">
        <f t="shared" si="72"/>
        <v>0</v>
      </c>
      <c r="G240" s="467">
        <f>$G$232</f>
        <v>0.1095</v>
      </c>
      <c r="H240" s="467">
        <f>$H$232</f>
        <v>0.51517972406888612</v>
      </c>
      <c r="I240" s="430">
        <f t="shared" si="77"/>
        <v>0</v>
      </c>
      <c r="K240" s="322">
        <f>'[4]Gross Plant'!$D58</f>
        <v>0</v>
      </c>
      <c r="L240" s="467">
        <f t="shared" ref="L240:L244" si="78">G240</f>
        <v>0.1095</v>
      </c>
      <c r="M240" s="467">
        <f t="shared" ref="M240:M244" si="79">H240</f>
        <v>0.51517972406888612</v>
      </c>
      <c r="N240" s="430">
        <f t="shared" si="76"/>
        <v>0</v>
      </c>
      <c r="P240" s="661"/>
      <c r="S240" s="424"/>
    </row>
    <row r="241" spans="1:19">
      <c r="A241" s="1153">
        <f t="shared" si="68"/>
        <v>227</v>
      </c>
      <c r="B241" s="1047">
        <v>39110</v>
      </c>
      <c r="C241" s="233" t="s">
        <v>1513</v>
      </c>
      <c r="D241" s="322">
        <f>'[4]Gross Plant'!$AF59</f>
        <v>579053.49027770583</v>
      </c>
      <c r="E241" s="430">
        <v>0</v>
      </c>
      <c r="F241" s="623">
        <f t="shared" si="72"/>
        <v>579053.49027770583</v>
      </c>
      <c r="G241" s="467">
        <v>1</v>
      </c>
      <c r="H241" s="467">
        <f>Allocation!$E$21</f>
        <v>2.3186160000000001E-2</v>
      </c>
      <c r="I241" s="430">
        <f t="shared" si="77"/>
        <v>13426.026874137333</v>
      </c>
      <c r="K241" s="322">
        <f>'[4]Gross Plant'!$D59</f>
        <v>515906.87122588517</v>
      </c>
      <c r="L241" s="467">
        <f t="shared" si="78"/>
        <v>1</v>
      </c>
      <c r="M241" s="467">
        <f t="shared" si="79"/>
        <v>2.3186160000000001E-2</v>
      </c>
      <c r="N241" s="430">
        <f t="shared" si="76"/>
        <v>11961.899261342771</v>
      </c>
      <c r="P241" s="661"/>
      <c r="S241" s="424"/>
    </row>
    <row r="242" spans="1:19">
      <c r="A242" s="1153">
        <f t="shared" si="68"/>
        <v>228</v>
      </c>
      <c r="B242" s="1047">
        <v>39210</v>
      </c>
      <c r="C242" s="233" t="s">
        <v>1514</v>
      </c>
      <c r="D242" s="322">
        <f>'[4]Gross Plant'!$AF60</f>
        <v>96290.22</v>
      </c>
      <c r="E242" s="430">
        <v>0</v>
      </c>
      <c r="F242" s="623">
        <f t="shared" si="72"/>
        <v>96290.22</v>
      </c>
      <c r="G242" s="467">
        <v>1</v>
      </c>
      <c r="H242" s="467">
        <f>Allocation!$E$21</f>
        <v>2.3186160000000001E-2</v>
      </c>
      <c r="I242" s="430">
        <f t="shared" si="77"/>
        <v>2232.6004473552002</v>
      </c>
      <c r="K242" s="322">
        <f>'[4]Gross Plant'!$D60</f>
        <v>96290.219999999987</v>
      </c>
      <c r="L242" s="467">
        <f t="shared" si="78"/>
        <v>1</v>
      </c>
      <c r="M242" s="467">
        <f t="shared" si="79"/>
        <v>2.3186160000000001E-2</v>
      </c>
      <c r="N242" s="430">
        <f t="shared" si="76"/>
        <v>2232.6004473551998</v>
      </c>
      <c r="P242" s="661"/>
      <c r="S242" s="424"/>
    </row>
    <row r="243" spans="1:19">
      <c r="A243" s="1153">
        <f t="shared" si="68"/>
        <v>229</v>
      </c>
      <c r="B243" s="1047">
        <v>39410</v>
      </c>
      <c r="C243" s="233" t="s">
        <v>1515</v>
      </c>
      <c r="D243" s="322">
        <f>'[4]Gross Plant'!$AF61</f>
        <v>703898.09978681128</v>
      </c>
      <c r="E243" s="430">
        <v>0</v>
      </c>
      <c r="F243" s="623">
        <f t="shared" si="72"/>
        <v>703898.09978681128</v>
      </c>
      <c r="G243" s="467">
        <v>1</v>
      </c>
      <c r="H243" s="467">
        <f>Allocation!$E$21</f>
        <v>2.3186160000000001E-2</v>
      </c>
      <c r="I243" s="430">
        <f t="shared" si="77"/>
        <v>16320.693965352973</v>
      </c>
      <c r="K243" s="322">
        <f>'[4]Gross Plant'!$D61</f>
        <v>607804.29194008734</v>
      </c>
      <c r="L243" s="467">
        <f t="shared" si="78"/>
        <v>1</v>
      </c>
      <c r="M243" s="467">
        <f t="shared" si="79"/>
        <v>2.3186160000000001E-2</v>
      </c>
      <c r="N243" s="430">
        <f t="shared" si="76"/>
        <v>14092.647561609576</v>
      </c>
      <c r="P243" s="661"/>
      <c r="S243" s="424"/>
    </row>
    <row r="244" spans="1:19">
      <c r="A244" s="1153">
        <f t="shared" si="68"/>
        <v>230</v>
      </c>
      <c r="B244" s="1047">
        <v>39510</v>
      </c>
      <c r="C244" s="233" t="s">
        <v>1516</v>
      </c>
      <c r="D244" s="322">
        <f>'[4]Gross Plant'!$AF62</f>
        <v>23632.07</v>
      </c>
      <c r="E244" s="430">
        <v>0</v>
      </c>
      <c r="F244" s="623">
        <f t="shared" si="72"/>
        <v>23632.07</v>
      </c>
      <c r="G244" s="467">
        <v>1</v>
      </c>
      <c r="H244" s="467">
        <f>Allocation!$E$21</f>
        <v>2.3186160000000001E-2</v>
      </c>
      <c r="I244" s="430">
        <f t="shared" si="77"/>
        <v>547.93695615119998</v>
      </c>
      <c r="K244" s="322">
        <f>'[4]Gross Plant'!$D62</f>
        <v>23632.070000000003</v>
      </c>
      <c r="L244" s="467">
        <f t="shared" si="78"/>
        <v>1</v>
      </c>
      <c r="M244" s="467">
        <f t="shared" si="79"/>
        <v>2.3186160000000001E-2</v>
      </c>
      <c r="N244" s="430">
        <f t="shared" si="76"/>
        <v>547.93695615120009</v>
      </c>
      <c r="P244" s="661"/>
      <c r="S244" s="424"/>
    </row>
    <row r="245" spans="1:19">
      <c r="A245" s="1153">
        <f t="shared" si="68"/>
        <v>231</v>
      </c>
      <c r="B245" s="1047">
        <v>39700</v>
      </c>
      <c r="C245" s="233" t="s">
        <v>440</v>
      </c>
      <c r="D245" s="322">
        <f>'[4]Gross Plant'!$AF63</f>
        <v>1913117.11</v>
      </c>
      <c r="E245" s="430">
        <v>0</v>
      </c>
      <c r="F245" s="623">
        <f t="shared" si="72"/>
        <v>1913117.11</v>
      </c>
      <c r="G245" s="467">
        <f>$G$232</f>
        <v>0.1095</v>
      </c>
      <c r="H245" s="467">
        <f>$H$232</f>
        <v>0.51517972406888612</v>
      </c>
      <c r="I245" s="430">
        <f t="shared" si="77"/>
        <v>107923.10636011852</v>
      </c>
      <c r="K245" s="322">
        <f>'[4]Gross Plant'!$D63</f>
        <v>1913117.1099999996</v>
      </c>
      <c r="L245" s="467">
        <f t="shared" si="74"/>
        <v>0.1095</v>
      </c>
      <c r="M245" s="467">
        <f t="shared" si="75"/>
        <v>0.51517972406888612</v>
      </c>
      <c r="N245" s="430">
        <f t="shared" si="76"/>
        <v>107923.10636011849</v>
      </c>
      <c r="P245" s="661"/>
      <c r="S245" s="424"/>
    </row>
    <row r="246" spans="1:19">
      <c r="A246" s="1153">
        <f t="shared" si="68"/>
        <v>232</v>
      </c>
      <c r="B246" s="1047">
        <v>39710</v>
      </c>
      <c r="C246" s="233" t="s">
        <v>1201</v>
      </c>
      <c r="D246" s="322">
        <f>'[4]Gross Plant'!$AF64</f>
        <v>291500.62</v>
      </c>
      <c r="E246" s="430">
        <v>0</v>
      </c>
      <c r="F246" s="623">
        <f t="shared" si="72"/>
        <v>291500.62</v>
      </c>
      <c r="G246" s="467">
        <v>1</v>
      </c>
      <c r="H246" s="467">
        <f>$H$233</f>
        <v>2.3186160000000001E-2</v>
      </c>
      <c r="I246" s="430">
        <f t="shared" si="77"/>
        <v>6758.7800154192</v>
      </c>
      <c r="K246" s="322">
        <f>'[4]Gross Plant'!$D64</f>
        <v>291500.62000000005</v>
      </c>
      <c r="L246" s="467">
        <f>G246</f>
        <v>1</v>
      </c>
      <c r="M246" s="467">
        <f>H246</f>
        <v>2.3186160000000001E-2</v>
      </c>
      <c r="N246" s="430">
        <f t="shared" si="76"/>
        <v>6758.7800154192018</v>
      </c>
      <c r="P246" s="661"/>
      <c r="S246" s="424"/>
    </row>
    <row r="247" spans="1:19">
      <c r="A247" s="1153">
        <f t="shared" si="68"/>
        <v>233</v>
      </c>
      <c r="B247" s="1047">
        <v>39800</v>
      </c>
      <c r="C247" s="233" t="s">
        <v>650</v>
      </c>
      <c r="D247" s="322">
        <f>'[4]Gross Plant'!$AF65</f>
        <v>70015.66</v>
      </c>
      <c r="E247" s="430">
        <v>0</v>
      </c>
      <c r="F247" s="623">
        <f t="shared" si="72"/>
        <v>70015.66</v>
      </c>
      <c r="G247" s="467">
        <f t="shared" ref="G247:G255" si="80">$G$232</f>
        <v>0.1095</v>
      </c>
      <c r="H247" s="467">
        <f t="shared" ref="H247:H255" si="81">$H$232</f>
        <v>0.51517972406888612</v>
      </c>
      <c r="I247" s="430">
        <f t="shared" si="77"/>
        <v>3949.7359997234539</v>
      </c>
      <c r="K247" s="322">
        <f>'[4]Gross Plant'!$D65</f>
        <v>70015.660000000018</v>
      </c>
      <c r="L247" s="467">
        <f t="shared" si="74"/>
        <v>0.1095</v>
      </c>
      <c r="M247" s="467">
        <f t="shared" si="75"/>
        <v>0.51517972406888612</v>
      </c>
      <c r="N247" s="430">
        <f t="shared" si="76"/>
        <v>3949.7359997234548</v>
      </c>
      <c r="P247" s="661"/>
      <c r="S247" s="424"/>
    </row>
    <row r="248" spans="1:19">
      <c r="A248" s="1153">
        <f t="shared" si="68"/>
        <v>234</v>
      </c>
      <c r="B248" s="1047">
        <v>39810</v>
      </c>
      <c r="C248" s="233" t="s">
        <v>1517</v>
      </c>
      <c r="D248" s="322">
        <f>'[4]Gross Plant'!$AF66</f>
        <v>509282.85</v>
      </c>
      <c r="E248" s="430">
        <v>0</v>
      </c>
      <c r="F248" s="623">
        <f t="shared" si="72"/>
        <v>509282.85</v>
      </c>
      <c r="G248" s="467">
        <v>1</v>
      </c>
      <c r="H248" s="467">
        <f>Allocation!$E$21</f>
        <v>2.3186160000000001E-2</v>
      </c>
      <c r="I248" s="430">
        <f t="shared" si="77"/>
        <v>11808.313645356</v>
      </c>
      <c r="K248" s="322">
        <f>'[4]Gross Plant'!$D66</f>
        <v>509282.84999999992</v>
      </c>
      <c r="L248" s="467">
        <f t="shared" si="74"/>
        <v>1</v>
      </c>
      <c r="M248" s="467">
        <f t="shared" si="75"/>
        <v>2.3186160000000001E-2</v>
      </c>
      <c r="N248" s="430">
        <f t="shared" si="76"/>
        <v>11808.313645355998</v>
      </c>
      <c r="P248" s="661"/>
      <c r="S248" s="424"/>
    </row>
    <row r="249" spans="1:19">
      <c r="A249" s="1153">
        <f t="shared" si="68"/>
        <v>235</v>
      </c>
      <c r="B249" s="1047">
        <v>39900</v>
      </c>
      <c r="C249" s="233" t="s">
        <v>1152</v>
      </c>
      <c r="D249" s="322">
        <f>'[4]Gross Plant'!$AF67</f>
        <v>629166.46</v>
      </c>
      <c r="E249" s="430">
        <v>0</v>
      </c>
      <c r="F249" s="623">
        <f t="shared" si="72"/>
        <v>629166.46</v>
      </c>
      <c r="G249" s="467">
        <f t="shared" si="80"/>
        <v>0.1095</v>
      </c>
      <c r="H249" s="467">
        <f t="shared" si="81"/>
        <v>0.51517972406888612</v>
      </c>
      <c r="I249" s="430">
        <f t="shared" si="77"/>
        <v>35492.651456553664</v>
      </c>
      <c r="K249" s="322">
        <f>'[4]Gross Plant'!$D67</f>
        <v>629166.46</v>
      </c>
      <c r="L249" s="467">
        <f t="shared" si="74"/>
        <v>0.1095</v>
      </c>
      <c r="M249" s="467">
        <f t="shared" si="75"/>
        <v>0.51517972406888612</v>
      </c>
      <c r="N249" s="430">
        <f t="shared" si="76"/>
        <v>35492.651456553664</v>
      </c>
      <c r="P249" s="661"/>
      <c r="S249" s="424"/>
    </row>
    <row r="250" spans="1:19">
      <c r="A250" s="1153">
        <f t="shared" si="68"/>
        <v>236</v>
      </c>
      <c r="B250" s="1047">
        <v>39901</v>
      </c>
      <c r="C250" s="233" t="s">
        <v>474</v>
      </c>
      <c r="D250" s="322">
        <f>'[4]Gross Plant'!$AF68</f>
        <v>10343248.640000001</v>
      </c>
      <c r="E250" s="430">
        <v>0</v>
      </c>
      <c r="F250" s="623">
        <f t="shared" si="72"/>
        <v>10343248.640000001</v>
      </c>
      <c r="G250" s="467">
        <f t="shared" si="80"/>
        <v>0.1095</v>
      </c>
      <c r="H250" s="467">
        <f t="shared" si="81"/>
        <v>0.51517972406888612</v>
      </c>
      <c r="I250" s="430">
        <f t="shared" si="77"/>
        <v>583485.20184625348</v>
      </c>
      <c r="K250" s="322">
        <f>'[4]Gross Plant'!$D68</f>
        <v>10343248.639999999</v>
      </c>
      <c r="L250" s="467">
        <f t="shared" si="74"/>
        <v>0.1095</v>
      </c>
      <c r="M250" s="467">
        <f t="shared" si="75"/>
        <v>0.51517972406888612</v>
      </c>
      <c r="N250" s="430">
        <f t="shared" si="76"/>
        <v>583485.20184625336</v>
      </c>
      <c r="P250" s="661"/>
      <c r="S250" s="424"/>
    </row>
    <row r="251" spans="1:19">
      <c r="A251" s="1153">
        <f t="shared" si="68"/>
        <v>237</v>
      </c>
      <c r="B251" s="1047">
        <v>39902</v>
      </c>
      <c r="C251" s="233" t="s">
        <v>960</v>
      </c>
      <c r="D251" s="322">
        <f>'[4]Gross Plant'!$AF69</f>
        <v>2023936.45</v>
      </c>
      <c r="E251" s="430">
        <v>0</v>
      </c>
      <c r="F251" s="623">
        <f t="shared" si="72"/>
        <v>2023936.45</v>
      </c>
      <c r="G251" s="467">
        <f t="shared" si="80"/>
        <v>0.1095</v>
      </c>
      <c r="H251" s="467">
        <f t="shared" si="81"/>
        <v>0.51517972406888612</v>
      </c>
      <c r="I251" s="430">
        <f t="shared" si="77"/>
        <v>114174.66689191372</v>
      </c>
      <c r="K251" s="322">
        <f>'[4]Gross Plant'!$D69</f>
        <v>2023936.4499999995</v>
      </c>
      <c r="L251" s="467">
        <f t="shared" si="74"/>
        <v>0.1095</v>
      </c>
      <c r="M251" s="467">
        <f t="shared" si="75"/>
        <v>0.51517972406888612</v>
      </c>
      <c r="N251" s="430">
        <f t="shared" si="76"/>
        <v>114174.66689191369</v>
      </c>
      <c r="P251" s="661"/>
      <c r="S251" s="424"/>
    </row>
    <row r="252" spans="1:19">
      <c r="A252" s="1153">
        <f t="shared" si="68"/>
        <v>238</v>
      </c>
      <c r="B252" s="1047">
        <v>39903</v>
      </c>
      <c r="C252" s="233" t="s">
        <v>1003</v>
      </c>
      <c r="D252" s="322">
        <f>'[4]Gross Plant'!$AF70</f>
        <v>629225.62</v>
      </c>
      <c r="E252" s="430">
        <v>0</v>
      </c>
      <c r="F252" s="623">
        <f t="shared" si="72"/>
        <v>629225.62</v>
      </c>
      <c r="G252" s="467">
        <f t="shared" si="80"/>
        <v>0.1095</v>
      </c>
      <c r="H252" s="467">
        <f t="shared" si="81"/>
        <v>0.51517972406888612</v>
      </c>
      <c r="I252" s="430">
        <f t="shared" si="77"/>
        <v>35495.988801109779</v>
      </c>
      <c r="K252" s="322">
        <f>'[4]Gross Plant'!$D70</f>
        <v>629225.62</v>
      </c>
      <c r="L252" s="467">
        <f t="shared" si="74"/>
        <v>0.1095</v>
      </c>
      <c r="M252" s="467">
        <f t="shared" si="75"/>
        <v>0.51517972406888612</v>
      </c>
      <c r="N252" s="430">
        <f t="shared" si="76"/>
        <v>35495.988801109779</v>
      </c>
      <c r="P252" s="661"/>
      <c r="S252" s="424"/>
    </row>
    <row r="253" spans="1:19">
      <c r="A253" s="1153">
        <f t="shared" si="68"/>
        <v>239</v>
      </c>
      <c r="B253" s="1047">
        <v>39906</v>
      </c>
      <c r="C253" s="233" t="s">
        <v>451</v>
      </c>
      <c r="D253" s="322">
        <f>'[4]Gross Plant'!$AF71</f>
        <v>1068704.8199061288</v>
      </c>
      <c r="E253" s="430">
        <v>0</v>
      </c>
      <c r="F253" s="623">
        <f t="shared" si="72"/>
        <v>1068704.8199061288</v>
      </c>
      <c r="G253" s="467">
        <f t="shared" si="80"/>
        <v>0.1095</v>
      </c>
      <c r="H253" s="467">
        <f t="shared" si="81"/>
        <v>0.51517972406888612</v>
      </c>
      <c r="I253" s="430">
        <f t="shared" si="77"/>
        <v>60287.968438220931</v>
      </c>
      <c r="K253" s="322">
        <f>'[4]Gross Plant'!$D71</f>
        <v>1046767.6452688724</v>
      </c>
      <c r="L253" s="467">
        <f t="shared" si="74"/>
        <v>0.1095</v>
      </c>
      <c r="M253" s="467">
        <f t="shared" si="75"/>
        <v>0.51517972406888612</v>
      </c>
      <c r="N253" s="430">
        <f t="shared" si="76"/>
        <v>59050.444598597154</v>
      </c>
      <c r="P253" s="661"/>
      <c r="S253" s="424"/>
    </row>
    <row r="254" spans="1:19">
      <c r="A254" s="1153">
        <f t="shared" si="68"/>
        <v>240</v>
      </c>
      <c r="B254" s="1047">
        <v>39907</v>
      </c>
      <c r="C254" s="233" t="s">
        <v>505</v>
      </c>
      <c r="D254" s="322">
        <f>'[4]Gross Plant'!$AF72</f>
        <v>190246.97</v>
      </c>
      <c r="E254" s="430">
        <v>0</v>
      </c>
      <c r="F254" s="623">
        <f t="shared" si="72"/>
        <v>190246.97</v>
      </c>
      <c r="G254" s="467">
        <f t="shared" si="80"/>
        <v>0.1095</v>
      </c>
      <c r="H254" s="467">
        <f t="shared" si="81"/>
        <v>0.51517972406888612</v>
      </c>
      <c r="I254" s="430">
        <f t="shared" si="77"/>
        <v>10732.246275294812</v>
      </c>
      <c r="K254" s="322">
        <f>'[4]Gross Plant'!$D72</f>
        <v>190246.97000000003</v>
      </c>
      <c r="L254" s="467">
        <f t="shared" si="74"/>
        <v>0.1095</v>
      </c>
      <c r="M254" s="467">
        <f t="shared" si="75"/>
        <v>0.51517972406888612</v>
      </c>
      <c r="N254" s="430">
        <f t="shared" si="76"/>
        <v>10732.246275294814</v>
      </c>
      <c r="P254" s="661"/>
      <c r="S254" s="424"/>
    </row>
    <row r="255" spans="1:19">
      <c r="A255" s="1153">
        <f t="shared" si="68"/>
        <v>241</v>
      </c>
      <c r="B255" s="1047">
        <v>39908</v>
      </c>
      <c r="C255" s="233" t="s">
        <v>179</v>
      </c>
      <c r="D255" s="322">
        <f>'[4]Gross Plant'!$AF73</f>
        <v>94401846.64870961</v>
      </c>
      <c r="E255" s="430">
        <v>0</v>
      </c>
      <c r="F255" s="623">
        <f t="shared" si="72"/>
        <v>94401846.64870961</v>
      </c>
      <c r="G255" s="467">
        <f t="shared" si="80"/>
        <v>0.1095</v>
      </c>
      <c r="H255" s="467">
        <f t="shared" si="81"/>
        <v>0.51517972406888612</v>
      </c>
      <c r="I255" s="430">
        <f t="shared" si="77"/>
        <v>5325413.9452342689</v>
      </c>
      <c r="K255" s="322">
        <f>'[4]Gross Plant'!$D73</f>
        <v>93042822.981155649</v>
      </c>
      <c r="L255" s="467">
        <f t="shared" si="74"/>
        <v>0.1095</v>
      </c>
      <c r="M255" s="467">
        <f t="shared" si="75"/>
        <v>0.51517972406888612</v>
      </c>
      <c r="N255" s="430">
        <f t="shared" si="76"/>
        <v>5248748.4577674065</v>
      </c>
      <c r="P255" s="661"/>
      <c r="S255" s="424"/>
    </row>
    <row r="256" spans="1:19">
      <c r="A256" s="1153">
        <f t="shared" si="68"/>
        <v>242</v>
      </c>
      <c r="B256" s="1047">
        <v>39910</v>
      </c>
      <c r="C256" s="233" t="s">
        <v>1202</v>
      </c>
      <c r="D256" s="322">
        <f>'[4]Gross Plant'!$AF74</f>
        <v>339657.73</v>
      </c>
      <c r="E256" s="430">
        <v>0</v>
      </c>
      <c r="F256" s="623">
        <f t="shared" si="72"/>
        <v>339657.73</v>
      </c>
      <c r="G256" s="467">
        <v>1</v>
      </c>
      <c r="H256" s="467">
        <f>$H$233</f>
        <v>2.3186160000000001E-2</v>
      </c>
      <c r="I256" s="430">
        <f t="shared" si="77"/>
        <v>7875.3584730167995</v>
      </c>
      <c r="K256" s="322">
        <f>'[4]Gross Plant'!$D74</f>
        <v>339657.73000000004</v>
      </c>
      <c r="L256" s="467">
        <f t="shared" ref="L256:M258" si="82">G256</f>
        <v>1</v>
      </c>
      <c r="M256" s="467">
        <f t="shared" si="82"/>
        <v>2.3186160000000001E-2</v>
      </c>
      <c r="N256" s="430">
        <f t="shared" si="76"/>
        <v>7875.3584730168013</v>
      </c>
      <c r="P256" s="661"/>
      <c r="S256" s="424"/>
    </row>
    <row r="257" spans="1:19">
      <c r="A257" s="1153">
        <f t="shared" si="68"/>
        <v>243</v>
      </c>
      <c r="B257" s="1047">
        <v>39916</v>
      </c>
      <c r="C257" s="80" t="s">
        <v>1203</v>
      </c>
      <c r="D257" s="322">
        <f>'[4]Gross Plant'!$AF75</f>
        <v>539316.63959358225</v>
      </c>
      <c r="E257" s="430">
        <v>0</v>
      </c>
      <c r="F257" s="623">
        <f t="shared" si="72"/>
        <v>539316.63959358225</v>
      </c>
      <c r="G257" s="467">
        <v>1</v>
      </c>
      <c r="H257" s="467">
        <f>$H$233</f>
        <v>2.3186160000000001E-2</v>
      </c>
      <c r="I257" s="430">
        <f t="shared" si="77"/>
        <v>12504.681896279133</v>
      </c>
      <c r="K257" s="322">
        <f>'[4]Gross Plant'!$D75</f>
        <v>449494.70809674636</v>
      </c>
      <c r="L257" s="467">
        <f t="shared" si="82"/>
        <v>1</v>
      </c>
      <c r="M257" s="467">
        <f t="shared" si="82"/>
        <v>2.3186160000000001E-2</v>
      </c>
      <c r="N257" s="430">
        <f t="shared" si="76"/>
        <v>10422.056221084456</v>
      </c>
      <c r="P257" s="661"/>
      <c r="S257" s="424"/>
    </row>
    <row r="258" spans="1:19">
      <c r="A258" s="1153">
        <f t="shared" si="68"/>
        <v>244</v>
      </c>
      <c r="B258" s="1047">
        <v>39917</v>
      </c>
      <c r="C258" s="80" t="s">
        <v>1204</v>
      </c>
      <c r="D258" s="322">
        <f>'[4]Gross Plant'!$AF76</f>
        <v>103891.78</v>
      </c>
      <c r="E258" s="430">
        <v>0</v>
      </c>
      <c r="F258" s="623">
        <f t="shared" si="72"/>
        <v>103891.78</v>
      </c>
      <c r="G258" s="467">
        <v>1</v>
      </c>
      <c r="H258" s="467">
        <f>$H$233</f>
        <v>2.3186160000000001E-2</v>
      </c>
      <c r="I258" s="430">
        <f t="shared" si="77"/>
        <v>2408.8514337648003</v>
      </c>
      <c r="K258" s="322">
        <f>'[4]Gross Plant'!$D76</f>
        <v>103891.78000000001</v>
      </c>
      <c r="L258" s="467">
        <f t="shared" si="82"/>
        <v>1</v>
      </c>
      <c r="M258" s="467">
        <f t="shared" si="82"/>
        <v>2.3186160000000001E-2</v>
      </c>
      <c r="N258" s="430">
        <f t="shared" si="76"/>
        <v>2408.8514337648003</v>
      </c>
      <c r="P258" s="661"/>
      <c r="S258" s="424"/>
    </row>
    <row r="259" spans="1:19">
      <c r="A259" s="1153">
        <f t="shared" si="68"/>
        <v>245</v>
      </c>
      <c r="B259" s="1047">
        <v>39918</v>
      </c>
      <c r="C259" s="80" t="s">
        <v>1518</v>
      </c>
      <c r="D259" s="322">
        <f>'[4]Gross Plant'!$AF77</f>
        <v>20560.16</v>
      </c>
      <c r="E259" s="430">
        <v>0</v>
      </c>
      <c r="F259" s="623">
        <f t="shared" si="72"/>
        <v>20560.16</v>
      </c>
      <c r="G259" s="467">
        <v>1</v>
      </c>
      <c r="H259" s="467">
        <f>Allocation!$E$21</f>
        <v>2.3186160000000001E-2</v>
      </c>
      <c r="I259" s="430">
        <f t="shared" si="77"/>
        <v>476.71115938560001</v>
      </c>
      <c r="K259" s="322">
        <f>'[4]Gross Plant'!$D77</f>
        <v>20560.16</v>
      </c>
      <c r="L259" s="467">
        <f t="shared" ref="L259" si="83">G259</f>
        <v>1</v>
      </c>
      <c r="M259" s="467">
        <f t="shared" ref="M259" si="84">H259</f>
        <v>2.3186160000000001E-2</v>
      </c>
      <c r="N259" s="430">
        <f t="shared" si="76"/>
        <v>476.71115938560001</v>
      </c>
      <c r="P259" s="661"/>
      <c r="S259" s="424"/>
    </row>
    <row r="260" spans="1:19">
      <c r="A260" s="1153">
        <f t="shared" si="68"/>
        <v>246</v>
      </c>
      <c r="B260" s="1047">
        <v>39924</v>
      </c>
      <c r="C260" s="80" t="s">
        <v>1519</v>
      </c>
      <c r="D260" s="322">
        <f>'[4]Gross Plant'!$AF78</f>
        <v>0</v>
      </c>
      <c r="E260" s="430">
        <v>0</v>
      </c>
      <c r="F260" s="623">
        <f t="shared" si="72"/>
        <v>0</v>
      </c>
      <c r="G260" s="467">
        <f>Allocation!$C$15</f>
        <v>0.1095</v>
      </c>
      <c r="H260" s="467">
        <f>Allocation!$D$15</f>
        <v>0.51517972406888612</v>
      </c>
      <c r="I260" s="430">
        <f t="shared" si="77"/>
        <v>0</v>
      </c>
      <c r="K260" s="322">
        <f>'[4]Gross Plant'!$D78</f>
        <v>0</v>
      </c>
      <c r="L260" s="467">
        <f>Allocation!$C$15</f>
        <v>0.1095</v>
      </c>
      <c r="M260" s="467">
        <f>Allocation!$D$15</f>
        <v>0.51517972406888612</v>
      </c>
      <c r="N260" s="430">
        <f t="shared" si="76"/>
        <v>0</v>
      </c>
      <c r="P260" s="661"/>
      <c r="S260" s="424"/>
    </row>
    <row r="261" spans="1:19">
      <c r="A261" s="1153">
        <f t="shared" si="68"/>
        <v>247</v>
      </c>
      <c r="B261" s="81"/>
      <c r="C261" s="233"/>
      <c r="D261" s="619"/>
      <c r="E261" s="619"/>
      <c r="F261" s="619"/>
      <c r="I261" s="619"/>
      <c r="K261" s="619"/>
      <c r="N261" s="619"/>
    </row>
    <row r="262" spans="1:19" ht="15.75" thickBot="1">
      <c r="A262" s="1153">
        <f t="shared" si="68"/>
        <v>248</v>
      </c>
      <c r="B262" s="81"/>
      <c r="C262" s="233" t="s">
        <v>1322</v>
      </c>
      <c r="D262" s="512">
        <f>SUM(D232:D260)</f>
        <v>149634642.91999993</v>
      </c>
      <c r="E262" s="512">
        <f>SUM(E232:E260)</f>
        <v>0</v>
      </c>
      <c r="F262" s="512">
        <f>SUM(F232:F260)</f>
        <v>149634642.91999993</v>
      </c>
      <c r="G262" s="1026"/>
      <c r="H262" s="1026"/>
      <c r="I262" s="512">
        <f>SUM(I232:I260)</f>
        <v>7863104.6803169362</v>
      </c>
      <c r="J262" s="807"/>
      <c r="K262" s="512">
        <f>SUM(K232:K260)</f>
        <v>147932837.05769226</v>
      </c>
      <c r="L262" s="1026"/>
      <c r="M262" s="1026"/>
      <c r="N262" s="512">
        <f>SUM(N232:N260)</f>
        <v>7775377.4529002216</v>
      </c>
    </row>
    <row r="263" spans="1:19" ht="15.75" thickTop="1">
      <c r="A263" s="1153">
        <f t="shared" si="68"/>
        <v>249</v>
      </c>
      <c r="B263" s="81"/>
      <c r="C263" s="88"/>
      <c r="D263" s="328"/>
      <c r="E263" s="328"/>
      <c r="F263" s="328"/>
      <c r="I263" s="328"/>
      <c r="K263" s="328"/>
      <c r="N263" s="328"/>
    </row>
    <row r="264" spans="1:19">
      <c r="A264" s="1153">
        <f t="shared" si="68"/>
        <v>250</v>
      </c>
      <c r="B264" s="81"/>
      <c r="C264" s="81" t="s">
        <v>749</v>
      </c>
      <c r="D264" s="322">
        <f>'[4]Gross Plant'!$AF$215</f>
        <v>3983793.9399999995</v>
      </c>
      <c r="E264" s="328">
        <v>0</v>
      </c>
      <c r="F264" s="328">
        <f>D264+E264</f>
        <v>3983793.9399999995</v>
      </c>
      <c r="G264" s="467">
        <f>$G$232</f>
        <v>0.1095</v>
      </c>
      <c r="H264" s="467">
        <f>$H$232</f>
        <v>0.51517972406888612</v>
      </c>
      <c r="I264" s="328">
        <f>F264*G264*H264</f>
        <v>224734.49997183681</v>
      </c>
      <c r="K264" s="322">
        <f>'[4]Gross Plant'!$D$215</f>
        <v>3983793.9399999981</v>
      </c>
      <c r="L264" s="467">
        <f>G264</f>
        <v>0.1095</v>
      </c>
      <c r="M264" s="467">
        <f>H264</f>
        <v>0.51517972406888612</v>
      </c>
      <c r="N264" s="328">
        <f>K264*L264*M264</f>
        <v>224734.49997183672</v>
      </c>
    </row>
    <row r="265" spans="1:19">
      <c r="A265" s="1153">
        <f t="shared" si="68"/>
        <v>251</v>
      </c>
    </row>
    <row r="266" spans="1:19" ht="15.75" thickBot="1">
      <c r="A266" s="1153">
        <f t="shared" si="68"/>
        <v>252</v>
      </c>
      <c r="C266" s="88" t="s">
        <v>748</v>
      </c>
      <c r="D266" s="468">
        <f>D262+D225+D179+D117</f>
        <v>1133896943.305131</v>
      </c>
      <c r="E266" s="468">
        <f>E262+E225+E179+E117</f>
        <v>0</v>
      </c>
      <c r="F266" s="468">
        <f>F262+F225+F179+F117</f>
        <v>1133896943.305131</v>
      </c>
      <c r="I266" s="468">
        <f>I262+I225+I179+I117</f>
        <v>763121142.80906141</v>
      </c>
      <c r="K266" s="468">
        <f>K262+K225+K179+K117</f>
        <v>1084300143.3744454</v>
      </c>
      <c r="N266" s="468">
        <f>N262+N225+N179+N117</f>
        <v>724669367.01538217</v>
      </c>
      <c r="P266" s="671"/>
    </row>
    <row r="267" spans="1:19" ht="15.75" thickTop="1">
      <c r="A267" s="1153">
        <f t="shared" si="68"/>
        <v>253</v>
      </c>
    </row>
    <row r="268" spans="1:19" ht="30.75" thickBot="1">
      <c r="A268" s="1153">
        <f t="shared" si="68"/>
        <v>254</v>
      </c>
      <c r="C268" s="615" t="s">
        <v>5</v>
      </c>
      <c r="D268" s="468">
        <f>D264+D227+D181+D119</f>
        <v>56598085.189999983</v>
      </c>
      <c r="E268" s="1049"/>
      <c r="F268" s="468">
        <f>F264+F227+F181+F119</f>
        <v>56598085.189999983</v>
      </c>
      <c r="I268" s="468">
        <f>I264+I227+I181+I119</f>
        <v>39130198.175474182</v>
      </c>
      <c r="K268" s="468">
        <f>K264+K227+K181+K119</f>
        <v>56598085.189999983</v>
      </c>
      <c r="N268" s="468">
        <f>N264+N227+N181+N119</f>
        <v>39130198.175474182</v>
      </c>
    </row>
    <row r="269" spans="1:19" ht="15.75" thickTop="1">
      <c r="A269" s="1153">
        <f t="shared" si="68"/>
        <v>255</v>
      </c>
    </row>
    <row r="270" spans="1:19">
      <c r="A270" s="1153">
        <f t="shared" si="68"/>
        <v>256</v>
      </c>
    </row>
    <row r="271" spans="1:19">
      <c r="A271" s="1153">
        <f t="shared" si="68"/>
        <v>257</v>
      </c>
    </row>
    <row r="272" spans="1:19">
      <c r="A272" s="1153">
        <f t="shared" si="68"/>
        <v>258</v>
      </c>
      <c r="C272" s="80" t="s">
        <v>518</v>
      </c>
    </row>
    <row r="273" spans="1:3">
      <c r="A273" s="1153">
        <f t="shared" si="68"/>
        <v>259</v>
      </c>
      <c r="C273" s="80" t="s">
        <v>1699</v>
      </c>
    </row>
  </sheetData>
  <mergeCells count="4">
    <mergeCell ref="A1:N1"/>
    <mergeCell ref="A2:N2"/>
    <mergeCell ref="A3:N3"/>
    <mergeCell ref="A4:N4"/>
  </mergeCells>
  <phoneticPr fontId="22" type="noConversion"/>
  <pageMargins left="0.52" right="0.34" top="0.96" bottom="1" header="0.5" footer="0.42"/>
  <pageSetup scale="53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111</vt:i4>
      </vt:variant>
    </vt:vector>
  </HeadingPairs>
  <TitlesOfParts>
    <vt:vector size="192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B.4.1B</vt:lpstr>
      <vt:lpstr>WP B.4.1F</vt:lpstr>
      <vt:lpstr>WP B.5 B</vt:lpstr>
      <vt:lpstr>WP B.5 F</vt:lpstr>
      <vt:lpstr>WP B.5 F1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F.11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J.1</vt:lpstr>
      <vt:lpstr>J-2 B</vt:lpstr>
      <vt:lpstr>J-3 B</vt:lpstr>
      <vt:lpstr>J-4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F.11!Print_Area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'WP B.4.1B'!Print_Area</vt:lpstr>
      <vt:lpstr>'WP B.4.1F'!Print_Area</vt:lpstr>
      <vt:lpstr>'WP B.5 B'!Print_Area</vt:lpstr>
      <vt:lpstr>'WP B.5 F'!Print_Area</vt:lpstr>
      <vt:lpstr>'WP B.5 F1'!Print_Area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Jennifer K Story</cp:lastModifiedBy>
  <cp:lastPrinted>2017-09-18T17:49:36Z</cp:lastPrinted>
  <dcterms:created xsi:type="dcterms:W3CDTF">1998-03-09T18:47:56Z</dcterms:created>
  <dcterms:modified xsi:type="dcterms:W3CDTF">2019-02-15T16:53:32Z</dcterms:modified>
</cp:coreProperties>
</file>