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2 Attachments\"/>
    </mc:Choice>
  </mc:AlternateContent>
  <bookViews>
    <workbookView xWindow="0" yWindow="0" windowWidth="28800" windowHeight="12435"/>
  </bookViews>
  <sheets>
    <sheet name="CO CWC" sheetId="3" r:id="rId1"/>
    <sheet name="TN-CWC1A" sheetId="4" r:id="rId2"/>
    <sheet name="TN-CWC1B" sheetId="5" r:id="rId3"/>
    <sheet name="VA cwc (Total Co) sh 2" sheetId="6" r:id="rId4"/>
    <sheet name="VA cwc (Juris) sh 2a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P" localSheetId="4">'[1]Sh 5 - payroll'!#REF!</definedName>
    <definedName name="\P" localSheetId="3">'[1]Sh 5 - payroll'!#REF!</definedName>
    <definedName name="\P">'CO CWC'!$S$3</definedName>
    <definedName name="__123Graph_A" hidden="1">[2]Sch11!$C$73:$C$80</definedName>
    <definedName name="__123Graph_B" hidden="1">[2]Sch11!$D$73:$D$80</definedName>
    <definedName name="__123Graph_C" hidden="1">[2]Sch11!$E$73:$E$80</definedName>
    <definedName name="__123Graph_D" hidden="1">[2]Sch11!$F$73:$F$80</definedName>
    <definedName name="__123Graph_E" hidden="1">[2]Sch11!$G$73:$G$80</definedName>
    <definedName name="__123Graph_F" hidden="1">[2]Sch11!#REF!</definedName>
    <definedName name="_13TAXFED" localSheetId="4">#REF!</definedName>
    <definedName name="_13TAXFED" localSheetId="3">#REF!</definedName>
    <definedName name="_13TAXFED">#REF!</definedName>
    <definedName name="_3C_ADJ_REV">[3]revlag!#REF!</definedName>
    <definedName name="_5GP_TCO" localSheetId="4">#REF!</definedName>
    <definedName name="_5GP_TCO" localSheetId="3">#REF!</definedName>
    <definedName name="_5GP_TCO">#REF!</definedName>
    <definedName name="_5GP_TCOINPUT" localSheetId="4">#REF!</definedName>
    <definedName name="_5GP_TCOINPUT" localSheetId="3">#REF!</definedName>
    <definedName name="_5GP_TCOINPUT">#REF!</definedName>
    <definedName name="_COS97" localSheetId="4">#REF!</definedName>
    <definedName name="_COS97" localSheetId="3">#REF!</definedName>
    <definedName name="_COS97">#REF!</definedName>
    <definedName name="_Dist_Bin" hidden="1">#REF!</definedName>
    <definedName name="_Dist_Values" hidden="1">#REF!</definedName>
    <definedName name="_Div012">#REF!</definedName>
    <definedName name="_Div02">#REF!</definedName>
    <definedName name="_Div091">#REF!</definedName>
    <definedName name="_div10">'[4]WP 1-1'!#REF!</definedName>
    <definedName name="_div21">'[4]WP 1-1'!#REF!</definedName>
    <definedName name="_EXH1">'CO CWC'!$A$3:$L$43</definedName>
    <definedName name="_EXH6">#REF!</definedName>
    <definedName name="_EXH7">#REF!</definedName>
    <definedName name="_Fill" hidden="1">#REF!</definedName>
    <definedName name="_Key1" localSheetId="4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Sort" localSheetId="4" hidden="1">#REF!</definedName>
    <definedName name="_Sort" localSheetId="3" hidden="1">#REF!</definedName>
    <definedName name="_Sort" hidden="1">#REF!</definedName>
    <definedName name="A_R_143_REV_WKS" localSheetId="4">'[1]Sh 3b - ARsumm'!#REF!</definedName>
    <definedName name="A_R_143_REV_WKS" localSheetId="3">'[1]Sh 3b - ARsumm'!#REF!</definedName>
    <definedName name="A_R_143_REV_WKS">'[5]Sh 3b - ARsumm'!#REF!</definedName>
    <definedName name="A_R_DAILY_2" localSheetId="4">#REF!</definedName>
    <definedName name="A_R_DAILY_2" localSheetId="3">#REF!</definedName>
    <definedName name="A_R_DAILY_2">#REF!</definedName>
    <definedName name="A_R_DAILYSUPPOR" localSheetId="4">#REF!</definedName>
    <definedName name="A_R_DAILYSUPPOR" localSheetId="3">#REF!</definedName>
    <definedName name="A_R_DAILYSUPPOR">#REF!</definedName>
    <definedName name="ACTUAL_VOL" localSheetId="4">#REF!</definedName>
    <definedName name="ACTUAL_VOL" localSheetId="3">#REF!</definedName>
    <definedName name="ACTUAL_VOL">#REF!</definedName>
    <definedName name="ATTR_YEAR">'[6]DATA INPUT'!$C$10</definedName>
    <definedName name="AUXPAID" localSheetId="4">#REF!</definedName>
    <definedName name="AUXPAID" localSheetId="3">#REF!</definedName>
    <definedName name="AUXPAID">#REF!</definedName>
    <definedName name="AVG_BANK_BAL">[7]EXH10!$A$1:$J$47</definedName>
    <definedName name="BENEFITS" localSheetId="4">#REF!</definedName>
    <definedName name="BENEFITS" localSheetId="3">#REF!</definedName>
    <definedName name="BENEFITS">#REF!</definedName>
    <definedName name="BS_JURIS" localSheetId="4">#REF!</definedName>
    <definedName name="BS_JURIS" localSheetId="3">#REF!</definedName>
    <definedName name="BS_JURIS">#REF!</definedName>
    <definedName name="BS_REC">[2]FS!$A$1:$G$125</definedName>
    <definedName name="BSANAL" localSheetId="4">#REF!</definedName>
    <definedName name="BSANAL" localSheetId="3">#REF!</definedName>
    <definedName name="BSANAL">#REF!</definedName>
    <definedName name="CAP_BS_WKST">[2]Sch11!#REF!</definedName>
    <definedName name="CAP_RB">[2]Sch11!$A$1:$L$64</definedName>
    <definedName name="Case_No._2006_00464">#REF!</definedName>
    <definedName name="COMPANY">'[8]DATA INPUT'!$C$7</definedName>
    <definedName name="CONOCO" localSheetId="4">#REF!</definedName>
    <definedName name="CONOCO" localSheetId="3">#REF!</definedName>
    <definedName name="CONOCO">#REF!</definedName>
    <definedName name="COVEPOINT" localSheetId="4">#REF!</definedName>
    <definedName name="COVEPOINT" localSheetId="3">#REF!</definedName>
    <definedName name="COVEPOINT">#REF!</definedName>
    <definedName name="csDesignMode">1</definedName>
    <definedName name="CWC_SUMM" localSheetId="4">#REF!</definedName>
    <definedName name="CWC_SUMM" localSheetId="3">#REF!</definedName>
    <definedName name="CWC_SUMM">#REF!</definedName>
    <definedName name="CWC_SUMMARY" localSheetId="4">#REF!</definedName>
    <definedName name="CWC_SUMMARY" localSheetId="3">#REF!</definedName>
    <definedName name="CWC_SUMMARY">#REF!</definedName>
    <definedName name="_xlnm.Database" localSheetId="4">#REF!</definedName>
    <definedName name="_xlnm.Database" localSheetId="3">#REF!</definedName>
    <definedName name="_xlnm.Database">#REF!</definedName>
    <definedName name="Div012Cap">#REF!</definedName>
    <definedName name="Div02Cap">#REF!</definedName>
    <definedName name="Div091Cap">#REF!</definedName>
    <definedName name="Div09cap">#REF!</definedName>
    <definedName name="EXH1A">#REF!</definedName>
    <definedName name="FOOTNOTES">[2]Sch11!$O$9:$W$15</definedName>
    <definedName name="FRANCHISE_LIC" localSheetId="4">#REF!</definedName>
    <definedName name="FRANCHISE_LIC" localSheetId="3">#REF!</definedName>
    <definedName name="FRANCHISE_LIC">#REF!</definedName>
    <definedName name="GP_MISC" localSheetId="4">#REF!</definedName>
    <definedName name="GP_MISC" localSheetId="3">#REF!</definedName>
    <definedName name="GP_MISC">#REF!</definedName>
    <definedName name="GP_TRANSCO" localSheetId="4">#REF!</definedName>
    <definedName name="GP_TRANSCO" localSheetId="3">#REF!</definedName>
    <definedName name="GP_TRANSCO">#REF!</definedName>
    <definedName name="GP_TRANSMISSION" localSheetId="4">#REF!</definedName>
    <definedName name="GP_TRANSMISSION" localSheetId="3">#REF!</definedName>
    <definedName name="GP_TRANSMISSION">#REF!</definedName>
    <definedName name="GPWKST" localSheetId="4">#REF!</definedName>
    <definedName name="GPWKST" localSheetId="3">#REF!</definedName>
    <definedName name="GPWKST">#REF!</definedName>
    <definedName name="GROSS_RECEIPTS" localSheetId="4">#REF!</definedName>
    <definedName name="GROSS_RECEIPTS" localSheetId="3">#REF!</definedName>
    <definedName name="GROSS_RECEIPTS">#REF!</definedName>
    <definedName name="GROSS_WAGES" localSheetId="4">#REF!</definedName>
    <definedName name="GROSS_WAGES" localSheetId="3">#REF!</definedName>
    <definedName name="GROSS_WAGES">#REF!</definedName>
    <definedName name="GROSSRECEIPTS" localSheetId="4">#REF!</definedName>
    <definedName name="GROSSRECEIPTS" localSheetId="3">#REF!</definedName>
    <definedName name="GROSSRECEIPTS">#REF!</definedName>
    <definedName name="GTS" localSheetId="4">#REF!</definedName>
    <definedName name="GTS" localSheetId="3">#REF!</definedName>
    <definedName name="GTS">#REF!</definedName>
    <definedName name="IMBALANCE" localSheetId="4">#REF!</definedName>
    <definedName name="IMBALANCE" localSheetId="3">#REF!</definedName>
    <definedName name="IMBALANCE">#REF!</definedName>
    <definedName name="JURISDICTION">'[8]DATA INPUT'!$C$8</definedName>
    <definedName name="kytax">#REF!</definedName>
    <definedName name="LICENSE" localSheetId="4">#REF!</definedName>
    <definedName name="LICENSE" localSheetId="3">#REF!</definedName>
    <definedName name="LICENSE">#REF!</definedName>
    <definedName name="LICENSETAX_WKST" localSheetId="4">#REF!</definedName>
    <definedName name="LICENSETAX_WKST" localSheetId="3">#REF!</definedName>
    <definedName name="LICENSETAX_WKST">#REF!</definedName>
    <definedName name="LOCAL_GAS" localSheetId="4">#REF!</definedName>
    <definedName name="LOCAL_GAS" localSheetId="3">#REF!</definedName>
    <definedName name="LOCAL_GAS">#REF!</definedName>
    <definedName name="ltdrate">#REF!</definedName>
    <definedName name="MIDCON" localSheetId="4">#REF!</definedName>
    <definedName name="MIDCON" localSheetId="3">#REF!</definedName>
    <definedName name="MIDCON">#REF!</definedName>
    <definedName name="NON_APP" localSheetId="4">#REF!</definedName>
    <definedName name="NON_APP" localSheetId="3">#REF!</definedName>
    <definedName name="NON_APP">#REF!</definedName>
    <definedName name="NON_APP_CODING" localSheetId="4">#REF!</definedName>
    <definedName name="NON_APP_CODING" localSheetId="3">#REF!</definedName>
    <definedName name="NON_APP_CODING">#REF!</definedName>
    <definedName name="NON_APP_FILING" localSheetId="4">#REF!</definedName>
    <definedName name="NON_APP_FILING" localSheetId="3">#REF!</definedName>
    <definedName name="NON_APP_FILING">#REF!</definedName>
    <definedName name="NON_APP_UPDATE" localSheetId="4">#REF!</definedName>
    <definedName name="NON_APP_UPDATE" localSheetId="3">#REF!</definedName>
    <definedName name="NON_APP_UPDATE">#REF!</definedName>
    <definedName name="NORM_VOL" localSheetId="4">#REF!</definedName>
    <definedName name="NORM_VOL" localSheetId="3">#REF!</definedName>
    <definedName name="NORM_VOL">#REF!</definedName>
    <definedName name="OPEB" localSheetId="4">#REF!</definedName>
    <definedName name="OPEB" localSheetId="3">#REF!</definedName>
    <definedName name="OPEB">#REF!</definedName>
    <definedName name="PAYMENTS98" localSheetId="4">#REF!</definedName>
    <definedName name="PAYMENTS98" localSheetId="3">#REF!</definedName>
    <definedName name="PAYMENTS98">#REF!</definedName>
    <definedName name="_xlnm.Print_Area" localSheetId="0">'CO CWC'!$A$1:$G$30</definedName>
    <definedName name="_xlnm.Print_Area" localSheetId="1">'TN-CWC1A'!$A$1:$N$58</definedName>
    <definedName name="_xlnm.Print_Area" localSheetId="2">'TN-CWC1B'!$A$1:$N$58</definedName>
    <definedName name="_xlnm.Print_Area" localSheetId="4">'VA cwc (Juris) sh 2a'!$A$1:$M$54</definedName>
    <definedName name="_xlnm.Print_Area" localSheetId="3">'VA cwc (Total Co) sh 2'!$A$1:$J$56</definedName>
    <definedName name="_xlnm.Print_Area">'[4]WP 3-1'!#REF!</definedName>
    <definedName name="PROPTAX_WKST" localSheetId="4">'[1]Sh 10 - property'!#REF!</definedName>
    <definedName name="PROPTAX_WKST" localSheetId="3">'[1]Sh 10 - property'!#REF!</definedName>
    <definedName name="PROPTAX_WKST">'[5]Sh 10 - property'!#REF!</definedName>
    <definedName name="PSC_FEES" localSheetId="4">#REF!</definedName>
    <definedName name="PSC_FEES" localSheetId="3">#REF!</definedName>
    <definedName name="PSC_FEES">#REF!</definedName>
    <definedName name="REFUND_WKST" localSheetId="4">'[1]Sh 3a - coll-lag:Sh 3b - ARsumm'!$C$33:$E$93</definedName>
    <definedName name="REFUND_WKST" localSheetId="3">'[1]Sh 3a - coll-lag:Sh 3b - ARsumm'!$C$33:$E$93</definedName>
    <definedName name="REFUND_WKST">'[5]Sh 3a - coll-lag:Sh 3b - ARsumm'!$C$33:$E$93</definedName>
    <definedName name="ROR">#REF!</definedName>
    <definedName name="stdrate">#REF!</definedName>
    <definedName name="STPAY_TAX_BI" localSheetId="4">#REF!</definedName>
    <definedName name="STPAY_TAX_BI" localSheetId="3">#REF!</definedName>
    <definedName name="STPAY_TAX_BI">#REF!</definedName>
    <definedName name="STPAY_TAX_MON" localSheetId="4">#REF!</definedName>
    <definedName name="STPAY_TAX_MON" localSheetId="3">#REF!</definedName>
    <definedName name="STPAY_TAX_MON">#REF!</definedName>
    <definedName name="TAX_UNEMPLOYMEN" localSheetId="4">#REF!</definedName>
    <definedName name="TAX_UNEMPLOYMEN" localSheetId="3">#REF!</definedName>
    <definedName name="TAX_UNEMPLOYMEN">#REF!</definedName>
    <definedName name="TEMP" localSheetId="4">#REF!</definedName>
    <definedName name="TEMP" localSheetId="3">#REF!</definedName>
    <definedName name="TEMP">#REF!</definedName>
    <definedName name="testyear">'[8]DATA INPUT'!$C$9</definedName>
    <definedName name="TRANSCO_UPDATE" localSheetId="4">#REF!</definedName>
    <definedName name="TRANSCO_UPDATE" localSheetId="3">#REF!</definedName>
    <definedName name="TRANSCO_UPDATE">#REF!</definedName>
    <definedName name="VNG" localSheetId="4">#REF!</definedName>
    <definedName name="VNG" localSheetId="3">#REF!</definedName>
    <definedName name="VNG">#REF!</definedName>
    <definedName name="VOL_COMP2" localSheetId="4">#REF!</definedName>
    <definedName name="VOL_COMP2" localSheetId="3">#REF!</definedName>
    <definedName name="VOL_COMP2">#REF!</definedName>
    <definedName name="VOL_COMPARISON" localSheetId="4">#REF!</definedName>
    <definedName name="VOL_COMPARISON" localSheetId="3">#REF!</definedName>
    <definedName name="VOL_COMPARISON">#REF!</definedName>
    <definedName name="WP_2_1">'[4]WP 3-1'!#REF!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7" l="1"/>
  <c r="K47" i="7"/>
  <c r="H47" i="7"/>
  <c r="K46" i="7"/>
  <c r="H46" i="7"/>
  <c r="K45" i="7"/>
  <c r="K44" i="7"/>
  <c r="K42" i="7"/>
  <c r="G42" i="7"/>
  <c r="H42" i="7" s="1"/>
  <c r="K41" i="7"/>
  <c r="H41" i="7"/>
  <c r="G41" i="7"/>
  <c r="K40" i="7"/>
  <c r="G40" i="7"/>
  <c r="H40" i="7" s="1"/>
  <c r="K39" i="7"/>
  <c r="G39" i="7"/>
  <c r="H39" i="7" s="1"/>
  <c r="K38" i="7"/>
  <c r="F37" i="7"/>
  <c r="G37" i="7" s="1"/>
  <c r="K36" i="7"/>
  <c r="G36" i="7"/>
  <c r="H36" i="7" s="1"/>
  <c r="K35" i="7"/>
  <c r="G35" i="7"/>
  <c r="H35" i="7" s="1"/>
  <c r="H37" i="7" s="1"/>
  <c r="K34" i="7"/>
  <c r="K32" i="7"/>
  <c r="G32" i="7"/>
  <c r="H32" i="7" s="1"/>
  <c r="K31" i="7"/>
  <c r="G31" i="7"/>
  <c r="H31" i="7" s="1"/>
  <c r="K30" i="7"/>
  <c r="G30" i="7"/>
  <c r="H30" i="7" s="1"/>
  <c r="K29" i="7"/>
  <c r="K28" i="7"/>
  <c r="K27" i="7"/>
  <c r="G27" i="7"/>
  <c r="H27" i="7" s="1"/>
  <c r="K26" i="7"/>
  <c r="K25" i="7"/>
  <c r="G25" i="7"/>
  <c r="H25" i="7" s="1"/>
  <c r="K24" i="7"/>
  <c r="G24" i="7"/>
  <c r="H24" i="7" s="1"/>
  <c r="K23" i="7"/>
  <c r="G23" i="7"/>
  <c r="H23" i="7" s="1"/>
  <c r="K22" i="7"/>
  <c r="K21" i="7"/>
  <c r="G21" i="7"/>
  <c r="H21" i="7" s="1"/>
  <c r="K20" i="7"/>
  <c r="K19" i="7"/>
  <c r="G19" i="7"/>
  <c r="H19" i="7" s="1"/>
  <c r="K18" i="7"/>
  <c r="K17" i="7"/>
  <c r="G17" i="7"/>
  <c r="H17" i="7" s="1"/>
  <c r="K16" i="7"/>
  <c r="K15" i="7"/>
  <c r="I15" i="7"/>
  <c r="L15" i="7" s="1"/>
  <c r="G15" i="7"/>
  <c r="H15" i="7" s="1"/>
  <c r="K14" i="7"/>
  <c r="G14" i="7"/>
  <c r="H14" i="7" s="1"/>
  <c r="K13" i="7"/>
  <c r="G13" i="7"/>
  <c r="H13" i="7" s="1"/>
  <c r="A4" i="7"/>
  <c r="E46" i="6"/>
  <c r="E45" i="6"/>
  <c r="E43" i="6"/>
  <c r="E42" i="6"/>
  <c r="E41" i="6"/>
  <c r="E40" i="6"/>
  <c r="E36" i="6"/>
  <c r="E35" i="6"/>
  <c r="E30" i="6"/>
  <c r="E27" i="6"/>
  <c r="E25" i="6"/>
  <c r="E24" i="6"/>
  <c r="E23" i="6"/>
  <c r="E21" i="6"/>
  <c r="E20" i="6"/>
  <c r="E19" i="6"/>
  <c r="F18" i="6"/>
  <c r="I18" i="6" s="1"/>
  <c r="E18" i="6"/>
  <c r="E17" i="6"/>
  <c r="E16" i="6"/>
  <c r="E15" i="6"/>
  <c r="E13" i="6"/>
  <c r="F48" i="6"/>
  <c r="I48" i="6" l="1"/>
  <c r="F19" i="6"/>
  <c r="I19" i="6" s="1"/>
  <c r="E32" i="6"/>
  <c r="F40" i="6"/>
  <c r="I40" i="6" s="1"/>
  <c r="J40" i="6" s="1"/>
  <c r="M15" i="7"/>
  <c r="D47" i="6"/>
  <c r="E47" i="6" s="1"/>
  <c r="J18" i="6"/>
  <c r="F25" i="6"/>
  <c r="I25" i="6" s="1"/>
  <c r="J25" i="6" s="1"/>
  <c r="D48" i="6"/>
  <c r="E48" i="6" s="1"/>
  <c r="J48" i="6" s="1"/>
  <c r="D37" i="6"/>
  <c r="F26" i="6"/>
  <c r="I26" i="6" s="1"/>
  <c r="F30" i="6"/>
  <c r="I30" i="6" s="1"/>
  <c r="J30" i="6" s="1"/>
  <c r="F42" i="6"/>
  <c r="H43" i="7"/>
  <c r="J26" i="6"/>
  <c r="H44" i="7"/>
  <c r="E26" i="6"/>
  <c r="D33" i="6"/>
  <c r="D44" i="6"/>
  <c r="E39" i="6"/>
  <c r="E14" i="6"/>
  <c r="J19" i="6"/>
  <c r="G42" i="6"/>
  <c r="I42" i="6" s="1"/>
  <c r="J42" i="6" s="1"/>
  <c r="I32" i="7"/>
  <c r="L32" i="7" s="1"/>
  <c r="M32" i="7" s="1"/>
  <c r="I31" i="7"/>
  <c r="L31" i="7" s="1"/>
  <c r="M31" i="7" s="1"/>
  <c r="I30" i="7"/>
  <c r="L30" i="7" s="1"/>
  <c r="M30" i="7" s="1"/>
  <c r="I25" i="7"/>
  <c r="L25" i="7" s="1"/>
  <c r="M25" i="7" s="1"/>
  <c r="I24" i="7"/>
  <c r="L24" i="7" s="1"/>
  <c r="M24" i="7" s="1"/>
  <c r="I21" i="7"/>
  <c r="L21" i="7" s="1"/>
  <c r="M21" i="7" s="1"/>
  <c r="I16" i="7"/>
  <c r="L16" i="7" s="1"/>
  <c r="M16" i="7" s="1"/>
  <c r="L13" i="7"/>
  <c r="M13" i="7" s="1"/>
  <c r="I40" i="7"/>
  <c r="L40" i="7" s="1"/>
  <c r="M40" i="7" s="1"/>
  <c r="I39" i="7"/>
  <c r="I44" i="7"/>
  <c r="I36" i="7"/>
  <c r="L36" i="7" s="1"/>
  <c r="M36" i="7" s="1"/>
  <c r="I35" i="7"/>
  <c r="L35" i="7" s="1"/>
  <c r="M35" i="7" s="1"/>
  <c r="I27" i="7"/>
  <c r="L27" i="7" s="1"/>
  <c r="M27" i="7" s="1"/>
  <c r="I26" i="7"/>
  <c r="L26" i="7" s="1"/>
  <c r="I18" i="7"/>
  <c r="L18" i="7" s="1"/>
  <c r="I17" i="7"/>
  <c r="L17" i="7" s="1"/>
  <c r="M17" i="7" s="1"/>
  <c r="I46" i="7"/>
  <c r="L46" i="7" s="1"/>
  <c r="M46" i="7" s="1"/>
  <c r="I42" i="7"/>
  <c r="I41" i="7"/>
  <c r="L41" i="7" s="1"/>
  <c r="M41" i="7" s="1"/>
  <c r="G18" i="7"/>
  <c r="H18" i="7" s="1"/>
  <c r="G20" i="7"/>
  <c r="H20" i="7" s="1"/>
  <c r="I47" i="7"/>
  <c r="L47" i="7" s="1"/>
  <c r="M47" i="7" s="1"/>
  <c r="F43" i="6"/>
  <c r="F41" i="6"/>
  <c r="I41" i="6" s="1"/>
  <c r="J41" i="6" s="1"/>
  <c r="F39" i="6"/>
  <c r="F35" i="6"/>
  <c r="I35" i="6" s="1"/>
  <c r="J35" i="6" s="1"/>
  <c r="F27" i="6"/>
  <c r="I27" i="6" s="1"/>
  <c r="J27" i="6" s="1"/>
  <c r="F21" i="6"/>
  <c r="I21" i="6" s="1"/>
  <c r="J21" i="6" s="1"/>
  <c r="F47" i="6"/>
  <c r="I47" i="6" s="1"/>
  <c r="J47" i="6" s="1"/>
  <c r="F45" i="6"/>
  <c r="F31" i="6"/>
  <c r="I31" i="6" s="1"/>
  <c r="F24" i="6"/>
  <c r="I24" i="6" s="1"/>
  <c r="J24" i="6" s="1"/>
  <c r="F20" i="6"/>
  <c r="I20" i="6" s="1"/>
  <c r="J20" i="6" s="1"/>
  <c r="F17" i="6"/>
  <c r="I17" i="6" s="1"/>
  <c r="J17" i="6" s="1"/>
  <c r="F14" i="6"/>
  <c r="I13" i="6"/>
  <c r="J13" i="6" s="1"/>
  <c r="F15" i="6"/>
  <c r="I15" i="6" s="1"/>
  <c r="J15" i="6" s="1"/>
  <c r="F16" i="6"/>
  <c r="I16" i="6" s="1"/>
  <c r="J16" i="6" s="1"/>
  <c r="F23" i="6"/>
  <c r="I23" i="6" s="1"/>
  <c r="J23" i="6" s="1"/>
  <c r="E31" i="6"/>
  <c r="F32" i="6"/>
  <c r="I32" i="6" s="1"/>
  <c r="J32" i="6" s="1"/>
  <c r="F36" i="6"/>
  <c r="I36" i="6" s="1"/>
  <c r="J36" i="6" s="1"/>
  <c r="I14" i="7"/>
  <c r="G16" i="7"/>
  <c r="H16" i="7" s="1"/>
  <c r="I19" i="7"/>
  <c r="L19" i="7" s="1"/>
  <c r="M19" i="7" s="1"/>
  <c r="I20" i="7"/>
  <c r="L20" i="7" s="1"/>
  <c r="M20" i="7" s="1"/>
  <c r="I23" i="7"/>
  <c r="L23" i="7" s="1"/>
  <c r="M23" i="7" s="1"/>
  <c r="F43" i="7"/>
  <c r="M18" i="7" l="1"/>
  <c r="G45" i="6"/>
  <c r="I45" i="6"/>
  <c r="J45" i="6" s="1"/>
  <c r="G39" i="6"/>
  <c r="I39" i="6" s="1"/>
  <c r="J39" i="6" s="1"/>
  <c r="J42" i="7"/>
  <c r="L42" i="7" s="1"/>
  <c r="M42" i="7" s="1"/>
  <c r="J44" i="7"/>
  <c r="L44" i="7"/>
  <c r="M44" i="7" s="1"/>
  <c r="J39" i="7"/>
  <c r="L39" i="7" s="1"/>
  <c r="M39" i="7" s="1"/>
  <c r="J14" i="7"/>
  <c r="L14" i="7" s="1"/>
  <c r="M14" i="7" s="1"/>
  <c r="G14" i="6"/>
  <c r="I14" i="6" s="1"/>
  <c r="J14" i="6" s="1"/>
  <c r="J31" i="6"/>
  <c r="G43" i="6"/>
  <c r="I43" i="6" s="1"/>
  <c r="J43" i="6" s="1"/>
  <c r="J46" i="6" l="1"/>
  <c r="J50" i="6" s="1"/>
  <c r="G26" i="7"/>
  <c r="F33" i="7"/>
  <c r="F45" i="7" s="1"/>
  <c r="H26" i="7" l="1"/>
  <c r="M52" i="7"/>
  <c r="M53" i="7" s="1"/>
  <c r="H33" i="7"/>
  <c r="H45" i="7" s="1"/>
  <c r="M26" i="7"/>
  <c r="M45" i="7" s="1"/>
  <c r="M49" i="7" s="1"/>
  <c r="M54" i="7" s="1"/>
  <c r="H54" i="5" l="1"/>
  <c r="L54" i="5" s="1"/>
  <c r="F54" i="5"/>
  <c r="J52" i="5"/>
  <c r="H52" i="5"/>
  <c r="F52" i="5"/>
  <c r="L50" i="5"/>
  <c r="J50" i="5"/>
  <c r="H50" i="5"/>
  <c r="F50" i="5"/>
  <c r="H48" i="5"/>
  <c r="L48" i="5" s="1"/>
  <c r="F48" i="5"/>
  <c r="J46" i="5"/>
  <c r="H46" i="5"/>
  <c r="L46" i="5" s="1"/>
  <c r="L45" i="5"/>
  <c r="J45" i="5"/>
  <c r="H45" i="5"/>
  <c r="L42" i="5"/>
  <c r="H42" i="5"/>
  <c r="J41" i="5"/>
  <c r="H41" i="5"/>
  <c r="L41" i="5" s="1"/>
  <c r="J37" i="5"/>
  <c r="H37" i="5"/>
  <c r="L37" i="5" s="1"/>
  <c r="D37" i="5"/>
  <c r="F37" i="5" s="1"/>
  <c r="J36" i="5"/>
  <c r="H36" i="5"/>
  <c r="F36" i="5"/>
  <c r="J33" i="5"/>
  <c r="H33" i="5"/>
  <c r="D33" i="5"/>
  <c r="F33" i="5" s="1"/>
  <c r="J32" i="5"/>
  <c r="H32" i="5"/>
  <c r="F32" i="5"/>
  <c r="J29" i="5"/>
  <c r="H29" i="5"/>
  <c r="L29" i="5" s="1"/>
  <c r="N29" i="5" s="1"/>
  <c r="F29" i="5"/>
  <c r="J28" i="5"/>
  <c r="H28" i="5"/>
  <c r="F28" i="5"/>
  <c r="J27" i="5"/>
  <c r="H27" i="5"/>
  <c r="L27" i="5" s="1"/>
  <c r="F27" i="5"/>
  <c r="J26" i="5"/>
  <c r="H26" i="5"/>
  <c r="L26" i="5" s="1"/>
  <c r="F26" i="5"/>
  <c r="N26" i="5" s="1"/>
  <c r="J25" i="5"/>
  <c r="L25" i="5" s="1"/>
  <c r="H25" i="5"/>
  <c r="J24" i="5"/>
  <c r="H24" i="5"/>
  <c r="F24" i="5"/>
  <c r="N59" i="5"/>
  <c r="H19" i="5"/>
  <c r="J18" i="5"/>
  <c r="H18" i="5"/>
  <c r="F18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J15" i="5"/>
  <c r="H15" i="5"/>
  <c r="F15" i="5"/>
  <c r="A15" i="5"/>
  <c r="A14" i="5"/>
  <c r="H54" i="4"/>
  <c r="L54" i="4" s="1"/>
  <c r="F54" i="4"/>
  <c r="J52" i="4"/>
  <c r="H52" i="4"/>
  <c r="L52" i="4" s="1"/>
  <c r="F52" i="4"/>
  <c r="J50" i="4"/>
  <c r="H50" i="4"/>
  <c r="L50" i="4" s="1"/>
  <c r="F50" i="4"/>
  <c r="H48" i="4"/>
  <c r="L48" i="4" s="1"/>
  <c r="F48" i="4"/>
  <c r="J46" i="4"/>
  <c r="H46" i="4"/>
  <c r="J45" i="4"/>
  <c r="H45" i="4"/>
  <c r="L45" i="4" s="1"/>
  <c r="F46" i="4"/>
  <c r="H42" i="4"/>
  <c r="L42" i="4" s="1"/>
  <c r="J41" i="4"/>
  <c r="H41" i="4"/>
  <c r="L41" i="4" s="1"/>
  <c r="J37" i="4"/>
  <c r="H37" i="4"/>
  <c r="L37" i="4" s="1"/>
  <c r="J36" i="4"/>
  <c r="H36" i="4"/>
  <c r="L36" i="4" s="1"/>
  <c r="D37" i="4"/>
  <c r="F37" i="4" s="1"/>
  <c r="J33" i="4"/>
  <c r="L33" i="4" s="1"/>
  <c r="H33" i="4"/>
  <c r="J32" i="4"/>
  <c r="H32" i="4"/>
  <c r="D33" i="4"/>
  <c r="F33" i="4" s="1"/>
  <c r="J29" i="4"/>
  <c r="H29" i="4"/>
  <c r="L29" i="4" s="1"/>
  <c r="F29" i="4"/>
  <c r="J28" i="4"/>
  <c r="H28" i="4"/>
  <c r="L28" i="4" s="1"/>
  <c r="F28" i="4"/>
  <c r="J27" i="4"/>
  <c r="H27" i="4"/>
  <c r="F27" i="4"/>
  <c r="J26" i="4"/>
  <c r="H26" i="4"/>
  <c r="F26" i="4"/>
  <c r="J25" i="4"/>
  <c r="L25" i="4" s="1"/>
  <c r="N25" i="4" s="1"/>
  <c r="H25" i="4"/>
  <c r="F25" i="4"/>
  <c r="J24" i="4"/>
  <c r="L24" i="4" s="1"/>
  <c r="H24" i="4"/>
  <c r="N59" i="4"/>
  <c r="H19" i="4"/>
  <c r="J18" i="4"/>
  <c r="H18" i="4"/>
  <c r="L18" i="4" s="1"/>
  <c r="J15" i="4"/>
  <c r="H15" i="4"/>
  <c r="F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14" i="4"/>
  <c r="N36" i="5" l="1"/>
  <c r="L46" i="4"/>
  <c r="N46" i="4" s="1"/>
  <c r="N28" i="4"/>
  <c r="F42" i="4"/>
  <c r="L15" i="5"/>
  <c r="N15" i="5" s="1"/>
  <c r="L36" i="5"/>
  <c r="L15" i="4"/>
  <c r="N15" i="4" s="1"/>
  <c r="L26" i="4"/>
  <c r="N42" i="4"/>
  <c r="N48" i="4"/>
  <c r="N54" i="4"/>
  <c r="L52" i="5"/>
  <c r="N52" i="5" s="1"/>
  <c r="N37" i="4"/>
  <c r="F42" i="5"/>
  <c r="N42" i="5" s="1"/>
  <c r="N26" i="4"/>
  <c r="E45" i="4"/>
  <c r="L24" i="5"/>
  <c r="N24" i="5" s="1"/>
  <c r="N27" i="5"/>
  <c r="L33" i="5"/>
  <c r="N33" i="5" s="1"/>
  <c r="E41" i="5"/>
  <c r="F41" i="5" s="1"/>
  <c r="N41" i="5" s="1"/>
  <c r="N29" i="4"/>
  <c r="N50" i="4"/>
  <c r="N52" i="4"/>
  <c r="N37" i="5"/>
  <c r="N50" i="5"/>
  <c r="L27" i="4"/>
  <c r="N27" i="4" s="1"/>
  <c r="L32" i="4"/>
  <c r="F36" i="4"/>
  <c r="N36" i="4" s="1"/>
  <c r="L18" i="5"/>
  <c r="N18" i="5" s="1"/>
  <c r="E38" i="5"/>
  <c r="L28" i="5"/>
  <c r="N28" i="5" s="1"/>
  <c r="L32" i="5"/>
  <c r="N32" i="5" s="1"/>
  <c r="E19" i="4"/>
  <c r="F19" i="4" s="1"/>
  <c r="E19" i="5"/>
  <c r="F19" i="5" s="1"/>
  <c r="N48" i="5"/>
  <c r="N54" i="5"/>
  <c r="N33" i="4"/>
  <c r="E38" i="4"/>
  <c r="N25" i="5"/>
  <c r="F46" i="5"/>
  <c r="N46" i="5" s="1"/>
  <c r="E45" i="5"/>
  <c r="F18" i="4"/>
  <c r="N18" i="4" s="1"/>
  <c r="F24" i="4"/>
  <c r="N24" i="4" s="1"/>
  <c r="F32" i="4"/>
  <c r="F45" i="4"/>
  <c r="N45" i="4" s="1"/>
  <c r="F25" i="5"/>
  <c r="N32" i="4" l="1"/>
  <c r="N38" i="5"/>
  <c r="E41" i="4"/>
  <c r="F41" i="4" s="1"/>
  <c r="N41" i="4" s="1"/>
  <c r="N38" i="4"/>
  <c r="E57" i="5"/>
  <c r="F45" i="5"/>
  <c r="N45" i="5" s="1"/>
  <c r="E57" i="4" l="1"/>
  <c r="G30" i="3"/>
  <c r="C28" i="3"/>
  <c r="G28" i="3" s="1"/>
  <c r="G24" i="3"/>
  <c r="G23" i="3"/>
  <c r="G21" i="3"/>
  <c r="G20" i="3"/>
  <c r="G17" i="3"/>
  <c r="G14" i="3"/>
  <c r="C26" i="3" l="1"/>
  <c r="G18" i="3"/>
  <c r="G26" i="3"/>
  <c r="J19" i="4" l="1"/>
  <c r="L19" i="4"/>
  <c r="N19" i="4" s="1"/>
  <c r="N20" i="4" s="1"/>
  <c r="N57" i="4" s="1"/>
  <c r="N61" i="4" s="1"/>
  <c r="J19" i="5"/>
  <c r="L19" i="5" s="1"/>
  <c r="N19" i="5" s="1"/>
  <c r="N20" i="5" s="1"/>
  <c r="N57" i="5" s="1"/>
  <c r="N61" i="5" s="1"/>
</calcChain>
</file>

<file path=xl/comments1.xml><?xml version="1.0" encoding="utf-8"?>
<comments xmlns="http://schemas.openxmlformats.org/spreadsheetml/2006/main">
  <authors>
    <author>Brian Elliott</author>
  </authors>
  <commentList>
    <comment ref="G31" authorId="0" shapeId="0">
      <text>
        <r>
          <rPr>
            <b/>
            <sz val="9"/>
            <color indexed="81"/>
            <rFont val="Tahoma"/>
            <family val="2"/>
          </rPr>
          <t>Brian Elliott:</t>
        </r>
        <r>
          <rPr>
            <sz val="9"/>
            <color indexed="81"/>
            <rFont val="Tahoma"/>
            <family val="2"/>
          </rPr>
          <t xml:space="preserve">
Adjustment 4</t>
        </r>
      </text>
    </comment>
  </commentList>
</comments>
</file>

<file path=xl/sharedStrings.xml><?xml version="1.0" encoding="utf-8"?>
<sst xmlns="http://schemas.openxmlformats.org/spreadsheetml/2006/main" count="486" uniqueCount="202">
  <si>
    <t>Line</t>
  </si>
  <si>
    <t xml:space="preserve">Total </t>
  </si>
  <si>
    <t>Jurisdictional</t>
  </si>
  <si>
    <t>No.</t>
  </si>
  <si>
    <t>Description</t>
  </si>
  <si>
    <t>Amount</t>
  </si>
  <si>
    <t>(1)</t>
  </si>
  <si>
    <t>(2)</t>
  </si>
  <si>
    <t>(3)</t>
  </si>
  <si>
    <t>1/8 Method &gt; Lead/Lag Study</t>
  </si>
  <si>
    <t xml:space="preserve">Schedule CWC1 </t>
  </si>
  <si>
    <t>Atmos Energy Corporation - Colorado Service Area</t>
  </si>
  <si>
    <t xml:space="preserve"> </t>
  </si>
  <si>
    <t>Cash-Basis Cash Working Capital Analysis</t>
  </si>
  <si>
    <t>Test Year Ending March 31, 2017</t>
  </si>
  <si>
    <t>Cash</t>
  </si>
  <si>
    <t>CWC</t>
  </si>
  <si>
    <t>Working</t>
  </si>
  <si>
    <t>Factor</t>
  </si>
  <si>
    <t>Capital</t>
  </si>
  <si>
    <t>(a)</t>
  </si>
  <si>
    <t>(b)</t>
  </si>
  <si>
    <t>(c)</t>
  </si>
  <si>
    <t>(d)</t>
  </si>
  <si>
    <t>Gas Purchased</t>
  </si>
  <si>
    <t>O&amp;M Expense:</t>
  </si>
  <si>
    <t>Labor O&amp;M</t>
  </si>
  <si>
    <t>Other O&amp;M</t>
  </si>
  <si>
    <t>Franchise Tax</t>
  </si>
  <si>
    <t>Sales Tax</t>
  </si>
  <si>
    <t>State and Federal Income Tax</t>
  </si>
  <si>
    <t xml:space="preserve">Other Taxes </t>
  </si>
  <si>
    <t>CWC using one-eighth</t>
  </si>
  <si>
    <t>ATO-CWC1 A</t>
  </si>
  <si>
    <t>Cash Working Capital Lead/Lag Analysis</t>
  </si>
  <si>
    <t>Average</t>
  </si>
  <si>
    <t>Test Year</t>
  </si>
  <si>
    <t>Daily Expense</t>
  </si>
  <si>
    <t>Revenue</t>
  </si>
  <si>
    <t>Expense</t>
  </si>
  <si>
    <t>Net Lag</t>
  </si>
  <si>
    <t>Requirement</t>
  </si>
  <si>
    <t>Expenses</t>
  </si>
  <si>
    <t>(b) / 366 days</t>
  </si>
  <si>
    <t>Lag</t>
  </si>
  <si>
    <t>( d) - (e)</t>
  </si>
  <si>
    <t>(c) x (f)</t>
  </si>
  <si>
    <t>( c)</t>
  </si>
  <si>
    <t>(e)</t>
  </si>
  <si>
    <t>(f)</t>
  </si>
  <si>
    <t>(g)</t>
  </si>
  <si>
    <t>Gas Supply Expense</t>
  </si>
  <si>
    <t>Purchased Gas</t>
  </si>
  <si>
    <t>CWC2</t>
  </si>
  <si>
    <t>CWC3</t>
  </si>
  <si>
    <t>Operation and Maintenance Expense</t>
  </si>
  <si>
    <t>O&amp;M, Labor</t>
  </si>
  <si>
    <t>CWC4</t>
  </si>
  <si>
    <t>O&amp;M, Non-Labor</t>
  </si>
  <si>
    <t>CWC5</t>
  </si>
  <si>
    <t>Total O&amp;M Expense</t>
  </si>
  <si>
    <t xml:space="preserve">Taxes Other Than Income </t>
  </si>
  <si>
    <t>Ad Valorem</t>
  </si>
  <si>
    <t>CWC6</t>
  </si>
  <si>
    <t>State Gross Receipts Tax</t>
  </si>
  <si>
    <t>Payroll Taxes</t>
  </si>
  <si>
    <t>TRA Inspection Fee</t>
  </si>
  <si>
    <t>DOT</t>
  </si>
  <si>
    <t>Allocated Taxes-Shared Services</t>
  </si>
  <si>
    <t>Allocated Taxes-Business Unit</t>
  </si>
  <si>
    <t>Total Taxes Other Than Income</t>
  </si>
  <si>
    <t xml:space="preserve">Federal Income Tax </t>
  </si>
  <si>
    <t>Current Taxes</t>
  </si>
  <si>
    <t>CWC7</t>
  </si>
  <si>
    <t>Deferred Taxes</t>
  </si>
  <si>
    <t>State Excise Tax</t>
  </si>
  <si>
    <t>CWC8</t>
  </si>
  <si>
    <t>Depreciation</t>
  </si>
  <si>
    <t>Interest on Customer Deposits</t>
  </si>
  <si>
    <t>Interest Expense - LTD</t>
  </si>
  <si>
    <t>CWC9</t>
  </si>
  <si>
    <t>Return on Equity</t>
  </si>
  <si>
    <t>TOTAL</t>
  </si>
  <si>
    <t>ATO-CWC1 B</t>
  </si>
  <si>
    <t>(b) / 365 days</t>
  </si>
  <si>
    <t>Sch 3</t>
  </si>
  <si>
    <t>Sch 4</t>
  </si>
  <si>
    <t>Sch 5</t>
  </si>
  <si>
    <t>Lead / Lag Cash Working Capital Calculation - Total Company Per Books (GAAP)</t>
  </si>
  <si>
    <t>TME:  September 30, 2015</t>
  </si>
  <si>
    <t>Rev</t>
  </si>
  <si>
    <t>Per Books</t>
  </si>
  <si>
    <t>Daily</t>
  </si>
  <si>
    <t>Lead</t>
  </si>
  <si>
    <t>Cost Category</t>
  </si>
  <si>
    <t>Days</t>
  </si>
  <si>
    <t>Reference</t>
  </si>
  <si>
    <t>Req.</t>
  </si>
  <si>
    <t>(3)=(2)/365</t>
  </si>
  <si>
    <t>(4)</t>
  </si>
  <si>
    <t>(5)</t>
  </si>
  <si>
    <t>(6)</t>
  </si>
  <si>
    <t>(7)=(4)-(5)</t>
  </si>
  <si>
    <t>(8)=(3)*(7)</t>
  </si>
  <si>
    <t>OPERATING EXPENSES:</t>
  </si>
  <si>
    <t>Purchased Gas Expense</t>
  </si>
  <si>
    <t>Sheet 4</t>
  </si>
  <si>
    <t>Deferred Gas Expense</t>
  </si>
  <si>
    <t>Note 3</t>
  </si>
  <si>
    <t>Stored Gas Expense</t>
  </si>
  <si>
    <t>Note 1</t>
  </si>
  <si>
    <t>Prepaid Insurance Expense</t>
  </si>
  <si>
    <t>Payroll Costs</t>
  </si>
  <si>
    <t>Sheet 5</t>
  </si>
  <si>
    <t xml:space="preserve">Employee Benefits Expense </t>
  </si>
  <si>
    <t>Incentive Compensation Exp</t>
  </si>
  <si>
    <t>Pension and RIP Expense</t>
  </si>
  <si>
    <t>OPEB Expense</t>
  </si>
  <si>
    <t>Sheet 6</t>
  </si>
  <si>
    <t>Other O &amp; M Costs:</t>
  </si>
  <si>
    <t xml:space="preserve">  Accrued Vacation </t>
  </si>
  <si>
    <t xml:space="preserve">  Uncollectible Expense</t>
  </si>
  <si>
    <t>Sheet 7</t>
  </si>
  <si>
    <t xml:space="preserve">  Injuries and Damage Expense</t>
  </si>
  <si>
    <t xml:space="preserve">  Other</t>
  </si>
  <si>
    <t>Sheet 8</t>
  </si>
  <si>
    <t>Depreciation and Amort Exp</t>
  </si>
  <si>
    <t>TAXES OTHER THAN INCOME:</t>
  </si>
  <si>
    <t xml:space="preserve">  Payroll Tax Expense</t>
  </si>
  <si>
    <t>Sheet 9</t>
  </si>
  <si>
    <t xml:space="preserve">  Property Tax Expense</t>
  </si>
  <si>
    <t>Sheet 10</t>
  </si>
  <si>
    <t xml:space="preserve">  Other Taxes</t>
  </si>
  <si>
    <t>Sheet 11</t>
  </si>
  <si>
    <t xml:space="preserve">    TOTAL OPERATING EXP &amp; OTH TAX</t>
  </si>
  <si>
    <t>INCOME TAXES:</t>
  </si>
  <si>
    <t>Current (including state)</t>
  </si>
  <si>
    <t>Sheet 12</t>
  </si>
  <si>
    <t>Deferred FIT Included in RB</t>
  </si>
  <si>
    <t xml:space="preserve">    TOTAL INCOME TAX EXP</t>
  </si>
  <si>
    <t>OTHER EXPENSES:</t>
  </si>
  <si>
    <t>Charitable Donations</t>
  </si>
  <si>
    <t>Note 2</t>
  </si>
  <si>
    <t>Sheet 13</t>
  </si>
  <si>
    <t>Interest Expense on LT Debt</t>
  </si>
  <si>
    <t>Sheet 14</t>
  </si>
  <si>
    <t xml:space="preserve">AFUDC  </t>
  </si>
  <si>
    <t xml:space="preserve">Other Income </t>
  </si>
  <si>
    <t xml:space="preserve">    TOTAL OTHER INCOME</t>
  </si>
  <si>
    <t>Income Avail for Common Eq</t>
  </si>
  <si>
    <t>Subtotal</t>
  </si>
  <si>
    <t>Customer Utility Taxes</t>
  </si>
  <si>
    <t>Sheet 15</t>
  </si>
  <si>
    <t>State &amp; Local Consumption Taxes</t>
  </si>
  <si>
    <t>Sheet  16</t>
  </si>
  <si>
    <t>Plus: Balance Sheet Analysis</t>
  </si>
  <si>
    <t>Schedule 28</t>
  </si>
  <si>
    <t xml:space="preserve">   TOTAL CASH WORKING CAPITAL REQUIREMENT/(SOURCE)</t>
  </si>
  <si>
    <t>Note 5: 0 Net Lead days assigned in compliance with Staff Report</t>
  </si>
  <si>
    <t>Note 1:</t>
  </si>
  <si>
    <t>Item is included in the Balance Sheet Analysis; therefore, 0 lead days assigned.</t>
  </si>
  <si>
    <t>Note 2:</t>
  </si>
  <si>
    <t>0 Net Lead days assigned in compliance with the Staff in Case No. PUE950033.</t>
  </si>
  <si>
    <t>Note 3:</t>
  </si>
  <si>
    <t>Per Case No. PUE950033, 0 Cash Working Capital used due to a timing difference between deferred gas expense and the average deferred gas balance reflected in rate base.</t>
  </si>
  <si>
    <t>Lead / Lag Cash Working Capital Calculation - Jurisdictional Per Books (GAAP)</t>
  </si>
  <si>
    <t>Alloc</t>
  </si>
  <si>
    <t>Allocated</t>
  </si>
  <si>
    <t>Juris.</t>
  </si>
  <si>
    <t>Ref</t>
  </si>
  <si>
    <t>%</t>
  </si>
  <si>
    <t>(5)=(3)*(4)</t>
  </si>
  <si>
    <t>(6)=(5)/365</t>
  </si>
  <si>
    <t>(7)</t>
  </si>
  <si>
    <t>(8)</t>
  </si>
  <si>
    <t>(9)</t>
  </si>
  <si>
    <t>(10)=(7)-(8)</t>
  </si>
  <si>
    <t>(11)=(10)*(6)</t>
  </si>
  <si>
    <t>WP 40-1 "V"</t>
  </si>
  <si>
    <t>WP 40-1 "AA"</t>
  </si>
  <si>
    <t>Payroll costs</t>
  </si>
  <si>
    <t>Incentive Compensation</t>
  </si>
  <si>
    <t>WP 40-1 "S"</t>
  </si>
  <si>
    <t>Pension and RIP expense</t>
  </si>
  <si>
    <t>OPEB expense</t>
  </si>
  <si>
    <t>TAXES OTHER THAN INCOME</t>
  </si>
  <si>
    <t xml:space="preserve">    TOTAL OPERATING EXP</t>
  </si>
  <si>
    <t>WP 40-1 "AE"</t>
  </si>
  <si>
    <t>WP 40-1 "F"</t>
  </si>
  <si>
    <t>Sch 40b; p. 1</t>
  </si>
  <si>
    <t>Sch 28</t>
  </si>
  <si>
    <t>0 Net Lead days assigned in compliance with the Staff in Case No. PUE950033</t>
  </si>
  <si>
    <t>Per Case No. PUE950033, 0 Cash Working Capital used due to a timing difference.</t>
  </si>
  <si>
    <t>1/8</t>
  </si>
  <si>
    <t>O&amp;M</t>
  </si>
  <si>
    <t>1/8 Method</t>
  </si>
  <si>
    <t>Difference</t>
  </si>
  <si>
    <t>For Attrition Period Ended  May 31, 2016</t>
  </si>
  <si>
    <t>Case No.  PUE-2015-00119</t>
  </si>
  <si>
    <t>Atmos Energy Corporation-Virginia</t>
  </si>
  <si>
    <t>Atmos Energy Corporation-Tennessee</t>
  </si>
  <si>
    <t>For Test Year Ended  December 30,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</si>
</sst>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#,##0.000000_);\(#,##0.000000\)"/>
    <numFmt numFmtId="168" formatCode="#,##0.0_);\(#,##0.0\)"/>
    <numFmt numFmtId="169" formatCode="0.0000%"/>
    <numFmt numFmtId="170" formatCode="0.0%"/>
    <numFmt numFmtId="171" formatCode="_(* #,##0_);_(* \(#,##0\);_(* &quot;-&quot;??_);_(@_)"/>
    <numFmt numFmtId="172" formatCode="0.000%"/>
  </numFmts>
  <fonts count="31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ms Rmn"/>
    </font>
    <font>
      <sz val="11"/>
      <name val="Tms Rmn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i/>
      <sz val="11"/>
      <name val="Tms Rmn"/>
    </font>
    <font>
      <sz val="10"/>
      <name val="Arial"/>
      <family val="2"/>
    </font>
    <font>
      <u/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rgb="FF002060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2"/>
      <name val="Helv"/>
    </font>
    <font>
      <b/>
      <sz val="10"/>
      <name val="Arial"/>
      <family val="2"/>
    </font>
    <font>
      <sz val="8"/>
      <name val="Times New Roman"/>
      <family val="1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 val="singleAccounting"/>
      <sz val="10"/>
      <name val="Arial"/>
      <family val="2"/>
    </font>
    <font>
      <b/>
      <u val="doubl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1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37" fontId="0" fillId="0" borderId="0" applyProtection="0"/>
    <xf numFmtId="9" fontId="1" fillId="0" borderId="0" applyFont="0" applyFill="0" applyBorder="0" applyAlignment="0" applyProtection="0"/>
    <xf numFmtId="37" fontId="3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3" fillId="0" borderId="0"/>
    <xf numFmtId="0" fontId="19" fillId="0" borderId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07">
    <xf numFmtId="37" fontId="0" fillId="0" borderId="0" xfId="0"/>
    <xf numFmtId="37" fontId="2" fillId="0" borderId="0" xfId="2" applyFont="1" applyFill="1"/>
    <xf numFmtId="37" fontId="2" fillId="0" borderId="0" xfId="2" applyFont="1" applyFill="1" applyAlignment="1">
      <alignment horizontal="right"/>
    </xf>
    <xf numFmtId="37" fontId="4" fillId="0" borderId="0" xfId="2" applyFont="1" applyFill="1" applyBorder="1"/>
    <xf numFmtId="37" fontId="4" fillId="0" borderId="0" xfId="2" applyFont="1" applyBorder="1"/>
    <xf numFmtId="37" fontId="4" fillId="0" borderId="0" xfId="2" applyFont="1"/>
    <xf numFmtId="37" fontId="5" fillId="0" borderId="0" xfId="2" applyNumberFormat="1" applyFont="1" applyFill="1" applyAlignment="1" applyProtection="1">
      <alignment horizontal="centerContinuous"/>
    </xf>
    <xf numFmtId="37" fontId="2" fillId="0" borderId="0" xfId="2" applyNumberFormat="1" applyFont="1" applyFill="1" applyAlignment="1" applyProtection="1">
      <alignment horizontal="centerContinuous"/>
    </xf>
    <xf numFmtId="37" fontId="2" fillId="0" borderId="0" xfId="2" applyFont="1" applyFill="1" applyAlignment="1">
      <alignment horizontal="centerContinuous"/>
    </xf>
    <xf numFmtId="37" fontId="4" fillId="0" borderId="0" xfId="2" applyNumberFormat="1" applyFont="1" applyFill="1" applyBorder="1" applyAlignment="1" applyProtection="1">
      <alignment horizontal="centerContinuous"/>
    </xf>
    <xf numFmtId="37" fontId="4" fillId="0" borderId="0" xfId="2" applyNumberFormat="1" applyFont="1" applyBorder="1" applyAlignment="1" applyProtection="1">
      <alignment horizontal="centerContinuous"/>
    </xf>
    <xf numFmtId="37" fontId="4" fillId="0" borderId="0" xfId="2" applyNumberFormat="1" applyFont="1" applyBorder="1" applyProtection="1"/>
    <xf numFmtId="37" fontId="4" fillId="0" borderId="0" xfId="2" applyNumberFormat="1" applyFont="1" applyProtection="1"/>
    <xf numFmtId="37" fontId="2" fillId="0" borderId="0" xfId="2" applyNumberFormat="1" applyFont="1" applyFill="1" applyBorder="1" applyAlignment="1" applyProtection="1">
      <alignment horizontal="centerContinuous"/>
    </xf>
    <xf numFmtId="37" fontId="6" fillId="0" borderId="0" xfId="2" applyNumberFormat="1" applyFont="1" applyFill="1" applyAlignment="1" applyProtection="1">
      <alignment horizontal="center"/>
    </xf>
    <xf numFmtId="37" fontId="2" fillId="0" borderId="0" xfId="2" applyNumberFormat="1" applyFont="1" applyFill="1" applyProtection="1"/>
    <xf numFmtId="37" fontId="2" fillId="0" borderId="0" xfId="2" applyNumberFormat="1" applyFont="1" applyFill="1" applyBorder="1" applyProtection="1"/>
    <xf numFmtId="37" fontId="4" fillId="0" borderId="0" xfId="2" applyNumberFormat="1" applyFont="1" applyFill="1" applyBorder="1" applyProtection="1"/>
    <xf numFmtId="37" fontId="2" fillId="0" borderId="0" xfId="2" applyNumberFormat="1" applyFont="1" applyFill="1" applyBorder="1" applyAlignment="1" applyProtection="1">
      <alignment horizontal="center"/>
    </xf>
    <xf numFmtId="37" fontId="2" fillId="0" borderId="0" xfId="2" quotePrefix="1" applyNumberFormat="1" applyFont="1" applyFill="1" applyAlignment="1" applyProtection="1">
      <alignment horizontal="center"/>
    </xf>
    <xf numFmtId="37" fontId="4" fillId="0" borderId="0" xfId="2" applyNumberFormat="1" applyFont="1" applyBorder="1" applyAlignment="1" applyProtection="1">
      <alignment horizontal="left"/>
    </xf>
    <xf numFmtId="37" fontId="4" fillId="0" borderId="0" xfId="2" applyNumberFormat="1" applyFont="1" applyBorder="1" applyAlignment="1" applyProtection="1">
      <alignment horizontal="center"/>
    </xf>
    <xf numFmtId="37" fontId="2" fillId="0" borderId="0" xfId="2" applyNumberFormat="1" applyFont="1" applyFill="1" applyAlignment="1" applyProtection="1">
      <alignment horizontal="center"/>
    </xf>
    <xf numFmtId="37" fontId="4" fillId="0" borderId="0" xfId="2" applyNumberFormat="1" applyFont="1" applyFill="1" applyBorder="1" applyAlignment="1" applyProtection="1">
      <alignment horizontal="center"/>
    </xf>
    <xf numFmtId="37" fontId="2" fillId="0" borderId="2" xfId="2" applyNumberFormat="1" applyFont="1" applyFill="1" applyBorder="1" applyAlignment="1" applyProtection="1">
      <alignment horizontal="center"/>
    </xf>
    <xf numFmtId="37" fontId="4" fillId="0" borderId="0" xfId="2" quotePrefix="1" applyNumberFormat="1" applyFont="1" applyFill="1" applyAlignment="1" applyProtection="1">
      <alignment horizontal="center"/>
    </xf>
    <xf numFmtId="37" fontId="4" fillId="0" borderId="0" xfId="2" quotePrefix="1" applyNumberFormat="1" applyFont="1" applyAlignment="1" applyProtection="1">
      <alignment horizontal="center"/>
    </xf>
    <xf numFmtId="37" fontId="7" fillId="0" borderId="0" xfId="2" applyNumberFormat="1" applyFont="1" applyBorder="1" applyAlignment="1" applyProtection="1">
      <alignment horizontal="center"/>
    </xf>
    <xf numFmtId="165" fontId="2" fillId="0" borderId="0" xfId="3" applyNumberFormat="1" applyFont="1" applyFill="1" applyProtection="1"/>
    <xf numFmtId="166" fontId="2" fillId="0" borderId="0" xfId="4" applyNumberFormat="1" applyFont="1" applyFill="1" applyProtection="1"/>
    <xf numFmtId="37" fontId="3" fillId="0" borderId="0" xfId="2" applyFill="1"/>
    <xf numFmtId="37" fontId="4" fillId="0" borderId="0" xfId="2" applyNumberFormat="1" applyFont="1" applyBorder="1" applyAlignment="1" applyProtection="1">
      <alignment horizontal="right"/>
    </xf>
    <xf numFmtId="167" fontId="3" fillId="0" borderId="0" xfId="2" applyNumberFormat="1" applyFont="1" applyBorder="1" applyAlignment="1" applyProtection="1">
      <alignment horizontal="left"/>
    </xf>
    <xf numFmtId="167" fontId="4" fillId="0" borderId="0" xfId="2" applyNumberFormat="1" applyFont="1" applyBorder="1" applyProtection="1"/>
    <xf numFmtId="37" fontId="2" fillId="0" borderId="0" xfId="3" applyNumberFormat="1" applyFont="1" applyFill="1" applyProtection="1"/>
    <xf numFmtId="168" fontId="4" fillId="0" borderId="0" xfId="2" applyNumberFormat="1" applyFont="1" applyBorder="1" applyProtection="1"/>
    <xf numFmtId="37" fontId="9" fillId="0" borderId="0" xfId="2" applyNumberFormat="1" applyFont="1" applyFill="1" applyProtection="1"/>
    <xf numFmtId="37" fontId="2" fillId="0" borderId="1" xfId="2" applyNumberFormat="1" applyFont="1" applyFill="1" applyBorder="1" applyProtection="1"/>
    <xf numFmtId="166" fontId="2" fillId="0" borderId="1" xfId="4" applyNumberFormat="1" applyFont="1" applyFill="1" applyBorder="1" applyProtection="1"/>
    <xf numFmtId="37" fontId="2" fillId="0" borderId="1" xfId="3" applyNumberFormat="1" applyFont="1" applyFill="1" applyBorder="1" applyProtection="1"/>
    <xf numFmtId="37" fontId="2" fillId="0" borderId="0" xfId="2" applyNumberFormat="1" applyFont="1" applyFill="1" applyBorder="1" applyAlignment="1" applyProtection="1">
      <alignment horizontal="left"/>
    </xf>
    <xf numFmtId="168" fontId="4" fillId="0" borderId="0" xfId="2" applyNumberFormat="1" applyFont="1" applyBorder="1" applyAlignment="1" applyProtection="1">
      <alignment horizontal="left"/>
    </xf>
    <xf numFmtId="165" fontId="2" fillId="0" borderId="4" xfId="3" applyNumberFormat="1" applyFont="1" applyFill="1" applyBorder="1" applyProtection="1"/>
    <xf numFmtId="5" fontId="2" fillId="0" borderId="0" xfId="2" applyNumberFormat="1" applyFont="1" applyFill="1" applyBorder="1" applyProtection="1"/>
    <xf numFmtId="168" fontId="2" fillId="0" borderId="0" xfId="2" applyNumberFormat="1" applyFont="1" applyFill="1" applyBorder="1" applyProtection="1"/>
    <xf numFmtId="39" fontId="4" fillId="0" borderId="0" xfId="2" applyNumberFormat="1" applyFont="1" applyAlignment="1">
      <alignment horizontal="center"/>
    </xf>
    <xf numFmtId="37" fontId="3" fillId="0" borderId="0" xfId="2" applyNumberFormat="1" applyProtection="1"/>
    <xf numFmtId="168" fontId="3" fillId="0" borderId="0" xfId="2" applyNumberFormat="1" applyAlignment="1" applyProtection="1">
      <alignment horizontal="center"/>
    </xf>
    <xf numFmtId="169" fontId="4" fillId="0" borderId="0" xfId="5" applyNumberFormat="1" applyFont="1"/>
    <xf numFmtId="10" fontId="4" fillId="0" borderId="0" xfId="1" applyNumberFormat="1" applyFont="1" applyProtection="1"/>
    <xf numFmtId="37" fontId="10" fillId="0" borderId="0" xfId="2" applyFont="1"/>
    <xf numFmtId="37" fontId="11" fillId="0" borderId="0" xfId="2" applyFont="1" applyFill="1" applyBorder="1"/>
    <xf numFmtId="37" fontId="10" fillId="0" borderId="0" xfId="2" applyFont="1" applyAlignment="1">
      <alignment horizontal="center"/>
    </xf>
    <xf numFmtId="37" fontId="10" fillId="0" borderId="0" xfId="2" applyFont="1" applyFill="1" applyBorder="1"/>
    <xf numFmtId="37" fontId="10" fillId="0" borderId="0" xfId="2" applyNumberFormat="1" applyFont="1" applyFill="1" applyAlignment="1" applyProtection="1">
      <alignment horizontal="right"/>
    </xf>
    <xf numFmtId="37" fontId="2" fillId="0" borderId="0" xfId="2" applyFont="1" applyFill="1" applyBorder="1"/>
    <xf numFmtId="37" fontId="2" fillId="0" borderId="0" xfId="2" applyFont="1"/>
    <xf numFmtId="37" fontId="12" fillId="0" borderId="0" xfId="6" applyFont="1" applyAlignment="1">
      <alignment horizontal="centerContinuous"/>
    </xf>
    <xf numFmtId="37" fontId="10" fillId="0" borderId="0" xfId="2" applyNumberFormat="1" applyFont="1" applyAlignment="1" applyProtection="1">
      <alignment horizontal="centerContinuous"/>
    </xf>
    <xf numFmtId="37" fontId="11" fillId="0" borderId="0" xfId="2" applyNumberFormat="1" applyFont="1" applyFill="1" applyBorder="1" applyAlignment="1" applyProtection="1">
      <alignment horizontal="centerContinuous"/>
    </xf>
    <xf numFmtId="37" fontId="10" fillId="0" borderId="0" xfId="2" applyNumberFormat="1" applyFont="1" applyFill="1" applyBorder="1" applyAlignment="1" applyProtection="1">
      <alignment horizontal="centerContinuous"/>
    </xf>
    <xf numFmtId="37" fontId="10" fillId="0" borderId="0" xfId="2" applyFont="1" applyAlignment="1">
      <alignment horizontal="centerContinuous"/>
    </xf>
    <xf numFmtId="37" fontId="2" fillId="0" borderId="0" xfId="2" applyNumberFormat="1" applyFont="1" applyProtection="1"/>
    <xf numFmtId="37" fontId="12" fillId="0" borderId="0" xfId="2" applyNumberFormat="1" applyFont="1" applyAlignment="1" applyProtection="1">
      <alignment horizontal="centerContinuous"/>
    </xf>
    <xf numFmtId="37" fontId="12" fillId="0" borderId="0" xfId="2" applyFont="1" applyAlignment="1">
      <alignment horizontal="centerContinuous"/>
    </xf>
    <xf numFmtId="37" fontId="10" fillId="0" borderId="0" xfId="2" applyNumberFormat="1" applyFont="1" applyProtection="1"/>
    <xf numFmtId="37" fontId="11" fillId="0" borderId="0" xfId="2" applyNumberFormat="1" applyFont="1" applyFill="1" applyBorder="1" applyProtection="1"/>
    <xf numFmtId="37" fontId="10" fillId="0" borderId="0" xfId="2" applyNumberFormat="1" applyFont="1" applyAlignment="1" applyProtection="1">
      <alignment horizontal="center"/>
    </xf>
    <xf numFmtId="37" fontId="10" fillId="0" borderId="0" xfId="2" applyNumberFormat="1" applyFont="1" applyFill="1" applyBorder="1" applyProtection="1"/>
    <xf numFmtId="37" fontId="12" fillId="0" borderId="0" xfId="2" applyNumberFormat="1" applyFont="1" applyFill="1" applyBorder="1" applyProtection="1"/>
    <xf numFmtId="37" fontId="12" fillId="0" borderId="0" xfId="2" applyNumberFormat="1" applyFont="1" applyFill="1" applyBorder="1" applyAlignment="1" applyProtection="1">
      <alignment horizontal="center"/>
    </xf>
    <xf numFmtId="37" fontId="13" fillId="0" borderId="0" xfId="2" applyNumberFormat="1" applyFont="1" applyFill="1" applyBorder="1" applyProtection="1"/>
    <xf numFmtId="37" fontId="5" fillId="0" borderId="0" xfId="2" applyNumberFormat="1" applyFont="1" applyFill="1" applyBorder="1" applyProtection="1"/>
    <xf numFmtId="37" fontId="10" fillId="0" borderId="0" xfId="2" applyNumberFormat="1" applyFont="1" applyFill="1" applyBorder="1" applyAlignment="1" applyProtection="1">
      <alignment horizontal="center"/>
    </xf>
    <xf numFmtId="37" fontId="12" fillId="0" borderId="0" xfId="2" applyFont="1" applyFill="1" applyBorder="1" applyAlignment="1">
      <alignment horizontal="center"/>
    </xf>
    <xf numFmtId="37" fontId="13" fillId="0" borderId="0" xfId="2" applyNumberFormat="1" applyFont="1" applyFill="1" applyBorder="1" applyAlignment="1" applyProtection="1">
      <alignment horizontal="center"/>
    </xf>
    <xf numFmtId="37" fontId="12" fillId="0" borderId="0" xfId="2" applyFont="1" applyFill="1" applyBorder="1"/>
    <xf numFmtId="37" fontId="5" fillId="0" borderId="0" xfId="2" applyNumberFormat="1" applyFont="1" applyFill="1" applyBorder="1" applyAlignment="1" applyProtection="1">
      <alignment horizontal="center"/>
    </xf>
    <xf numFmtId="37" fontId="10" fillId="0" borderId="1" xfId="2" applyNumberFormat="1" applyFont="1" applyFill="1" applyBorder="1" applyAlignment="1" applyProtection="1">
      <alignment horizontal="center"/>
    </xf>
    <xf numFmtId="37" fontId="12" fillId="0" borderId="1" xfId="2" applyNumberFormat="1" applyFont="1" applyFill="1" applyBorder="1" applyAlignment="1" applyProtection="1">
      <alignment horizontal="centerContinuous"/>
    </xf>
    <xf numFmtId="37" fontId="12" fillId="0" borderId="1" xfId="2" applyNumberFormat="1" applyFont="1" applyFill="1" applyBorder="1" applyAlignment="1" applyProtection="1">
      <alignment horizontal="center"/>
    </xf>
    <xf numFmtId="37" fontId="12" fillId="0" borderId="1" xfId="2" quotePrefix="1" applyNumberFormat="1" applyFont="1" applyFill="1" applyBorder="1" applyAlignment="1" applyProtection="1">
      <alignment horizontal="center"/>
    </xf>
    <xf numFmtId="37" fontId="13" fillId="0" borderId="1" xfId="2" applyNumberFormat="1" applyFont="1" applyFill="1" applyBorder="1" applyAlignment="1" applyProtection="1">
      <alignment horizontal="center"/>
    </xf>
    <xf numFmtId="37" fontId="5" fillId="0" borderId="1" xfId="2" applyNumberFormat="1" applyFont="1" applyFill="1" applyBorder="1" applyAlignment="1" applyProtection="1">
      <alignment horizontal="center"/>
    </xf>
    <xf numFmtId="37" fontId="10" fillId="0" borderId="0" xfId="2" quotePrefix="1" applyFont="1" applyAlignment="1">
      <alignment horizontal="center"/>
    </xf>
    <xf numFmtId="37" fontId="11" fillId="0" borderId="0" xfId="2" applyNumberFormat="1" applyFont="1" applyFill="1" applyBorder="1" applyAlignment="1" applyProtection="1">
      <alignment horizontal="center"/>
    </xf>
    <xf numFmtId="37" fontId="10" fillId="0" borderId="0" xfId="2" quotePrefix="1" applyNumberFormat="1" applyFont="1" applyAlignment="1" applyProtection="1">
      <alignment horizontal="center"/>
    </xf>
    <xf numFmtId="37" fontId="14" fillId="2" borderId="0" xfId="2" applyNumberFormat="1" applyFont="1" applyFill="1" applyBorder="1" applyProtection="1"/>
    <xf numFmtId="39" fontId="10" fillId="0" borderId="0" xfId="2" applyNumberFormat="1" applyFont="1" applyAlignment="1" applyProtection="1">
      <alignment horizontal="center"/>
    </xf>
    <xf numFmtId="39" fontId="10" fillId="0" borderId="0" xfId="2" applyNumberFormat="1" applyFont="1" applyFill="1" applyAlignment="1" applyProtection="1">
      <alignment horizontal="center"/>
    </xf>
    <xf numFmtId="39" fontId="10" fillId="0" borderId="0" xfId="2" applyNumberFormat="1" applyFont="1" applyFill="1" applyBorder="1" applyProtection="1"/>
    <xf numFmtId="37" fontId="10" fillId="0" borderId="0" xfId="2" applyNumberFormat="1" applyFont="1" applyBorder="1" applyProtection="1"/>
    <xf numFmtId="39" fontId="2" fillId="0" borderId="0" xfId="2" applyNumberFormat="1" applyFont="1" applyAlignment="1" applyProtection="1">
      <alignment horizontal="center"/>
    </xf>
    <xf numFmtId="39" fontId="2" fillId="0" borderId="0" xfId="2" applyNumberFormat="1" applyFont="1" applyProtection="1"/>
    <xf numFmtId="37" fontId="10" fillId="0" borderId="0" xfId="2" applyNumberFormat="1" applyFont="1" applyFill="1" applyProtection="1"/>
    <xf numFmtId="37" fontId="10" fillId="0" borderId="0" xfId="2" applyFont="1" applyFill="1"/>
    <xf numFmtId="39" fontId="10" fillId="0" borderId="0" xfId="2" applyNumberFormat="1" applyFont="1" applyAlignment="1">
      <alignment horizontal="center"/>
    </xf>
    <xf numFmtId="39" fontId="2" fillId="0" borderId="0" xfId="2" applyNumberFormat="1" applyFont="1" applyAlignment="1">
      <alignment horizontal="center"/>
    </xf>
    <xf numFmtId="37" fontId="15" fillId="2" borderId="0" xfId="2" applyNumberFormat="1" applyFont="1" applyFill="1" applyProtection="1"/>
    <xf numFmtId="37" fontId="10" fillId="0" borderId="1" xfId="2" applyNumberFormat="1" applyFont="1" applyFill="1" applyBorder="1" applyProtection="1"/>
    <xf numFmtId="39" fontId="10" fillId="0" borderId="0" xfId="2" applyNumberFormat="1" applyFont="1" applyFill="1" applyBorder="1" applyAlignment="1" applyProtection="1">
      <alignment horizontal="center"/>
    </xf>
    <xf numFmtId="37" fontId="10" fillId="0" borderId="1" xfId="2" applyNumberFormat="1" applyFont="1" applyBorder="1" applyProtection="1"/>
    <xf numFmtId="37" fontId="15" fillId="2" borderId="0" xfId="2" applyNumberFormat="1" applyFont="1" applyFill="1" applyBorder="1" applyProtection="1"/>
    <xf numFmtId="39" fontId="10" fillId="0" borderId="0" xfId="2" applyNumberFormat="1" applyFont="1" applyBorder="1" applyAlignment="1" applyProtection="1">
      <alignment horizontal="center"/>
    </xf>
    <xf numFmtId="37" fontId="16" fillId="0" borderId="0" xfId="2" applyNumberFormat="1" applyFont="1" applyFill="1" applyProtection="1"/>
    <xf numFmtId="9" fontId="10" fillId="2" borderId="0" xfId="5" applyNumberFormat="1" applyFont="1" applyFill="1" applyProtection="1"/>
    <xf numFmtId="39" fontId="2" fillId="0" borderId="0" xfId="2" applyNumberFormat="1" applyFont="1" applyAlignment="1" applyProtection="1">
      <alignment horizontal="left"/>
    </xf>
    <xf numFmtId="10" fontId="2" fillId="0" borderId="0" xfId="5" applyNumberFormat="1" applyFont="1" applyProtection="1"/>
    <xf numFmtId="9" fontId="10" fillId="0" borderId="0" xfId="2" applyNumberFormat="1" applyFont="1"/>
    <xf numFmtId="37" fontId="2" fillId="0" borderId="0" xfId="2" applyFont="1" applyAlignment="1">
      <alignment horizontal="center"/>
    </xf>
    <xf numFmtId="37" fontId="10" fillId="0" borderId="5" xfId="2" applyNumberFormat="1" applyFont="1" applyFill="1" applyBorder="1" applyProtection="1"/>
    <xf numFmtId="37" fontId="16" fillId="2" borderId="0" xfId="2" applyFont="1" applyFill="1"/>
    <xf numFmtId="37" fontId="15" fillId="2" borderId="0" xfId="2" applyFont="1" applyFill="1" applyBorder="1"/>
    <xf numFmtId="37" fontId="10" fillId="0" borderId="0" xfId="2" applyFont="1" applyBorder="1"/>
    <xf numFmtId="168" fontId="10" fillId="0" borderId="0" xfId="2" applyNumberFormat="1" applyFont="1" applyAlignment="1" applyProtection="1">
      <alignment horizontal="center"/>
    </xf>
    <xf numFmtId="37" fontId="15" fillId="2" borderId="1" xfId="2" applyNumberFormat="1" applyFont="1" applyFill="1" applyBorder="1" applyProtection="1"/>
    <xf numFmtId="37" fontId="10" fillId="0" borderId="3" xfId="2" applyNumberFormat="1" applyFont="1" applyFill="1" applyBorder="1" applyProtection="1"/>
    <xf numFmtId="37" fontId="17" fillId="0" borderId="0" xfId="2" applyNumberFormat="1" applyFont="1" applyFill="1" applyBorder="1" applyProtection="1"/>
    <xf numFmtId="37" fontId="2" fillId="0" borderId="0" xfId="2" applyNumberFormat="1" applyFont="1" applyAlignment="1" applyProtection="1">
      <alignment horizontal="center"/>
    </xf>
    <xf numFmtId="37" fontId="2" fillId="0" borderId="0" xfId="2" applyNumberFormat="1" applyFont="1" applyBorder="1" applyProtection="1"/>
    <xf numFmtId="37" fontId="3" fillId="0" borderId="0" xfId="2"/>
    <xf numFmtId="37" fontId="17" fillId="0" borderId="0" xfId="2" applyFont="1" applyFill="1" applyBorder="1"/>
    <xf numFmtId="37" fontId="18" fillId="0" borderId="0" xfId="2" applyNumberFormat="1" applyFont="1" applyFill="1" applyBorder="1" applyProtection="1"/>
    <xf numFmtId="39" fontId="5" fillId="0" borderId="0" xfId="2" applyNumberFormat="1" applyFont="1" applyFill="1" applyBorder="1" applyAlignment="1" applyProtection="1">
      <alignment horizontal="center"/>
    </xf>
    <xf numFmtId="168" fontId="5" fillId="0" borderId="0" xfId="2" applyNumberFormat="1" applyFont="1" applyFill="1" applyBorder="1" applyAlignment="1" applyProtection="1">
      <alignment horizontal="center"/>
    </xf>
    <xf numFmtId="37" fontId="2" fillId="0" borderId="0" xfId="2" quotePrefix="1" applyFont="1"/>
    <xf numFmtId="37" fontId="12" fillId="0" borderId="1" xfId="2" quotePrefix="1" applyNumberFormat="1" applyFont="1" applyBorder="1" applyAlignment="1" applyProtection="1">
      <alignment horizontal="center"/>
    </xf>
    <xf numFmtId="10" fontId="10" fillId="0" borderId="0" xfId="5" applyNumberFormat="1" applyFont="1"/>
    <xf numFmtId="10" fontId="10" fillId="0" borderId="0" xfId="5" applyNumberFormat="1" applyFont="1" applyProtection="1"/>
    <xf numFmtId="37" fontId="10" fillId="2" borderId="0" xfId="2" applyFont="1" applyFill="1"/>
    <xf numFmtId="9" fontId="10" fillId="0" borderId="0" xfId="5" applyNumberFormat="1" applyFont="1" applyProtection="1"/>
    <xf numFmtId="9" fontId="10" fillId="0" borderId="0" xfId="2" applyNumberFormat="1" applyFont="1" applyProtection="1"/>
    <xf numFmtId="170" fontId="10" fillId="0" borderId="0" xfId="5" applyNumberFormat="1" applyFont="1" applyProtection="1"/>
    <xf numFmtId="37" fontId="10" fillId="0" borderId="0" xfId="2" applyNumberFormat="1" applyFont="1" applyFill="1" applyAlignment="1" applyProtection="1">
      <alignment horizontal="center"/>
    </xf>
    <xf numFmtId="170" fontId="2" fillId="0" borderId="0" xfId="1" applyNumberFormat="1" applyFont="1"/>
    <xf numFmtId="0" fontId="8" fillId="0" borderId="0" xfId="7" applyFont="1" applyFill="1"/>
    <xf numFmtId="0" fontId="21" fillId="3" borderId="0" xfId="7" applyFont="1" applyFill="1"/>
    <xf numFmtId="0" fontId="21" fillId="0" borderId="0" xfId="7" applyFont="1" applyFill="1"/>
    <xf numFmtId="0" fontId="25" fillId="0" borderId="0" xfId="7" applyFont="1" applyFill="1" applyAlignment="1">
      <alignment horizontal="center"/>
    </xf>
    <xf numFmtId="0" fontId="20" fillId="0" borderId="0" xfId="7" applyFont="1" applyFill="1"/>
    <xf numFmtId="0" fontId="20" fillId="0" borderId="0" xfId="7" applyFont="1" applyFill="1" applyAlignment="1">
      <alignment horizontal="center"/>
    </xf>
    <xf numFmtId="0" fontId="22" fillId="0" borderId="0" xfId="7" applyFont="1" applyFill="1" applyAlignment="1">
      <alignment horizontal="center"/>
    </xf>
    <xf numFmtId="0" fontId="22" fillId="0" borderId="0" xfId="7" applyFont="1" applyFill="1"/>
    <xf numFmtId="0" fontId="20" fillId="0" borderId="0" xfId="7" quotePrefix="1" applyFont="1" applyFill="1" applyAlignment="1">
      <alignment horizontal="center"/>
    </xf>
    <xf numFmtId="0" fontId="8" fillId="0" borderId="0" xfId="7" applyFont="1" applyFill="1" applyAlignment="1">
      <alignment horizontal="center"/>
    </xf>
    <xf numFmtId="37" fontId="8" fillId="0" borderId="0" xfId="7" applyNumberFormat="1" applyFont="1" applyFill="1" applyProtection="1"/>
    <xf numFmtId="165" fontId="8" fillId="0" borderId="0" xfId="9" applyNumberFormat="1" applyFont="1" applyFill="1" applyProtection="1">
      <protection locked="0"/>
    </xf>
    <xf numFmtId="39" fontId="8" fillId="0" borderId="0" xfId="7" applyNumberFormat="1" applyFont="1" applyFill="1" applyBorder="1" applyProtection="1"/>
    <xf numFmtId="39" fontId="8" fillId="0" borderId="0" xfId="7" applyNumberFormat="1" applyFont="1" applyFill="1" applyProtection="1"/>
    <xf numFmtId="171" fontId="8" fillId="0" borderId="0" xfId="10" applyNumberFormat="1" applyFont="1" applyFill="1" applyProtection="1">
      <protection locked="0"/>
    </xf>
    <xf numFmtId="41" fontId="8" fillId="0" borderId="0" xfId="7" applyNumberFormat="1" applyFont="1" applyFill="1" applyProtection="1"/>
    <xf numFmtId="0" fontId="26" fillId="0" borderId="0" xfId="7" applyFont="1" applyFill="1"/>
    <xf numFmtId="171" fontId="20" fillId="0" borderId="0" xfId="10" applyNumberFormat="1" applyFont="1" applyFill="1" applyProtection="1">
      <protection locked="0"/>
    </xf>
    <xf numFmtId="0" fontId="21" fillId="3" borderId="0" xfId="7" quotePrefix="1" applyFont="1" applyFill="1"/>
    <xf numFmtId="41" fontId="8" fillId="0" borderId="0" xfId="7" applyNumberFormat="1" applyFont="1" applyFill="1"/>
    <xf numFmtId="39" fontId="8" fillId="0" borderId="0" xfId="7" applyNumberFormat="1" applyFont="1" applyFill="1"/>
    <xf numFmtId="43" fontId="8" fillId="0" borderId="0" xfId="7" applyNumberFormat="1" applyFont="1" applyFill="1"/>
    <xf numFmtId="39" fontId="8" fillId="0" borderId="0" xfId="7" applyNumberFormat="1" applyFont="1" applyFill="1" applyBorder="1" applyAlignment="1" applyProtection="1"/>
    <xf numFmtId="0" fontId="8" fillId="0" borderId="0" xfId="7" applyFont="1" applyFill="1" applyAlignment="1">
      <alignment horizontal="right"/>
    </xf>
    <xf numFmtId="37" fontId="22" fillId="0" borderId="0" xfId="7" applyNumberFormat="1" applyFont="1" applyFill="1" applyProtection="1">
      <protection locked="0"/>
    </xf>
    <xf numFmtId="0" fontId="8" fillId="0" borderId="0" xfId="7" applyFont="1" applyFill="1" applyAlignment="1">
      <alignment horizontal="right" indent="4"/>
    </xf>
    <xf numFmtId="171" fontId="8" fillId="0" borderId="0" xfId="10" applyNumberFormat="1" applyFont="1" applyFill="1"/>
    <xf numFmtId="0" fontId="8" fillId="0" borderId="0" xfId="7" applyFont="1" applyFill="1" applyAlignment="1">
      <alignment horizontal="right" indent="5"/>
    </xf>
    <xf numFmtId="41" fontId="26" fillId="0" borderId="0" xfId="7" applyNumberFormat="1" applyFont="1" applyFill="1" applyProtection="1"/>
    <xf numFmtId="41" fontId="8" fillId="0" borderId="1" xfId="7" applyNumberFormat="1" applyFont="1" applyFill="1" applyBorder="1" applyProtection="1"/>
    <xf numFmtId="0" fontId="8" fillId="0" borderId="0" xfId="7" applyFont="1" applyFill="1" applyAlignment="1">
      <alignment horizontal="right" indent="7"/>
    </xf>
    <xf numFmtId="37" fontId="8" fillId="0" borderId="0" xfId="7" applyNumberFormat="1" applyFont="1" applyFill="1" applyProtection="1">
      <protection locked="0"/>
    </xf>
    <xf numFmtId="168" fontId="8" fillId="0" borderId="0" xfId="7" applyNumberFormat="1" applyFont="1" applyFill="1" applyProtection="1"/>
    <xf numFmtId="0" fontId="8" fillId="0" borderId="0" xfId="7" applyFont="1" applyFill="1" applyAlignment="1">
      <alignment horizontal="right" indent="3"/>
    </xf>
    <xf numFmtId="41" fontId="20" fillId="0" borderId="6" xfId="7" applyNumberFormat="1" applyFont="1" applyFill="1" applyBorder="1" applyProtection="1"/>
    <xf numFmtId="0" fontId="8" fillId="0" borderId="0" xfId="7" applyFont="1"/>
    <xf numFmtId="171" fontId="8" fillId="0" borderId="0" xfId="4" applyNumberFormat="1" applyFont="1" applyFill="1"/>
    <xf numFmtId="172" fontId="8" fillId="0" borderId="0" xfId="5" applyNumberFormat="1" applyFont="1" applyFill="1"/>
    <xf numFmtId="165" fontId="8" fillId="0" borderId="0" xfId="9" applyNumberFormat="1" applyFont="1" applyFill="1" applyProtection="1"/>
    <xf numFmtId="41" fontId="8" fillId="0" borderId="0" xfId="7" applyNumberFormat="1" applyFont="1" applyFill="1" applyProtection="1">
      <protection locked="0"/>
    </xf>
    <xf numFmtId="171" fontId="8" fillId="0" borderId="0" xfId="7" applyNumberFormat="1" applyFont="1" applyFill="1" applyProtection="1">
      <protection locked="0"/>
    </xf>
    <xf numFmtId="0" fontId="26" fillId="0" borderId="0" xfId="7" applyFont="1" applyFill="1" applyAlignment="1">
      <alignment horizontal="left"/>
    </xf>
    <xf numFmtId="41" fontId="20" fillId="0" borderId="0" xfId="7" applyNumberFormat="1" applyFont="1" applyFill="1" applyProtection="1">
      <protection locked="0"/>
    </xf>
    <xf numFmtId="0" fontId="8" fillId="0" borderId="0" xfId="7" applyFont="1" applyFill="1" applyAlignment="1">
      <alignment horizontal="left"/>
    </xf>
    <xf numFmtId="172" fontId="20" fillId="0" borderId="0" xfId="5" applyNumberFormat="1" applyFont="1" applyFill="1" applyAlignment="1">
      <alignment horizontal="center"/>
    </xf>
    <xf numFmtId="0" fontId="8" fillId="0" borderId="0" xfId="7" applyFont="1" applyFill="1" applyAlignment="1">
      <alignment vertical="center"/>
    </xf>
    <xf numFmtId="37" fontId="8" fillId="0" borderId="0" xfId="7" applyNumberFormat="1" applyFont="1" applyFill="1" applyAlignment="1" applyProtection="1">
      <alignment vertical="center"/>
    </xf>
    <xf numFmtId="0" fontId="8" fillId="0" borderId="0" xfId="7" applyFont="1" applyFill="1" applyAlignment="1">
      <alignment horizontal="right" indent="2"/>
    </xf>
    <xf numFmtId="41" fontId="8" fillId="0" borderId="0" xfId="7" applyNumberFormat="1" applyFont="1" applyFill="1" applyBorder="1" applyProtection="1">
      <protection locked="0"/>
    </xf>
    <xf numFmtId="41" fontId="29" fillId="0" borderId="0" xfId="7" applyNumberFormat="1" applyFont="1" applyFill="1" applyProtection="1"/>
    <xf numFmtId="0" fontId="8" fillId="0" borderId="0" xfId="7" applyFont="1" applyFill="1" applyAlignment="1">
      <alignment horizontal="right" indent="10"/>
    </xf>
    <xf numFmtId="0" fontId="8" fillId="0" borderId="0" xfId="7" applyFont="1" applyFill="1" applyAlignment="1">
      <alignment horizontal="left" indent="1"/>
    </xf>
    <xf numFmtId="165" fontId="20" fillId="0" borderId="6" xfId="9" applyNumberFormat="1" applyFont="1" applyFill="1" applyBorder="1" applyProtection="1"/>
    <xf numFmtId="37" fontId="30" fillId="0" borderId="0" xfId="7" applyNumberFormat="1" applyFont="1" applyFill="1" applyProtection="1"/>
    <xf numFmtId="37" fontId="8" fillId="0" borderId="0" xfId="7" applyNumberFormat="1" applyFont="1" applyFill="1"/>
    <xf numFmtId="171" fontId="21" fillId="0" borderId="0" xfId="4" applyNumberFormat="1" applyFont="1" applyFill="1"/>
    <xf numFmtId="10" fontId="8" fillId="0" borderId="0" xfId="1" applyNumberFormat="1" applyFont="1" applyFill="1" applyProtection="1"/>
    <xf numFmtId="165" fontId="8" fillId="0" borderId="0" xfId="7" applyNumberFormat="1" applyFont="1" applyFill="1"/>
    <xf numFmtId="0" fontId="8" fillId="0" borderId="0" xfId="7" applyFont="1" applyFill="1" applyAlignment="1"/>
    <xf numFmtId="0" fontId="8" fillId="0" borderId="0" xfId="7" quotePrefix="1" applyFont="1" applyFill="1" applyAlignment="1">
      <alignment horizontal="right"/>
    </xf>
    <xf numFmtId="37" fontId="6" fillId="0" borderId="0" xfId="2" applyNumberFormat="1" applyFont="1" applyFill="1" applyAlignment="1" applyProtection="1">
      <alignment horizontal="center"/>
    </xf>
    <xf numFmtId="37" fontId="2" fillId="0" borderId="0" xfId="2" quotePrefix="1" applyFont="1" applyBorder="1" applyAlignment="1">
      <alignment horizontal="center"/>
    </xf>
    <xf numFmtId="0" fontId="8" fillId="0" borderId="0" xfId="7" applyFont="1" applyFill="1" applyAlignment="1">
      <alignment horizontal="center"/>
    </xf>
    <xf numFmtId="0" fontId="8" fillId="0" borderId="0" xfId="7" applyFont="1" applyFill="1" applyAlignment="1">
      <alignment horizontal="left"/>
    </xf>
    <xf numFmtId="0" fontId="20" fillId="0" borderId="0" xfId="7" applyFont="1" applyFill="1" applyAlignment="1">
      <alignment horizontal="right"/>
    </xf>
    <xf numFmtId="0" fontId="22" fillId="0" borderId="0" xfId="7" applyFont="1" applyFill="1" applyAlignment="1" applyProtection="1">
      <alignment horizontal="center"/>
    </xf>
    <xf numFmtId="0" fontId="23" fillId="0" borderId="0" xfId="7" applyFont="1" applyFill="1" applyAlignment="1">
      <alignment horizontal="center"/>
    </xf>
    <xf numFmtId="0" fontId="20" fillId="0" borderId="0" xfId="8" applyFont="1" applyAlignment="1" applyProtection="1">
      <alignment horizontal="center"/>
      <protection locked="0"/>
    </xf>
    <xf numFmtId="0" fontId="20" fillId="0" borderId="0" xfId="7" applyFont="1" applyFill="1" applyAlignment="1">
      <alignment horizontal="center"/>
    </xf>
    <xf numFmtId="37" fontId="20" fillId="0" borderId="0" xfId="7" applyNumberFormat="1" applyFont="1" applyFill="1" applyAlignment="1" applyProtection="1">
      <alignment horizontal="center"/>
    </xf>
    <xf numFmtId="0" fontId="20" fillId="0" borderId="0" xfId="7" applyFont="1" applyFill="1" applyAlignment="1" applyProtection="1">
      <alignment horizontal="center"/>
    </xf>
    <xf numFmtId="0" fontId="22" fillId="0" borderId="0" xfId="7" applyFont="1" applyFill="1" applyAlignment="1">
      <alignment horizontal="left"/>
    </xf>
  </cellXfs>
  <cellStyles count="11">
    <cellStyle name="Comma 2" xfId="4"/>
    <cellStyle name="Comma 3" xfId="10"/>
    <cellStyle name="Currency 2" xfId="3"/>
    <cellStyle name="Currency 3" xfId="9"/>
    <cellStyle name="Normal" xfId="0" builtinId="0"/>
    <cellStyle name="Normal 2" xfId="2"/>
    <cellStyle name="Normal 2 2" xfId="7"/>
    <cellStyle name="Normal 3" xfId="8"/>
    <cellStyle name="Normal_'Weather Adj FY96 Kansas" xfId="6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Requirements/Mid-States/VIRGINIA/2015%20AIF%20Rate%20Case/CWC/Other%20Files/Sch%2027%20%2028%20(Lead%20Lag%20%20B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CASE/98/Cash%20Working%20Capital/Filing/CAP%20vs.%20R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ratebase/Cash%20Working%20Capital%20-%2012-31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-KS%20Div%20Rate%20Case/Colorado/2017%20Rate%20Case/CWC/Cash%20Working%20Capital%20-%20Colorado%20TYE%20Mar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hiting/Documents/CWC/Sch%2027%20%2028%20(Lead%20Lag%20%20BS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TN%20Case/2014%20Rate%20Case/CWC/Cash%20Working%20Capit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rate/CMD/ratecase/1995/EXH10.WK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%20-%20TN%20Case/2007%20TN%20CASE/Pre-File%20Testimony/Petersen/THP%20TN%20Lead%20Lag%20Stu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Input"/>
      <sheetName val="Juris Alloc Factors"/>
      <sheetName val="LVTS Alloc Factors"/>
      <sheetName val="Sched 27, Contents Sh 1"/>
      <sheetName val="Sched 27 cwc (Total Co) sh 2"/>
      <sheetName val="Adjustments for Bill Reserve"/>
      <sheetName val="Sched 27 cwc (LVTS) sh 2a"/>
      <sheetName val="Sch 27 cwc (Juris) sh 2b"/>
      <sheetName val="Sched 28(BS) Contents sh 1 of 4"/>
      <sheetName val="Sched 28(BS) LVTS sh 2 of 4"/>
      <sheetName val="Sched 28(BS) Juris sh 3 of 4"/>
      <sheetName val="Sched 28(BS) Detail sh 4 of 4"/>
      <sheetName val="Acct. Payable 107 @12-31-13"/>
      <sheetName val="Accr. Payroll CWIP"/>
      <sheetName val="Sh 3 - revlag"/>
      <sheetName val="Sh 3a - coll-lag"/>
      <sheetName val="Sh 3b - ARsumm"/>
      <sheetName val="Sh 3c - bill lag"/>
      <sheetName val="(Workpaper) 3c bill lag GTS"/>
      <sheetName val="(Workpaper) 3c bill lag GMB"/>
      <sheetName val="Sh 4 - gaspurch"/>
      <sheetName val="Sh 4a - Commodity"/>
      <sheetName val="Sh 4b - Transportation"/>
      <sheetName val="Sh 5 - payroll"/>
      <sheetName val="Sh 5a - bi-pay"/>
      <sheetName val="Sh 5b - month-pay"/>
      <sheetName val="Sh 6 - OPEB "/>
      <sheetName val="Sh 7 - uncoll"/>
      <sheetName val="Sh 8 - otherO&amp;M"/>
      <sheetName val="Sh 9 - Payroll Taxes"/>
      <sheetName val="Sh 9a - FICA"/>
      <sheetName val="Sh 9a Pg 1 fica-bi"/>
      <sheetName val="Sh 9a Pg 2 fica-mo"/>
      <sheetName val="Sh 9b - FUTA"/>
      <sheetName val="Sh 10 - property"/>
      <sheetName val="Sh 11 - Other Taxes"/>
      <sheetName val="Sh 12 - FIT"/>
      <sheetName val="Sh 13 - int.-custdep"/>
      <sheetName val="Sh 14 - int"/>
      <sheetName val="(Backup Sh 14) Money Pool Int."/>
      <sheetName val="Sh 15 - Utility Tax"/>
      <sheetName val="(Backup Sh 15) Utility-Payment"/>
      <sheetName val="Sh 16 - Consumption Tax"/>
      <sheetName val="Sh 17 - NCSC"/>
      <sheetName val="No Longer Not Used - M&amp;S"/>
      <sheetName val="Module1"/>
    </sheetNames>
    <sheetDataSet>
      <sheetData sheetId="0">
        <row r="2">
          <cell r="B2" t="str">
            <v>Atmos Energy Corporation-Virginia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4">
          <cell r="D34"/>
        </row>
        <row r="38">
          <cell r="D38"/>
          <cell r="E38"/>
        </row>
        <row r="43">
          <cell r="C43"/>
          <cell r="D43"/>
          <cell r="E43"/>
        </row>
        <row r="44">
          <cell r="E44"/>
        </row>
        <row r="45">
          <cell r="E45"/>
        </row>
        <row r="46">
          <cell r="C46"/>
          <cell r="D46"/>
          <cell r="E46"/>
        </row>
        <row r="48">
          <cell r="C48" t="str">
            <v>a/c 480-0001-30020</v>
          </cell>
          <cell r="D48" t="str">
            <v>a/c 481-0010-30060</v>
          </cell>
          <cell r="E48" t="str">
            <v>a/c 481-0020-30110</v>
          </cell>
        </row>
        <row r="49">
          <cell r="C49" t="str">
            <v>residential</v>
          </cell>
          <cell r="D49" t="str">
            <v>commercial</v>
          </cell>
          <cell r="E49" t="str">
            <v>industrial</v>
          </cell>
        </row>
        <row r="50">
          <cell r="C50"/>
          <cell r="D50"/>
          <cell r="E50"/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/>
          <cell r="D63"/>
          <cell r="E63"/>
        </row>
        <row r="64">
          <cell r="C64"/>
          <cell r="D64"/>
          <cell r="E64"/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E66"/>
        </row>
        <row r="71">
          <cell r="C71"/>
          <cell r="D71"/>
          <cell r="E71"/>
        </row>
        <row r="72">
          <cell r="C72"/>
          <cell r="D72"/>
          <cell r="E72"/>
        </row>
        <row r="73">
          <cell r="C73"/>
          <cell r="D73"/>
          <cell r="E73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1"/>
      <sheetName val="FS"/>
    </sheetNames>
    <sheetDataSet>
      <sheetData sheetId="0">
        <row r="1">
          <cell r="D1" t="str">
            <v>COLUMBIA GAS OF VIRGINIA</v>
          </cell>
          <cell r="L1" t="str">
            <v>Schedule 11</v>
          </cell>
        </row>
        <row r="2">
          <cell r="D2" t="str">
            <v>CAP VS RATE BASE - RECONCILIATION</v>
          </cell>
          <cell r="L2" t="str">
            <v>Sheet 5 of 5</v>
          </cell>
        </row>
        <row r="3">
          <cell r="D3" t="str">
            <v>TME DECEMBER 31, 1997</v>
          </cell>
        </row>
        <row r="4">
          <cell r="J4" t="str">
            <v>Sched 13,Col 2</v>
          </cell>
          <cell r="L4" t="str">
            <v>Sched 13,Col 3</v>
          </cell>
        </row>
        <row r="5">
          <cell r="D5" t="str">
            <v>Rate</v>
          </cell>
          <cell r="F5" t="str">
            <v>Sched 13,Col 1</v>
          </cell>
          <cell r="J5" t="str">
            <v>Less:</v>
          </cell>
          <cell r="L5" t="str">
            <v>Va-Juris</v>
          </cell>
        </row>
        <row r="6">
          <cell r="A6" t="str">
            <v>LN</v>
          </cell>
          <cell r="C6" t="str">
            <v>Per Books</v>
          </cell>
          <cell r="D6" t="str">
            <v>Making</v>
          </cell>
          <cell r="F6" t="str">
            <v>Adjusted</v>
          </cell>
          <cell r="G6" t="str">
            <v>Regulatory</v>
          </cell>
          <cell r="H6" t="str">
            <v>Regulatory</v>
          </cell>
          <cell r="J6" t="str">
            <v>Non-Juris</v>
          </cell>
          <cell r="L6" t="str">
            <v>Regulatory</v>
          </cell>
        </row>
        <row r="7">
          <cell r="A7" t="str">
            <v>NO</v>
          </cell>
          <cell r="B7" t="str">
            <v>Account Title</v>
          </cell>
          <cell r="C7" t="str">
            <v>@ DEC 1997</v>
          </cell>
          <cell r="D7" t="str">
            <v>Adj's</v>
          </cell>
          <cell r="F7" t="str">
            <v>Per Books</v>
          </cell>
          <cell r="G7" t="str">
            <v>Adj's</v>
          </cell>
          <cell r="H7" t="str">
            <v>Per Books</v>
          </cell>
          <cell r="J7" t="str">
            <v>Buisness</v>
          </cell>
          <cell r="L7" t="str">
            <v>Buisness</v>
          </cell>
        </row>
        <row r="8">
          <cell r="C8" t="str">
            <v>$</v>
          </cell>
          <cell r="D8" t="str">
            <v>$</v>
          </cell>
          <cell r="F8" t="str">
            <v>$</v>
          </cell>
          <cell r="G8" t="str">
            <v>$</v>
          </cell>
          <cell r="H8" t="str">
            <v>$</v>
          </cell>
          <cell r="J8" t="str">
            <v>$</v>
          </cell>
          <cell r="L8" t="str">
            <v>$</v>
          </cell>
        </row>
        <row r="9">
          <cell r="C9" t="str">
            <v>(1)</v>
          </cell>
          <cell r="D9" t="str">
            <v>(2)</v>
          </cell>
          <cell r="F9" t="str">
            <v>(3=1+2)</v>
          </cell>
          <cell r="G9" t="str">
            <v>(4)</v>
          </cell>
          <cell r="H9" t="str">
            <v>(5=3+4)</v>
          </cell>
          <cell r="J9" t="str">
            <v>(6)</v>
          </cell>
          <cell r="L9" t="str">
            <v>(7=5-6)</v>
          </cell>
        </row>
        <row r="10">
          <cell r="B10" t="str">
            <v>APPLICATIONS:</v>
          </cell>
        </row>
        <row r="11">
          <cell r="A11">
            <v>1</v>
          </cell>
          <cell r="B11" t="str">
            <v>Cash and Working Funds</v>
          </cell>
          <cell r="C11">
            <v>2192381</v>
          </cell>
          <cell r="D11">
            <v>-1695686.0200000005</v>
          </cell>
          <cell r="E11" t="str">
            <v>1/</v>
          </cell>
          <cell r="F11">
            <v>496694.97999999952</v>
          </cell>
          <cell r="H11">
            <v>496694.97999999952</v>
          </cell>
          <cell r="J11">
            <v>235893</v>
          </cell>
          <cell r="K11" t="str">
            <v>a/</v>
          </cell>
          <cell r="L11">
            <v>732587.97999999952</v>
          </cell>
        </row>
        <row r="12">
          <cell r="A12">
            <v>2</v>
          </cell>
          <cell r="B12" t="str">
            <v>Accts &amp; Notes Rec.(Net)</v>
          </cell>
          <cell r="C12">
            <v>36081807</v>
          </cell>
          <cell r="F12">
            <v>36081807</v>
          </cell>
          <cell r="H12">
            <v>36081807</v>
          </cell>
          <cell r="L12">
            <v>36081807</v>
          </cell>
        </row>
        <row r="13">
          <cell r="A13">
            <v>3</v>
          </cell>
          <cell r="B13" t="str">
            <v>Accts. Rec. - Assoc. Co.</v>
          </cell>
          <cell r="C13">
            <v>-24442</v>
          </cell>
          <cell r="F13">
            <v>-24442</v>
          </cell>
          <cell r="H13">
            <v>-24442</v>
          </cell>
          <cell r="L13">
            <v>-24442</v>
          </cell>
        </row>
        <row r="14">
          <cell r="A14">
            <v>4</v>
          </cell>
          <cell r="B14" t="str">
            <v>Stores Expense Undistr.</v>
          </cell>
          <cell r="C14">
            <v>-29</v>
          </cell>
          <cell r="F14">
            <v>-29</v>
          </cell>
          <cell r="H14">
            <v>-29</v>
          </cell>
          <cell r="L14">
            <v>-29</v>
          </cell>
        </row>
        <row r="15">
          <cell r="A15">
            <v>5</v>
          </cell>
          <cell r="B15" t="str">
            <v>Other C/A less:165.5, 165.15</v>
          </cell>
          <cell r="C15">
            <v>2590796</v>
          </cell>
          <cell r="D15">
            <v>1707419</v>
          </cell>
          <cell r="E15" t="str">
            <v>2/</v>
          </cell>
          <cell r="F15">
            <v>4298215</v>
          </cell>
          <cell r="H15">
            <v>4298215</v>
          </cell>
          <cell r="J15">
            <v>583725</v>
          </cell>
          <cell r="K15" t="str">
            <v>b/</v>
          </cell>
          <cell r="L15">
            <v>4881940</v>
          </cell>
        </row>
        <row r="16">
          <cell r="A16">
            <v>6</v>
          </cell>
          <cell r="B16" t="str">
            <v>Deferred Charges (+ 134)</v>
          </cell>
          <cell r="C16">
            <v>14143263</v>
          </cell>
          <cell r="F16">
            <v>14143263</v>
          </cell>
          <cell r="G16">
            <v>4310041</v>
          </cell>
          <cell r="H16">
            <v>18453304</v>
          </cell>
          <cell r="L16">
            <v>18453304</v>
          </cell>
        </row>
        <row r="17">
          <cell r="A17">
            <v>7</v>
          </cell>
          <cell r="B17" t="str">
            <v>End User &amp; Trans. Exch.</v>
          </cell>
          <cell r="C17">
            <v>3812938</v>
          </cell>
          <cell r="D17">
            <v>-3580541</v>
          </cell>
          <cell r="E17" t="str">
            <v>4/</v>
          </cell>
          <cell r="F17">
            <v>232397</v>
          </cell>
          <cell r="H17">
            <v>232397</v>
          </cell>
          <cell r="J17">
            <v>115064</v>
          </cell>
          <cell r="K17" t="str">
            <v>h/</v>
          </cell>
          <cell r="L17">
            <v>347461</v>
          </cell>
        </row>
        <row r="18">
          <cell r="A18">
            <v>8</v>
          </cell>
          <cell r="B18" t="str">
            <v>Money Pool (Net of 234-10)</v>
          </cell>
          <cell r="C18">
            <v>30733045</v>
          </cell>
          <cell r="F18">
            <v>30733045</v>
          </cell>
          <cell r="H18">
            <v>30733045</v>
          </cell>
          <cell r="L18">
            <v>30733045</v>
          </cell>
        </row>
        <row r="19">
          <cell r="A19">
            <v>9</v>
          </cell>
          <cell r="B19" t="str">
            <v>Deferred Income Taxes</v>
          </cell>
          <cell r="C19">
            <v>3784052</v>
          </cell>
          <cell r="D19">
            <v>2932303</v>
          </cell>
          <cell r="E19" t="str">
            <v>3/</v>
          </cell>
          <cell r="F19">
            <v>6716355</v>
          </cell>
          <cell r="G19">
            <v>-1508514</v>
          </cell>
          <cell r="H19">
            <v>5207841</v>
          </cell>
          <cell r="J19">
            <v>99619</v>
          </cell>
          <cell r="K19" t="str">
            <v>g/</v>
          </cell>
          <cell r="L19">
            <v>5307460</v>
          </cell>
        </row>
        <row r="20">
          <cell r="A20">
            <v>10</v>
          </cell>
          <cell r="B20" t="str">
            <v xml:space="preserve">    Total Applications</v>
          </cell>
          <cell r="C20">
            <v>93313811</v>
          </cell>
          <cell r="D20">
            <v>-636505.02000000048</v>
          </cell>
          <cell r="F20">
            <v>92677305.979999989</v>
          </cell>
          <cell r="G20">
            <v>2801527</v>
          </cell>
          <cell r="H20">
            <v>95478832.979999989</v>
          </cell>
          <cell r="J20">
            <v>1034301</v>
          </cell>
          <cell r="L20">
            <v>96513133.979999989</v>
          </cell>
        </row>
        <row r="21">
          <cell r="A21">
            <v>11</v>
          </cell>
        </row>
        <row r="22">
          <cell r="A22">
            <v>12</v>
          </cell>
          <cell r="B22" t="str">
            <v>SOURCES:</v>
          </cell>
        </row>
        <row r="23">
          <cell r="A23">
            <v>13</v>
          </cell>
          <cell r="B23" t="str">
            <v>Accounts Payable</v>
          </cell>
          <cell r="C23">
            <v>-14604284</v>
          </cell>
          <cell r="F23">
            <v>-14604284</v>
          </cell>
          <cell r="H23">
            <v>-14604284</v>
          </cell>
          <cell r="L23">
            <v>-14604284</v>
          </cell>
        </row>
        <row r="24">
          <cell r="A24">
            <v>14</v>
          </cell>
          <cell r="B24" t="str">
            <v>Accts Payable-Assoc. Co.</v>
          </cell>
          <cell r="C24">
            <v>-49820898</v>
          </cell>
          <cell r="F24">
            <v>-49820898</v>
          </cell>
          <cell r="H24">
            <v>-49820898</v>
          </cell>
          <cell r="L24">
            <v>-49820898</v>
          </cell>
        </row>
        <row r="25">
          <cell r="A25">
            <v>15</v>
          </cell>
          <cell r="B25" t="str">
            <v>Accrued Taxes &amp; Interest</v>
          </cell>
          <cell r="C25">
            <v>-2470384</v>
          </cell>
          <cell r="F25">
            <v>-2470384</v>
          </cell>
          <cell r="H25">
            <v>-2470384</v>
          </cell>
          <cell r="L25">
            <v>-2470384</v>
          </cell>
        </row>
        <row r="26">
          <cell r="A26">
            <v>16</v>
          </cell>
          <cell r="B26" t="str">
            <v>Other C/L (exc.235)</v>
          </cell>
          <cell r="C26">
            <v>-13397905</v>
          </cell>
          <cell r="D26">
            <v>1653805</v>
          </cell>
          <cell r="E26" t="str">
            <v>5/</v>
          </cell>
          <cell r="F26">
            <v>-11744100</v>
          </cell>
          <cell r="H26">
            <v>-11744100</v>
          </cell>
          <cell r="J26">
            <v>-72252</v>
          </cell>
          <cell r="K26" t="str">
            <v>d/</v>
          </cell>
          <cell r="L26">
            <v>-11816352</v>
          </cell>
        </row>
        <row r="27">
          <cell r="A27">
            <v>17</v>
          </cell>
          <cell r="B27" t="str">
            <v>Other Deferred Credits</v>
          </cell>
          <cell r="C27">
            <v>-5486315</v>
          </cell>
          <cell r="F27">
            <v>-5486315</v>
          </cell>
          <cell r="H27">
            <v>-5486315</v>
          </cell>
          <cell r="J27">
            <v>-22051</v>
          </cell>
          <cell r="K27" t="str">
            <v>e/</v>
          </cell>
          <cell r="L27">
            <v>-5508366</v>
          </cell>
        </row>
        <row r="28">
          <cell r="A28">
            <v>18</v>
          </cell>
          <cell r="B28" t="str">
            <v>Def. ITC (Yrs. 1971-86)</v>
          </cell>
          <cell r="C28">
            <v>-2804318</v>
          </cell>
          <cell r="F28">
            <v>-2804318</v>
          </cell>
          <cell r="H28">
            <v>-2804318</v>
          </cell>
          <cell r="J28">
            <v>2804318</v>
          </cell>
          <cell r="K28" t="str">
            <v>*</v>
          </cell>
          <cell r="L28">
            <v>0</v>
          </cell>
        </row>
        <row r="29">
          <cell r="A29">
            <v>19</v>
          </cell>
          <cell r="B29" t="str">
            <v>Other Non-Curr Liabilities</v>
          </cell>
          <cell r="C29">
            <v>-1009497</v>
          </cell>
          <cell r="F29">
            <v>-1009497</v>
          </cell>
          <cell r="H29">
            <v>-1009497</v>
          </cell>
          <cell r="J29">
            <v>-224148</v>
          </cell>
          <cell r="K29" t="str">
            <v>c/</v>
          </cell>
          <cell r="L29">
            <v>-1233645</v>
          </cell>
        </row>
        <row r="30">
          <cell r="A30">
            <v>20</v>
          </cell>
          <cell r="B30" t="str">
            <v>Regulatory Liabilities LT</v>
          </cell>
          <cell r="C30">
            <v>-1459271</v>
          </cell>
          <cell r="F30">
            <v>-1459271</v>
          </cell>
          <cell r="H30">
            <v>-1459271</v>
          </cell>
          <cell r="L30">
            <v>-1459271</v>
          </cell>
        </row>
        <row r="31">
          <cell r="A31">
            <v>21</v>
          </cell>
          <cell r="B31" t="str">
            <v xml:space="preserve">Deferred I.T </v>
          </cell>
          <cell r="C31">
            <v>-3906174</v>
          </cell>
          <cell r="D31">
            <v>227314</v>
          </cell>
          <cell r="E31" t="str">
            <v>6/</v>
          </cell>
          <cell r="F31">
            <v>-3678860</v>
          </cell>
          <cell r="H31">
            <v>-3678860</v>
          </cell>
          <cell r="J31">
            <v>-839628</v>
          </cell>
          <cell r="K31" t="str">
            <v>f/</v>
          </cell>
          <cell r="L31">
            <v>-4518488</v>
          </cell>
        </row>
        <row r="32">
          <cell r="A32">
            <v>22</v>
          </cell>
          <cell r="B32" t="str">
            <v xml:space="preserve">  Total Sources</v>
          </cell>
          <cell r="C32">
            <v>-94959046</v>
          </cell>
          <cell r="D32">
            <v>1881119</v>
          </cell>
          <cell r="F32">
            <v>-93077927</v>
          </cell>
          <cell r="H32">
            <v>-93077927</v>
          </cell>
          <cell r="J32">
            <v>1646239</v>
          </cell>
          <cell r="L32">
            <v>-91431688</v>
          </cell>
        </row>
        <row r="33">
          <cell r="A33">
            <v>23</v>
          </cell>
        </row>
        <row r="34">
          <cell r="A34">
            <v>24</v>
          </cell>
          <cell r="B34" t="str">
            <v xml:space="preserve">  Total Working Capital</v>
          </cell>
          <cell r="C34">
            <v>1645235</v>
          </cell>
          <cell r="D34">
            <v>-1244613.9799999995</v>
          </cell>
          <cell r="E34" t="str">
            <v xml:space="preserve"> </v>
          </cell>
          <cell r="F34">
            <v>400621.02000001073</v>
          </cell>
          <cell r="G34">
            <v>-2801527</v>
          </cell>
          <cell r="H34">
            <v>-2400905.9799999893</v>
          </cell>
          <cell r="I34">
            <v>0</v>
          </cell>
          <cell r="J34">
            <v>-2680540</v>
          </cell>
          <cell r="K34" t="str">
            <v xml:space="preserve"> </v>
          </cell>
          <cell r="L34">
            <v>-5081445.9799999893</v>
          </cell>
        </row>
        <row r="35">
          <cell r="A35">
            <v>25</v>
          </cell>
        </row>
        <row r="36">
          <cell r="A36">
            <v>26</v>
          </cell>
          <cell r="B36" t="str">
            <v>Common Equity</v>
          </cell>
          <cell r="C36">
            <v>141794642</v>
          </cell>
          <cell r="D36">
            <v>42869</v>
          </cell>
          <cell r="E36" t="str">
            <v>7/</v>
          </cell>
          <cell r="F36">
            <v>141837511</v>
          </cell>
          <cell r="G36">
            <v>2801527</v>
          </cell>
          <cell r="H36">
            <v>144639038</v>
          </cell>
          <cell r="J36">
            <v>2804318</v>
          </cell>
          <cell r="K36" t="str">
            <v>*</v>
          </cell>
          <cell r="L36">
            <v>147443356</v>
          </cell>
        </row>
        <row r="37">
          <cell r="A37">
            <v>27</v>
          </cell>
          <cell r="B37" t="str">
            <v>L-T Debt Including CM</v>
          </cell>
          <cell r="C37">
            <v>117577018</v>
          </cell>
          <cell r="F37">
            <v>117577018</v>
          </cell>
          <cell r="H37">
            <v>117577018</v>
          </cell>
          <cell r="J37">
            <v>-9882143</v>
          </cell>
          <cell r="K37" t="str">
            <v>i/</v>
          </cell>
          <cell r="L37">
            <v>107694875</v>
          </cell>
        </row>
        <row r="38">
          <cell r="A38">
            <v>28</v>
          </cell>
          <cell r="B38" t="str">
            <v>Short-Term Debt</v>
          </cell>
          <cell r="C38">
            <v>0</v>
          </cell>
          <cell r="F38">
            <v>0</v>
          </cell>
          <cell r="H38">
            <v>0</v>
          </cell>
          <cell r="L38">
            <v>0</v>
          </cell>
        </row>
        <row r="39">
          <cell r="A39">
            <v>29</v>
          </cell>
          <cell r="B39" t="str">
            <v xml:space="preserve">  Total Capital Employed</v>
          </cell>
          <cell r="C39">
            <v>259371660</v>
          </cell>
          <cell r="D39">
            <v>42869</v>
          </cell>
          <cell r="E39" t="str">
            <v xml:space="preserve"> </v>
          </cell>
          <cell r="F39">
            <v>259414529</v>
          </cell>
          <cell r="G39">
            <v>2801527</v>
          </cell>
          <cell r="H39">
            <v>262216056</v>
          </cell>
          <cell r="J39">
            <v>-7077825</v>
          </cell>
          <cell r="L39">
            <v>255138231</v>
          </cell>
        </row>
        <row r="40">
          <cell r="A40">
            <v>30</v>
          </cell>
          <cell r="B40" t="str">
            <v xml:space="preserve">  NET RATE BASE</v>
          </cell>
          <cell r="C40">
            <v>261016895</v>
          </cell>
          <cell r="D40">
            <v>-1201744.9799999995</v>
          </cell>
          <cell r="F40">
            <v>259815150.02000001</v>
          </cell>
          <cell r="G40">
            <v>0</v>
          </cell>
          <cell r="H40">
            <v>259815150.02000001</v>
          </cell>
          <cell r="J40">
            <v>-9758365</v>
          </cell>
          <cell r="L40">
            <v>250056785.02000001</v>
          </cell>
        </row>
        <row r="41">
          <cell r="A41">
            <v>31</v>
          </cell>
          <cell r="G41" t="str">
            <v xml:space="preserve"> </v>
          </cell>
        </row>
        <row r="42">
          <cell r="A42">
            <v>32</v>
          </cell>
          <cell r="B42" t="str">
            <v>RATE BASE PER BOOKS:</v>
          </cell>
        </row>
        <row r="43">
          <cell r="A43">
            <v>33</v>
          </cell>
          <cell r="B43" t="str">
            <v>Cash</v>
          </cell>
          <cell r="C43">
            <v>0</v>
          </cell>
          <cell r="D43">
            <v>1695686.0200000005</v>
          </cell>
          <cell r="E43" t="str">
            <v>1/</v>
          </cell>
          <cell r="F43">
            <v>1695686.0200000005</v>
          </cell>
          <cell r="H43">
            <v>1695686.0200000005</v>
          </cell>
          <cell r="J43">
            <v>-235893</v>
          </cell>
          <cell r="K43" t="str">
            <v>a/</v>
          </cell>
          <cell r="L43">
            <v>1459793.0200000005</v>
          </cell>
        </row>
        <row r="44">
          <cell r="A44">
            <v>34</v>
          </cell>
          <cell r="B44" t="str">
            <v xml:space="preserve">PP&amp;E </v>
          </cell>
          <cell r="C44">
            <v>349962536</v>
          </cell>
          <cell r="D44">
            <v>-2082425</v>
          </cell>
          <cell r="E44" t="str">
            <v>5/</v>
          </cell>
          <cell r="F44">
            <v>347880111</v>
          </cell>
          <cell r="H44">
            <v>347880111</v>
          </cell>
          <cell r="J44">
            <v>-12697877</v>
          </cell>
          <cell r="K44" t="str">
            <v>i/</v>
          </cell>
          <cell r="L44">
            <v>335182234</v>
          </cell>
        </row>
        <row r="45">
          <cell r="A45">
            <v>35</v>
          </cell>
          <cell r="B45" t="str">
            <v>Reserve for Depr (Cr)</v>
          </cell>
          <cell r="C45">
            <v>-75781684</v>
          </cell>
          <cell r="D45">
            <v>42869</v>
          </cell>
          <cell r="E45" t="str">
            <v>7/</v>
          </cell>
          <cell r="F45">
            <v>-75738815</v>
          </cell>
          <cell r="H45">
            <v>-75738815</v>
          </cell>
          <cell r="J45">
            <v>2815734</v>
          </cell>
          <cell r="K45" t="str">
            <v>i/</v>
          </cell>
          <cell r="L45">
            <v>-72923081</v>
          </cell>
        </row>
        <row r="46">
          <cell r="A46">
            <v>36</v>
          </cell>
          <cell r="B46" t="str">
            <v>Fuel Stock</v>
          </cell>
          <cell r="C46">
            <v>520183</v>
          </cell>
          <cell r="D46">
            <v>13715</v>
          </cell>
          <cell r="E46" t="str">
            <v>2/</v>
          </cell>
          <cell r="F46">
            <v>533898</v>
          </cell>
          <cell r="H46">
            <v>533898</v>
          </cell>
          <cell r="J46">
            <v>-24746</v>
          </cell>
          <cell r="K46" t="str">
            <v>b/</v>
          </cell>
          <cell r="L46">
            <v>509152</v>
          </cell>
        </row>
        <row r="47">
          <cell r="A47">
            <v>37</v>
          </cell>
          <cell r="B47" t="str">
            <v>Gas Stored Underground</v>
          </cell>
          <cell r="C47">
            <v>12708022</v>
          </cell>
          <cell r="D47">
            <v>-1246821</v>
          </cell>
          <cell r="E47" t="str">
            <v>2/</v>
          </cell>
          <cell r="F47">
            <v>11461201</v>
          </cell>
          <cell r="H47">
            <v>11461201</v>
          </cell>
          <cell r="J47">
            <v>-531227</v>
          </cell>
          <cell r="K47" t="str">
            <v>b/</v>
          </cell>
          <cell r="L47">
            <v>10929974</v>
          </cell>
        </row>
        <row r="48">
          <cell r="A48">
            <v>38</v>
          </cell>
          <cell r="B48" t="str">
            <v>Prepaid Gas</v>
          </cell>
          <cell r="C48">
            <v>0</v>
          </cell>
          <cell r="D48" t="str">
            <v xml:space="preserve"> </v>
          </cell>
          <cell r="E48" t="str">
            <v xml:space="preserve"> </v>
          </cell>
          <cell r="F48">
            <v>0</v>
          </cell>
          <cell r="H48">
            <v>0</v>
          </cell>
          <cell r="J48">
            <v>0</v>
          </cell>
          <cell r="K48" t="str">
            <v>b/</v>
          </cell>
          <cell r="L48">
            <v>0</v>
          </cell>
        </row>
        <row r="49">
          <cell r="A49">
            <v>39</v>
          </cell>
          <cell r="B49" t="str">
            <v>LNG Storage</v>
          </cell>
          <cell r="C49">
            <v>1073066</v>
          </cell>
          <cell r="D49">
            <v>-474313</v>
          </cell>
          <cell r="E49" t="str">
            <v>2/</v>
          </cell>
          <cell r="F49">
            <v>598753</v>
          </cell>
          <cell r="H49">
            <v>598753</v>
          </cell>
          <cell r="J49">
            <v>-27752</v>
          </cell>
          <cell r="K49" t="str">
            <v>b/</v>
          </cell>
          <cell r="L49">
            <v>571001</v>
          </cell>
        </row>
        <row r="50">
          <cell r="A50">
            <v>40</v>
          </cell>
          <cell r="B50" t="str">
            <v>Gas Plant Held for Future Use</v>
          </cell>
          <cell r="C50">
            <v>11113</v>
          </cell>
          <cell r="D50">
            <v>-11113</v>
          </cell>
          <cell r="E50" t="str">
            <v>5/</v>
          </cell>
          <cell r="F50">
            <v>0</v>
          </cell>
          <cell r="H50">
            <v>0</v>
          </cell>
          <cell r="J50">
            <v>0</v>
          </cell>
          <cell r="K50" t="str">
            <v xml:space="preserve"> </v>
          </cell>
          <cell r="L50">
            <v>0</v>
          </cell>
        </row>
        <row r="51">
          <cell r="A51">
            <v>41</v>
          </cell>
          <cell r="B51" t="str">
            <v>Accum Def Inc Tax</v>
          </cell>
          <cell r="C51">
            <v>5661599</v>
          </cell>
          <cell r="D51">
            <v>-2932303</v>
          </cell>
          <cell r="E51" t="str">
            <v>3/</v>
          </cell>
          <cell r="F51">
            <v>2729296</v>
          </cell>
          <cell r="H51">
            <v>2729296</v>
          </cell>
          <cell r="J51">
            <v>-99619</v>
          </cell>
          <cell r="K51" t="str">
            <v>g/</v>
          </cell>
          <cell r="L51">
            <v>2629677</v>
          </cell>
        </row>
        <row r="52">
          <cell r="A52">
            <v>42</v>
          </cell>
          <cell r="B52" t="str">
            <v>Unrecovered Purch Gas</v>
          </cell>
          <cell r="C52">
            <v>-428102</v>
          </cell>
          <cell r="D52">
            <v>3580541</v>
          </cell>
          <cell r="E52" t="str">
            <v>4/</v>
          </cell>
          <cell r="F52">
            <v>3152439</v>
          </cell>
          <cell r="H52">
            <v>3152439</v>
          </cell>
          <cell r="J52">
            <v>-115064</v>
          </cell>
          <cell r="K52" t="str">
            <v>h/</v>
          </cell>
          <cell r="L52">
            <v>3037375</v>
          </cell>
        </row>
        <row r="53">
          <cell r="A53">
            <v>43</v>
          </cell>
          <cell r="B53" t="str">
            <v>Cust Advances for Constr.</v>
          </cell>
          <cell r="C53">
            <v>-6132709</v>
          </cell>
          <cell r="D53">
            <v>0</v>
          </cell>
          <cell r="F53">
            <v>-6132709</v>
          </cell>
          <cell r="H53">
            <v>-6132709</v>
          </cell>
          <cell r="J53">
            <v>223783</v>
          </cell>
          <cell r="K53" t="str">
            <v>c/</v>
          </cell>
          <cell r="L53">
            <v>-5908926</v>
          </cell>
        </row>
        <row r="54">
          <cell r="A54">
            <v>44</v>
          </cell>
          <cell r="B54" t="str">
            <v>Accum. Def Inc Tax - Deprec</v>
          </cell>
          <cell r="C54">
            <v>-22514076</v>
          </cell>
          <cell r="D54">
            <v>0</v>
          </cell>
          <cell r="F54">
            <v>-22514076</v>
          </cell>
          <cell r="H54">
            <v>-22514076</v>
          </cell>
          <cell r="J54">
            <v>821764</v>
          </cell>
          <cell r="K54" t="str">
            <v>c/</v>
          </cell>
          <cell r="L54">
            <v>-21692312</v>
          </cell>
        </row>
        <row r="55">
          <cell r="A55">
            <v>45</v>
          </cell>
          <cell r="B55" t="str">
            <v>Accum Def Int Tax - Other</v>
          </cell>
          <cell r="C55">
            <v>-262115</v>
          </cell>
          <cell r="D55">
            <v>-227314</v>
          </cell>
          <cell r="E55" t="str">
            <v>6/</v>
          </cell>
          <cell r="F55">
            <v>-489429</v>
          </cell>
          <cell r="H55">
            <v>-489429</v>
          </cell>
          <cell r="J55">
            <v>17864</v>
          </cell>
          <cell r="K55" t="str">
            <v>f/</v>
          </cell>
          <cell r="L55">
            <v>-471565</v>
          </cell>
        </row>
        <row r="56">
          <cell r="A56">
            <v>46</v>
          </cell>
          <cell r="B56" t="str">
            <v>Customer Deposits</v>
          </cell>
          <cell r="C56">
            <v>-1892923</v>
          </cell>
          <cell r="D56">
            <v>0</v>
          </cell>
          <cell r="F56">
            <v>-1892923</v>
          </cell>
          <cell r="H56">
            <v>-1892923</v>
          </cell>
          <cell r="J56">
            <v>19433</v>
          </cell>
          <cell r="K56" t="str">
            <v>e/</v>
          </cell>
          <cell r="L56">
            <v>-1873490</v>
          </cell>
        </row>
        <row r="57">
          <cell r="A57">
            <v>47</v>
          </cell>
          <cell r="B57" t="str">
            <v>Supplier Refunds</v>
          </cell>
          <cell r="C57">
            <v>-1826268</v>
          </cell>
          <cell r="D57">
            <v>439733</v>
          </cell>
          <cell r="E57" t="str">
            <v>5/</v>
          </cell>
          <cell r="F57">
            <v>-1386535</v>
          </cell>
          <cell r="H57">
            <v>-1386535</v>
          </cell>
          <cell r="J57">
            <v>72252</v>
          </cell>
          <cell r="K57" t="str">
            <v>d/</v>
          </cell>
          <cell r="L57">
            <v>-1314283</v>
          </cell>
        </row>
        <row r="58">
          <cell r="A58">
            <v>48</v>
          </cell>
          <cell r="B58" t="str">
            <v>ITC Pre 1971</v>
          </cell>
          <cell r="C58">
            <v>-10005</v>
          </cell>
          <cell r="D58">
            <v>0</v>
          </cell>
          <cell r="F58">
            <v>-10005</v>
          </cell>
          <cell r="H58">
            <v>-10005</v>
          </cell>
          <cell r="J58">
            <v>365</v>
          </cell>
          <cell r="K58" t="str">
            <v>c/</v>
          </cell>
          <cell r="L58">
            <v>-9640</v>
          </cell>
        </row>
        <row r="59">
          <cell r="A59">
            <v>49</v>
          </cell>
          <cell r="B59" t="str">
            <v xml:space="preserve">Other Def Cr - Moorefield </v>
          </cell>
          <cell r="C59">
            <v>-71742</v>
          </cell>
          <cell r="D59">
            <v>0</v>
          </cell>
          <cell r="F59">
            <v>-71742</v>
          </cell>
          <cell r="H59">
            <v>-71742</v>
          </cell>
          <cell r="J59">
            <v>2618</v>
          </cell>
          <cell r="K59" t="str">
            <v>e/</v>
          </cell>
          <cell r="L59">
            <v>-69124</v>
          </cell>
        </row>
        <row r="60">
          <cell r="A60">
            <v>50</v>
          </cell>
          <cell r="B60" t="str">
            <v>RATE BASE</v>
          </cell>
          <cell r="C60">
            <v>261016895</v>
          </cell>
          <cell r="D60">
            <v>-1201744.9799999995</v>
          </cell>
          <cell r="F60">
            <v>259815150.01999998</v>
          </cell>
          <cell r="G60">
            <v>0</v>
          </cell>
          <cell r="H60">
            <v>259815150.01999998</v>
          </cell>
          <cell r="I60" t="str">
            <v xml:space="preserve"> </v>
          </cell>
          <cell r="J60">
            <v>-9758365</v>
          </cell>
          <cell r="K60" t="str">
            <v xml:space="preserve"> </v>
          </cell>
          <cell r="L60">
            <v>250056785.01999998</v>
          </cell>
        </row>
        <row r="61">
          <cell r="A61" t="str">
            <v xml:space="preserve"> </v>
          </cell>
        </row>
        <row r="62">
          <cell r="A62" t="str">
            <v>1/ Reflects adj for Cash Working Capital</v>
          </cell>
        </row>
        <row r="63">
          <cell r="A63" t="str">
            <v>2/ Adjustment to reflect 13 Month Balances</v>
          </cell>
        </row>
        <row r="64">
          <cell r="A64" t="str">
            <v>3/ Reflects 190 required allowed by Order (See W/P's for Sched 13)</v>
          </cell>
        </row>
        <row r="75">
          <cell r="C75" t="str">
            <v xml:space="preserve"> </v>
          </cell>
        </row>
        <row r="76">
          <cell r="C76" t="str">
            <v xml:space="preserve"> </v>
          </cell>
        </row>
        <row r="77">
          <cell r="C77" t="str">
            <v xml:space="preserve"> </v>
          </cell>
        </row>
      </sheetData>
      <sheetData sheetId="1">
        <row r="1">
          <cell r="A1" t="str">
            <v>ASSETS:</v>
          </cell>
        </row>
        <row r="2">
          <cell r="F2" t="str">
            <v>SOURCE</v>
          </cell>
        </row>
        <row r="3">
          <cell r="A3" t="str">
            <v>ACCT. NO.</v>
          </cell>
          <cell r="B3" t="str">
            <v>AMOUNT</v>
          </cell>
          <cell r="D3" t="str">
            <v>RB</v>
          </cell>
          <cell r="E3" t="str">
            <v>APP</v>
          </cell>
          <cell r="F3" t="str">
            <v>-LT</v>
          </cell>
          <cell r="G3" t="str">
            <v>-ST</v>
          </cell>
        </row>
        <row r="5">
          <cell r="A5" t="str">
            <v>101,104,106,107</v>
          </cell>
          <cell r="B5">
            <v>349962536</v>
          </cell>
          <cell r="D5" t="str">
            <v>X</v>
          </cell>
        </row>
        <row r="6">
          <cell r="A6" t="str">
            <v>121</v>
          </cell>
          <cell r="B6">
            <v>0</v>
          </cell>
          <cell r="D6" t="str">
            <v>X</v>
          </cell>
        </row>
        <row r="7">
          <cell r="A7" t="str">
            <v>108-111</v>
          </cell>
          <cell r="B7">
            <v>-75781684</v>
          </cell>
          <cell r="D7" t="str">
            <v>X</v>
          </cell>
        </row>
        <row r="8">
          <cell r="A8" t="str">
            <v>105</v>
          </cell>
          <cell r="B8">
            <v>11113</v>
          </cell>
          <cell r="C8">
            <v>2203494</v>
          </cell>
          <cell r="E8" t="str">
            <v>X</v>
          </cell>
        </row>
        <row r="9">
          <cell r="A9" t="str">
            <v>131,132,135,136</v>
          </cell>
          <cell r="B9">
            <v>2192381</v>
          </cell>
          <cell r="E9" t="str">
            <v>X</v>
          </cell>
        </row>
        <row r="10">
          <cell r="A10" t="str">
            <v>142,144,173</v>
          </cell>
          <cell r="B10">
            <v>34207379</v>
          </cell>
          <cell r="E10" t="str">
            <v>X</v>
          </cell>
        </row>
        <row r="11">
          <cell r="A11" t="str">
            <v>146</v>
          </cell>
          <cell r="B11">
            <v>-24442</v>
          </cell>
          <cell r="E11" t="str">
            <v>X</v>
          </cell>
        </row>
        <row r="12">
          <cell r="A12">
            <v>146.1</v>
          </cell>
          <cell r="B12">
            <v>30733045</v>
          </cell>
        </row>
        <row r="13">
          <cell r="A13" t="str">
            <v>141</v>
          </cell>
          <cell r="B13">
            <v>49960</v>
          </cell>
          <cell r="C13">
            <v>36081807</v>
          </cell>
          <cell r="E13" t="str">
            <v>X</v>
          </cell>
        </row>
        <row r="14">
          <cell r="A14" t="str">
            <v>143</v>
          </cell>
          <cell r="B14">
            <v>1824490</v>
          </cell>
          <cell r="E14" t="str">
            <v>X</v>
          </cell>
        </row>
        <row r="15">
          <cell r="A15" t="str">
            <v>171+172</v>
          </cell>
          <cell r="B15">
            <v>-22</v>
          </cell>
          <cell r="E15" t="str">
            <v>X</v>
          </cell>
        </row>
        <row r="16">
          <cell r="A16" t="str">
            <v>164</v>
          </cell>
          <cell r="B16">
            <v>12708022</v>
          </cell>
          <cell r="D16" t="str">
            <v>X</v>
          </cell>
        </row>
        <row r="17">
          <cell r="A17" t="str">
            <v>151</v>
          </cell>
          <cell r="B17">
            <v>520183</v>
          </cell>
          <cell r="D17" t="str">
            <v>X</v>
          </cell>
        </row>
        <row r="18">
          <cell r="A18" t="str">
            <v>154</v>
          </cell>
          <cell r="B18">
            <v>-2</v>
          </cell>
          <cell r="D18" t="str">
            <v>X</v>
          </cell>
        </row>
        <row r="19">
          <cell r="A19" t="str">
            <v>163</v>
          </cell>
          <cell r="B19">
            <v>-29</v>
          </cell>
          <cell r="E19" t="str">
            <v>X</v>
          </cell>
        </row>
        <row r="20">
          <cell r="A20" t="str">
            <v>165 TOTAL</v>
          </cell>
          <cell r="B20">
            <v>1263236</v>
          </cell>
          <cell r="C20">
            <v>190170</v>
          </cell>
          <cell r="E20" t="str">
            <v>X</v>
          </cell>
        </row>
        <row r="21">
          <cell r="A21" t="str">
            <v xml:space="preserve">  165.5</v>
          </cell>
          <cell r="B21" t="str">
            <v xml:space="preserve"> </v>
          </cell>
          <cell r="C21">
            <v>0</v>
          </cell>
          <cell r="D21" t="str">
            <v>X</v>
          </cell>
        </row>
        <row r="22">
          <cell r="A22" t="str">
            <v xml:space="preserve">  165.15</v>
          </cell>
          <cell r="B22" t="str">
            <v xml:space="preserve"> </v>
          </cell>
          <cell r="C22">
            <v>1073066</v>
          </cell>
          <cell r="D22" t="str">
            <v>X</v>
          </cell>
        </row>
        <row r="23">
          <cell r="A23" t="str">
            <v>182</v>
          </cell>
          <cell r="B23">
            <v>1947311</v>
          </cell>
          <cell r="D23" t="str">
            <v>X</v>
          </cell>
        </row>
        <row r="24">
          <cell r="A24" t="str">
            <v>174</v>
          </cell>
          <cell r="B24">
            <v>2400626</v>
          </cell>
          <cell r="C24">
            <v>2590796</v>
          </cell>
          <cell r="E24" t="str">
            <v>X</v>
          </cell>
        </row>
        <row r="25">
          <cell r="A25" t="str">
            <v>181</v>
          </cell>
          <cell r="B25">
            <v>25</v>
          </cell>
          <cell r="C25">
            <v>14143263</v>
          </cell>
          <cell r="E25" t="str">
            <v>X</v>
          </cell>
        </row>
        <row r="26">
          <cell r="A26" t="str">
            <v>182</v>
          </cell>
          <cell r="B26">
            <v>9961708</v>
          </cell>
          <cell r="E26" t="str">
            <v>X</v>
          </cell>
        </row>
        <row r="27">
          <cell r="A27" t="str">
            <v>183</v>
          </cell>
          <cell r="B27">
            <v>436756</v>
          </cell>
          <cell r="E27" t="str">
            <v>X</v>
          </cell>
        </row>
        <row r="28">
          <cell r="A28" t="str">
            <v>184</v>
          </cell>
          <cell r="B28">
            <v>9879</v>
          </cell>
          <cell r="E28" t="str">
            <v>X</v>
          </cell>
        </row>
        <row r="29">
          <cell r="A29" t="str">
            <v>186</v>
          </cell>
          <cell r="B29">
            <v>1787580</v>
          </cell>
          <cell r="E29" t="str">
            <v>X</v>
          </cell>
        </row>
        <row r="30">
          <cell r="A30" t="str">
            <v>188</v>
          </cell>
          <cell r="B30">
            <v>4</v>
          </cell>
          <cell r="E30" t="str">
            <v>X</v>
          </cell>
        </row>
        <row r="31">
          <cell r="A31" t="str">
            <v>190 (SPLIT)</v>
          </cell>
          <cell r="B31">
            <v>3784052</v>
          </cell>
          <cell r="C31">
            <v>9445651</v>
          </cell>
          <cell r="E31" t="str">
            <v>X</v>
          </cell>
        </row>
        <row r="32">
          <cell r="B32">
            <v>5661599</v>
          </cell>
          <cell r="D32" t="str">
            <v>X</v>
          </cell>
        </row>
        <row r="33">
          <cell r="A33" t="str">
            <v>191-13600+2</v>
          </cell>
          <cell r="B33">
            <v>8440888</v>
          </cell>
          <cell r="C33">
            <v>3384838</v>
          </cell>
          <cell r="D33" t="str">
            <v>X</v>
          </cell>
        </row>
        <row r="34">
          <cell r="A34" t="str">
            <v>191-13640+3</v>
          </cell>
          <cell r="B34">
            <v>-8868990</v>
          </cell>
          <cell r="E34" t="str">
            <v>X</v>
          </cell>
        </row>
        <row r="35">
          <cell r="A35" t="str">
            <v>191-13620,30</v>
          </cell>
          <cell r="B35">
            <v>3812938</v>
          </cell>
        </row>
        <row r="36">
          <cell r="A36" t="str">
            <v>191-other</v>
          </cell>
          <cell r="B36">
            <v>2</v>
          </cell>
        </row>
        <row r="37">
          <cell r="A37" t="str">
            <v>199</v>
          </cell>
          <cell r="B37">
            <v>0</v>
          </cell>
        </row>
        <row r="38">
          <cell r="A38" t="str">
            <v>134</v>
          </cell>
          <cell r="B38">
            <v>0</v>
          </cell>
          <cell r="E38" t="str">
            <v>X</v>
          </cell>
        </row>
        <row r="39">
          <cell r="A39" t="str">
            <v xml:space="preserve"> </v>
          </cell>
          <cell r="D39" t="str">
            <v xml:space="preserve"> </v>
          </cell>
        </row>
        <row r="40">
          <cell r="B40">
            <v>387040544</v>
          </cell>
        </row>
        <row r="43">
          <cell r="A43" t="str">
            <v>LIABILITIES:</v>
          </cell>
        </row>
        <row r="45">
          <cell r="F45" t="str">
            <v>SOURCE</v>
          </cell>
        </row>
        <row r="46">
          <cell r="A46" t="str">
            <v>ACCT. NO.</v>
          </cell>
          <cell r="B46" t="str">
            <v>AMOUNT</v>
          </cell>
          <cell r="D46" t="str">
            <v>RB</v>
          </cell>
          <cell r="E46" t="str">
            <v>APP</v>
          </cell>
          <cell r="F46" t="str">
            <v>-LT</v>
          </cell>
          <cell r="G46" t="str">
            <v>-ST</v>
          </cell>
        </row>
        <row r="47">
          <cell r="A47" t="str">
            <v>223,224</v>
          </cell>
          <cell r="B47">
            <v>117377016</v>
          </cell>
          <cell r="F47" t="str">
            <v>X</v>
          </cell>
        </row>
        <row r="48">
          <cell r="A48" t="str">
            <v>231</v>
          </cell>
          <cell r="B48">
            <v>200002</v>
          </cell>
          <cell r="F48" t="str">
            <v>X</v>
          </cell>
        </row>
        <row r="49">
          <cell r="A49" t="str">
            <v>233</v>
          </cell>
          <cell r="B49">
            <v>0</v>
          </cell>
          <cell r="C49">
            <v>117577018</v>
          </cell>
          <cell r="F49" t="str">
            <v>X</v>
          </cell>
        </row>
        <row r="50">
          <cell r="A50" t="str">
            <v>232</v>
          </cell>
          <cell r="B50">
            <v>14604284</v>
          </cell>
          <cell r="G50" t="str">
            <v>X</v>
          </cell>
        </row>
        <row r="51">
          <cell r="A51" t="str">
            <v>234</v>
          </cell>
          <cell r="B51">
            <v>49820900</v>
          </cell>
          <cell r="G51" t="str">
            <v>X</v>
          </cell>
        </row>
        <row r="52">
          <cell r="A52" t="str">
            <v>234.3</v>
          </cell>
          <cell r="B52">
            <v>-2</v>
          </cell>
          <cell r="C52">
            <v>49820898</v>
          </cell>
          <cell r="G52" t="str">
            <v>X</v>
          </cell>
        </row>
        <row r="53">
          <cell r="A53" t="str">
            <v>236</v>
          </cell>
          <cell r="B53">
            <v>2240730</v>
          </cell>
          <cell r="G53" t="str">
            <v>X</v>
          </cell>
        </row>
        <row r="54">
          <cell r="A54" t="str">
            <v>237</v>
          </cell>
          <cell r="B54">
            <v>229654</v>
          </cell>
          <cell r="C54">
            <v>2470384</v>
          </cell>
          <cell r="G54" t="str">
            <v>X</v>
          </cell>
        </row>
        <row r="55">
          <cell r="A55" t="str">
            <v>242.22 (1/2)</v>
          </cell>
          <cell r="B55">
            <v>1826268</v>
          </cell>
          <cell r="D55" t="str">
            <v>X</v>
          </cell>
          <cell r="G55" t="str">
            <v xml:space="preserve"> </v>
          </cell>
        </row>
        <row r="56">
          <cell r="A56" t="str">
            <v>282 (1/2)</v>
          </cell>
          <cell r="B56">
            <v>19887</v>
          </cell>
          <cell r="G56" t="str">
            <v>X</v>
          </cell>
        </row>
        <row r="57">
          <cell r="A57" t="str">
            <v>283 (1/2)</v>
          </cell>
          <cell r="B57">
            <v>2953872</v>
          </cell>
          <cell r="C57">
            <v>3906174</v>
          </cell>
          <cell r="G57" t="str">
            <v>X</v>
          </cell>
        </row>
        <row r="58">
          <cell r="A58" t="str">
            <v>235</v>
          </cell>
          <cell r="B58">
            <v>1892923</v>
          </cell>
          <cell r="D58" t="str">
            <v>X</v>
          </cell>
          <cell r="G58" t="str">
            <v xml:space="preserve"> </v>
          </cell>
        </row>
        <row r="59">
          <cell r="A59" t="str">
            <v>238</v>
          </cell>
          <cell r="B59">
            <v>0</v>
          </cell>
          <cell r="C59">
            <v>11315463</v>
          </cell>
          <cell r="G59" t="str">
            <v>X</v>
          </cell>
        </row>
        <row r="60">
          <cell r="A60" t="str">
            <v>241</v>
          </cell>
          <cell r="B60">
            <v>1009546</v>
          </cell>
          <cell r="G60" t="str">
            <v>X</v>
          </cell>
        </row>
        <row r="61">
          <cell r="A61" t="str">
            <v>242 (SPLIT)(2/2)</v>
          </cell>
          <cell r="B61">
            <v>10305917</v>
          </cell>
          <cell r="G61" t="str">
            <v>X</v>
          </cell>
        </row>
        <row r="62">
          <cell r="A62" t="str">
            <v>242.9950</v>
          </cell>
          <cell r="B62">
            <v>2082442</v>
          </cell>
          <cell r="C62">
            <v>12388359</v>
          </cell>
          <cell r="D62" t="str">
            <v>X</v>
          </cell>
          <cell r="G62" t="str">
            <v xml:space="preserve"> </v>
          </cell>
        </row>
        <row r="63">
          <cell r="A63" t="str">
            <v>243</v>
          </cell>
          <cell r="B63">
            <v>0</v>
          </cell>
          <cell r="G63" t="str">
            <v>X</v>
          </cell>
        </row>
        <row r="64">
          <cell r="A64" t="str">
            <v>282 (1/2)</v>
          </cell>
          <cell r="B64">
            <v>275832</v>
          </cell>
          <cell r="C64" t="str">
            <v xml:space="preserve"> </v>
          </cell>
          <cell r="G64" t="str">
            <v>X</v>
          </cell>
        </row>
        <row r="65">
          <cell r="A65" t="str">
            <v>282 (2/2)</v>
          </cell>
          <cell r="B65">
            <v>22514076</v>
          </cell>
          <cell r="C65">
            <v>22789908</v>
          </cell>
          <cell r="D65" t="str">
            <v>X</v>
          </cell>
          <cell r="G65" t="str">
            <v xml:space="preserve"> </v>
          </cell>
        </row>
        <row r="66">
          <cell r="A66" t="str">
            <v>283 (1/2)</v>
          </cell>
          <cell r="B66">
            <v>656583</v>
          </cell>
          <cell r="G66" t="str">
            <v>X</v>
          </cell>
        </row>
        <row r="67">
          <cell r="A67" t="str">
            <v>283 (2/2)</v>
          </cell>
          <cell r="B67">
            <v>262115</v>
          </cell>
          <cell r="C67">
            <v>918698</v>
          </cell>
          <cell r="D67" t="str">
            <v>X</v>
          </cell>
          <cell r="G67" t="str">
            <v xml:space="preserve"> </v>
          </cell>
        </row>
        <row r="68">
          <cell r="A68" t="str">
            <v>255 POST 71</v>
          </cell>
          <cell r="B68">
            <v>2804318</v>
          </cell>
          <cell r="G68" t="str">
            <v>X</v>
          </cell>
        </row>
        <row r="69">
          <cell r="A69" t="str">
            <v>255 PRE 71</v>
          </cell>
          <cell r="B69">
            <v>10005</v>
          </cell>
          <cell r="D69" t="str">
            <v>X</v>
          </cell>
          <cell r="G69" t="str">
            <v xml:space="preserve"> </v>
          </cell>
        </row>
        <row r="70">
          <cell r="A70" t="str">
            <v>254</v>
          </cell>
          <cell r="B70">
            <v>1459271</v>
          </cell>
          <cell r="D70" t="str">
            <v>X</v>
          </cell>
          <cell r="G70" t="str">
            <v xml:space="preserve"> </v>
          </cell>
        </row>
        <row r="71">
          <cell r="A71" t="str">
            <v>227</v>
          </cell>
          <cell r="B71">
            <v>0</v>
          </cell>
          <cell r="G71" t="str">
            <v>X</v>
          </cell>
        </row>
        <row r="72">
          <cell r="A72" t="str">
            <v>228</v>
          </cell>
          <cell r="B72">
            <v>61172</v>
          </cell>
          <cell r="G72" t="str">
            <v>X</v>
          </cell>
        </row>
        <row r="73">
          <cell r="A73" t="str">
            <v>229</v>
          </cell>
          <cell r="B73">
            <v>948325</v>
          </cell>
          <cell r="C73">
            <v>1009497</v>
          </cell>
          <cell r="G73" t="str">
            <v>X</v>
          </cell>
        </row>
        <row r="74">
          <cell r="A74" t="str">
            <v>252</v>
          </cell>
          <cell r="B74">
            <v>6132709</v>
          </cell>
          <cell r="D74" t="str">
            <v>X</v>
          </cell>
          <cell r="G74" t="str">
            <v xml:space="preserve"> </v>
          </cell>
        </row>
        <row r="75">
          <cell r="A75" t="str">
            <v>253 (SPLIT)</v>
          </cell>
          <cell r="B75">
            <v>5486315</v>
          </cell>
          <cell r="G75" t="str">
            <v>X</v>
          </cell>
        </row>
        <row r="76">
          <cell r="A76" t="str">
            <v>MOOREFIELD</v>
          </cell>
          <cell r="B76">
            <v>71742</v>
          </cell>
          <cell r="C76">
            <v>5558057</v>
          </cell>
          <cell r="D76" t="str">
            <v>X</v>
          </cell>
          <cell r="G76" t="str">
            <v xml:space="preserve"> </v>
          </cell>
        </row>
        <row r="77">
          <cell r="B77">
            <v>245245902</v>
          </cell>
          <cell r="G77" t="str">
            <v xml:space="preserve"> </v>
          </cell>
        </row>
        <row r="78">
          <cell r="A78" t="str">
            <v>C.S.</v>
          </cell>
          <cell r="B78">
            <v>141794642</v>
          </cell>
          <cell r="G78" t="str">
            <v>X</v>
          </cell>
        </row>
        <row r="79">
          <cell r="B79">
            <v>387040544</v>
          </cell>
        </row>
        <row r="81">
          <cell r="B81">
            <v>0</v>
          </cell>
        </row>
        <row r="83">
          <cell r="A83" t="str">
            <v>SEE G. GARDNER(RATE BASE) FOR ACCOUNTS TO INCLUDE</v>
          </cell>
        </row>
        <row r="85">
          <cell r="A85" t="str">
            <v>ACCT NO 190:</v>
          </cell>
          <cell r="C85" t="str">
            <v>PER BOOK</v>
          </cell>
        </row>
        <row r="86">
          <cell r="A86" t="str">
            <v>SECT 461-H RATE REFUNDS- FED</v>
          </cell>
          <cell r="C86">
            <v>16451</v>
          </cell>
          <cell r="D86" t="str">
            <v>190-1402</v>
          </cell>
          <cell r="E86" t="str">
            <v>*</v>
          </cell>
        </row>
        <row r="87">
          <cell r="A87" t="str">
            <v>SECT 463 - VACATION ACCRUAL</v>
          </cell>
          <cell r="C87">
            <v>420841</v>
          </cell>
          <cell r="D87" t="str">
            <v>190-1905</v>
          </cell>
          <cell r="E87" t="str">
            <v>*</v>
          </cell>
        </row>
        <row r="88">
          <cell r="A88" t="str">
            <v>THRIFT RESTORATION PLAN</v>
          </cell>
          <cell r="C88">
            <v>13928</v>
          </cell>
          <cell r="D88" t="str">
            <v>190-1910</v>
          </cell>
          <cell r="E88" t="str">
            <v>*</v>
          </cell>
        </row>
        <row r="89">
          <cell r="A89" t="str">
            <v>DEF'D COMPENSATION</v>
          </cell>
          <cell r="C89">
            <v>2</v>
          </cell>
          <cell r="D89" t="str">
            <v>190-1922</v>
          </cell>
          <cell r="E89" t="str">
            <v>*</v>
          </cell>
        </row>
        <row r="90">
          <cell r="A90" t="str">
            <v>INJURIES &amp; DAMAGES</v>
          </cell>
          <cell r="C90">
            <v>15050</v>
          </cell>
          <cell r="D90" t="str">
            <v>190-1923</v>
          </cell>
          <cell r="E90" t="str">
            <v>*</v>
          </cell>
        </row>
        <row r="91">
          <cell r="A91" t="str">
            <v>RET INCOME PLAN - FED</v>
          </cell>
          <cell r="C91">
            <v>1</v>
          </cell>
          <cell r="D91" t="str">
            <v>190-1935</v>
          </cell>
          <cell r="E91" t="str">
            <v>*</v>
          </cell>
        </row>
        <row r="92">
          <cell r="A92" t="str">
            <v>PENSION RESTORATION PLAN</v>
          </cell>
          <cell r="C92">
            <v>1167</v>
          </cell>
          <cell r="D92" t="str">
            <v>190-1937</v>
          </cell>
          <cell r="E92" t="str">
            <v>*</v>
          </cell>
        </row>
        <row r="93">
          <cell r="A93" t="str">
            <v>CONT IN AID OF CONST - FED</v>
          </cell>
          <cell r="B93" t="str">
            <v xml:space="preserve"> </v>
          </cell>
          <cell r="C93">
            <v>2887034</v>
          </cell>
          <cell r="D93" t="str">
            <v>190-2851</v>
          </cell>
          <cell r="E93" t="str">
            <v>*</v>
          </cell>
        </row>
        <row r="94">
          <cell r="A94" t="str">
            <v>CAP OF STORAGE GAS INVENTORY</v>
          </cell>
          <cell r="B94" t="str">
            <v xml:space="preserve"> </v>
          </cell>
          <cell r="C94">
            <v>402521</v>
          </cell>
          <cell r="D94" t="str">
            <v>190-2902</v>
          </cell>
          <cell r="E94" t="str">
            <v>*</v>
          </cell>
        </row>
        <row r="95">
          <cell r="A95" t="str">
            <v>CAP OF DIRECT AND AVOIDED INT - FED</v>
          </cell>
          <cell r="C95">
            <v>856882</v>
          </cell>
          <cell r="D95" t="str">
            <v>190-2917</v>
          </cell>
          <cell r="E95" t="str">
            <v>*</v>
          </cell>
        </row>
        <row r="96">
          <cell r="A96" t="str">
            <v>CMEP - DAP RESERVE - FED</v>
          </cell>
          <cell r="C96">
            <v>99906</v>
          </cell>
          <cell r="D96" t="str">
            <v>190-2920</v>
          </cell>
          <cell r="E96" t="str">
            <v>*</v>
          </cell>
        </row>
        <row r="97">
          <cell r="A97" t="str">
            <v>LIFO INVENTORY VALUATION</v>
          </cell>
          <cell r="C97">
            <v>922716</v>
          </cell>
          <cell r="D97" t="str">
            <v>190-2922</v>
          </cell>
          <cell r="E97" t="str">
            <v>*</v>
          </cell>
        </row>
        <row r="98">
          <cell r="A98" t="str">
            <v>ARBORETUM RENT EXPENSE</v>
          </cell>
          <cell r="C98">
            <v>25100</v>
          </cell>
          <cell r="D98" t="str">
            <v>190-2939</v>
          </cell>
          <cell r="E98" t="str">
            <v>*</v>
          </cell>
        </row>
        <row r="99">
          <cell r="C99">
            <v>5661599</v>
          </cell>
        </row>
        <row r="102">
          <cell r="A102" t="str">
            <v>END USER EXCHANGE GAS</v>
          </cell>
          <cell r="C102">
            <v>2554732</v>
          </cell>
          <cell r="D102" t="str">
            <v>191-13620</v>
          </cell>
        </row>
        <row r="103">
          <cell r="A103" t="str">
            <v>TRANSPORTER IMBALANCE</v>
          </cell>
          <cell r="C103">
            <v>1258206</v>
          </cell>
          <cell r="D103" t="str">
            <v>191-13630</v>
          </cell>
        </row>
        <row r="104">
          <cell r="C104">
            <v>3812938</v>
          </cell>
        </row>
        <row r="108">
          <cell r="A108" t="str">
            <v>UTILITY OPER INCOME- FED</v>
          </cell>
          <cell r="C108">
            <v>21347050</v>
          </cell>
          <cell r="D108" t="str">
            <v>282-2205</v>
          </cell>
          <cell r="E108" t="str">
            <v>*</v>
          </cell>
        </row>
        <row r="109">
          <cell r="A109" t="str">
            <v>PROP REMOVAL COSTS - FED</v>
          </cell>
          <cell r="C109">
            <v>97942</v>
          </cell>
          <cell r="D109" t="str">
            <v>282-2231</v>
          </cell>
          <cell r="E109" t="str">
            <v>*</v>
          </cell>
        </row>
        <row r="110">
          <cell r="A110" t="str">
            <v>LOSS ON RETIREMENT - FED</v>
          </cell>
          <cell r="C110">
            <v>1069084</v>
          </cell>
          <cell r="D110" t="str">
            <v>282-2211</v>
          </cell>
          <cell r="E110" t="str">
            <v>*</v>
          </cell>
        </row>
        <row r="111">
          <cell r="C111">
            <v>22514076</v>
          </cell>
        </row>
        <row r="113">
          <cell r="A113" t="str">
            <v>DEFD GAIN -FED</v>
          </cell>
          <cell r="C113">
            <v>422808</v>
          </cell>
          <cell r="D113" t="str">
            <v>283-1304</v>
          </cell>
          <cell r="E113" t="str">
            <v>*</v>
          </cell>
        </row>
        <row r="114">
          <cell r="A114" t="str">
            <v>UNBILLED REV - FED</v>
          </cell>
          <cell r="C114">
            <v>26</v>
          </cell>
          <cell r="D114" t="str">
            <v>283-1521</v>
          </cell>
          <cell r="E114" t="str">
            <v>*</v>
          </cell>
        </row>
        <row r="115">
          <cell r="A115" t="str">
            <v>RETIREMENT INC PLAN - FED</v>
          </cell>
          <cell r="C115">
            <v>-854823</v>
          </cell>
          <cell r="D115" t="str">
            <v>283-1903</v>
          </cell>
          <cell r="E115" t="str">
            <v>*</v>
          </cell>
        </row>
        <row r="116">
          <cell r="A116" t="str">
            <v>RETIREMENT INC PLAN - FED</v>
          </cell>
          <cell r="C116">
            <v>-221897</v>
          </cell>
          <cell r="D116" t="str">
            <v>283-1941</v>
          </cell>
          <cell r="E116" t="str">
            <v>*</v>
          </cell>
        </row>
        <row r="117">
          <cell r="A117" t="str">
            <v>CAP. INV. TAX SAVINGS</v>
          </cell>
          <cell r="C117">
            <v>784</v>
          </cell>
          <cell r="D117" t="str">
            <v>283-6902</v>
          </cell>
          <cell r="E117" t="str">
            <v>*</v>
          </cell>
        </row>
        <row r="118">
          <cell r="A118" t="str">
            <v>LEGAL LIAB ON HEADQTR -FED</v>
          </cell>
          <cell r="C118">
            <v>174245</v>
          </cell>
          <cell r="D118" t="str">
            <v>283-2951</v>
          </cell>
          <cell r="E118" t="str">
            <v>*</v>
          </cell>
        </row>
        <row r="119">
          <cell r="A119" t="str">
            <v>CAPITALIZED INTEREST DURING CONST</v>
          </cell>
          <cell r="C119">
            <v>6019</v>
          </cell>
          <cell r="D119" t="str">
            <v>283-2912</v>
          </cell>
          <cell r="E119" t="str">
            <v>*</v>
          </cell>
        </row>
        <row r="120">
          <cell r="A120" t="str">
            <v>SECTION 174-A</v>
          </cell>
          <cell r="C120">
            <v>734953</v>
          </cell>
          <cell r="D120" t="str">
            <v>283-2913</v>
          </cell>
          <cell r="E120" t="str">
            <v>*</v>
          </cell>
        </row>
        <row r="121">
          <cell r="C121">
            <v>262115</v>
          </cell>
        </row>
        <row r="124">
          <cell r="A124" t="str">
            <v>Accrued Plant in Service</v>
          </cell>
          <cell r="C124">
            <v>2082442</v>
          </cell>
          <cell r="D124" t="str">
            <v xml:space="preserve">242-9950-15280 </v>
          </cell>
        </row>
        <row r="125">
          <cell r="A125" t="str">
            <v xml:space="preserve"> </v>
          </cell>
          <cell r="C125" t="str">
            <v xml:space="preserve"> </v>
          </cell>
          <cell r="D125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um page"/>
      <sheetName val="revlag"/>
      <sheetName val="coll-lag"/>
      <sheetName val="sum of ar"/>
      <sheetName val="rev"/>
      <sheetName val="gaspurch"/>
      <sheetName val="tco"/>
      <sheetName val="non-appa"/>
      <sheetName val="vendors"/>
      <sheetName val="payroll"/>
      <sheetName val="bi-pay"/>
      <sheetName val="month-pay"/>
      <sheetName val="FIT"/>
      <sheetName val="FICA"/>
      <sheetName val="fica-bi"/>
      <sheetName val="fica-mo"/>
      <sheetName val="STATE BI"/>
      <sheetName val="STATE MO"/>
      <sheetName val="payroll taxes"/>
      <sheetName val="FUTA"/>
      <sheetName val="benefit"/>
      <sheetName val="property"/>
      <sheetName val="grossrec"/>
      <sheetName val="interest"/>
      <sheetName val="pscfees"/>
      <sheetName val="other"/>
      <sheetName val="Gro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Schedule 2"/>
      <sheetName val="Schedule 3"/>
      <sheetName val="WP 3-1"/>
      <sheetName val="WP 3-2"/>
      <sheetName val="Schedule 4"/>
      <sheetName val="Schedule 5"/>
      <sheetName val="WP 5-1"/>
      <sheetName val="WP 5-2"/>
      <sheetName val="WP 5-3"/>
      <sheetName val="WP 5-4"/>
      <sheetName val="Schedule 6"/>
      <sheetName val="WP 6-1"/>
      <sheetName val="Schedule 7"/>
      <sheetName val="WP 7-1"/>
      <sheetName val="Schedule 8"/>
      <sheetName val="Schedule 9"/>
      <sheetName val="WP 9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Input"/>
      <sheetName val="Juris Alloc Factors"/>
      <sheetName val="LVTS Alloc Factors"/>
      <sheetName val="Sched 27, Contents Sh 1"/>
      <sheetName val="Sched 27 cwc (Total Co) sh 2"/>
      <sheetName val="Adjustments for Bill Reserve"/>
      <sheetName val="Sched 27 cwc (LVTS) sh 2a"/>
      <sheetName val="Sch 27 cwc (Juris) sh 2b"/>
      <sheetName val="Sched 28(BS) Contents sh 1 of 4"/>
      <sheetName val="Sched 28(BS) LVTS sh 2 of 4"/>
      <sheetName val="Sched 28(BS) Juris sh 3 of 4"/>
      <sheetName val="Sched 28(BS) Detail sh 4 of 4"/>
      <sheetName val="Acct. Payable 107 @12-31-13"/>
      <sheetName val="Accr. Payroll CWIP"/>
      <sheetName val="Sh 3 - revlag"/>
      <sheetName val="Sh 3a - coll-lag"/>
      <sheetName val="Sh 3b - ARsumm"/>
      <sheetName val="Sh 3c - bill lag"/>
      <sheetName val="(Workpaper) 3c bill lag GTS"/>
      <sheetName val="(Workpaper) 3c bill lag GMB"/>
      <sheetName val="Sh 4 - gaspurch"/>
      <sheetName val="Sh 4a - Commodity"/>
      <sheetName val="Sh 4b - Transportation"/>
      <sheetName val="Sh 5 - payroll"/>
      <sheetName val="Sh 5a - bi-pay"/>
      <sheetName val="Sh 5b - month-pay"/>
      <sheetName val="Sh 6 - OPEB "/>
      <sheetName val="Sh 7 - uncoll"/>
      <sheetName val="Sh 8 - otherO&amp;M"/>
      <sheetName val="Sh 9 - Payroll Taxes"/>
      <sheetName val="Sh 9a - FICA"/>
      <sheetName val="Sh 9a Pg 1 fica-bi"/>
      <sheetName val="Sh 9a Pg 2 fica-mo"/>
      <sheetName val="Sh 9b - FUTA"/>
      <sheetName val="Sh 10 - property"/>
      <sheetName val="Sh 11 - Other Taxes"/>
      <sheetName val="Sh 12 - FIT"/>
      <sheetName val="Sh 13 - int.-custdep"/>
      <sheetName val="Sh 14 - int"/>
      <sheetName val="(Backup Sh 14) Money Pool Int."/>
      <sheetName val="Sh 15 - Utility Tax"/>
      <sheetName val="(Backup Sh 15) Utility-Payment"/>
      <sheetName val="Sh 16 - Consumption Tax"/>
      <sheetName val="Sh 17 - NCSC"/>
      <sheetName val="No Longer Not Used - M&amp;S"/>
      <sheetName val="Module1"/>
    </sheetNames>
    <sheetDataSet>
      <sheetData sheetId="0">
        <row r="2">
          <cell r="B2" t="str">
            <v>Atmos Energy Corporation-Virginia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8">
          <cell r="C48" t="str">
            <v>a/c 480-0001-30020</v>
          </cell>
          <cell r="D48" t="str">
            <v>a/c 481-0010-30060</v>
          </cell>
          <cell r="E48" t="str">
            <v>a/c 481-0020-30110</v>
          </cell>
        </row>
        <row r="49">
          <cell r="C49" t="str">
            <v>residential</v>
          </cell>
          <cell r="D49" t="str">
            <v>commercial</v>
          </cell>
          <cell r="E49" t="str">
            <v>industrial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</sheetData>
      <sheetData sheetId="16">
        <row r="33">
          <cell r="C33">
            <v>97440562</v>
          </cell>
          <cell r="D33">
            <v>7373487</v>
          </cell>
          <cell r="E33">
            <v>4584264</v>
          </cell>
        </row>
        <row r="35">
          <cell r="C35">
            <v>8120046.833333333</v>
          </cell>
          <cell r="D35">
            <v>614457.25</v>
          </cell>
          <cell r="E35">
            <v>382022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WP 2-3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>
        <row r="10">
          <cell r="C10">
            <v>42521</v>
          </cell>
        </row>
      </sheetData>
      <sheetData sheetId="1"/>
      <sheetData sheetId="2"/>
      <sheetData sheetId="3">
        <row r="19">
          <cell r="C19">
            <v>37.5</v>
          </cell>
        </row>
      </sheetData>
      <sheetData sheetId="4"/>
      <sheetData sheetId="5"/>
      <sheetData sheetId="6"/>
      <sheetData sheetId="7">
        <row r="302">
          <cell r="L302">
            <v>39.33</v>
          </cell>
        </row>
      </sheetData>
      <sheetData sheetId="8">
        <row r="59">
          <cell r="I59">
            <v>14.07</v>
          </cell>
        </row>
      </sheetData>
      <sheetData sheetId="9">
        <row r="15">
          <cell r="E15">
            <v>29.4</v>
          </cell>
        </row>
      </sheetData>
      <sheetData sheetId="10"/>
      <sheetData sheetId="11"/>
      <sheetData sheetId="12">
        <row r="20">
          <cell r="E20">
            <v>16.545668938638453</v>
          </cell>
        </row>
        <row r="23">
          <cell r="E23">
            <v>241.5</v>
          </cell>
        </row>
        <row r="26">
          <cell r="E26">
            <v>-151.5</v>
          </cell>
        </row>
        <row r="28">
          <cell r="E28">
            <v>37.5</v>
          </cell>
        </row>
        <row r="31">
          <cell r="E31">
            <v>272.5</v>
          </cell>
        </row>
        <row r="34">
          <cell r="E34">
            <v>59</v>
          </cell>
        </row>
      </sheetData>
      <sheetData sheetId="13">
        <row r="16">
          <cell r="H16">
            <v>37.5</v>
          </cell>
        </row>
      </sheetData>
      <sheetData sheetId="14">
        <row r="16">
          <cell r="H16">
            <v>37.5</v>
          </cell>
        </row>
        <row r="17">
          <cell r="H17"/>
        </row>
      </sheetData>
      <sheetData sheetId="15">
        <row r="22">
          <cell r="L22">
            <v>91.25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HP-CWC1A"/>
      <sheetName val="THP-CWC1B"/>
      <sheetName val="THP-CWC2"/>
      <sheetName val="WP 2-1"/>
      <sheetName val="WP 2-2"/>
      <sheetName val="WP 2-3"/>
      <sheetName val="WP 2-4"/>
      <sheetName val="WP2-5"/>
      <sheetName val="THP-CWC3"/>
      <sheetName val="THP-CWC4"/>
      <sheetName val="THP-CWC5"/>
      <sheetName val="WP 5-1"/>
      <sheetName val="WP 5-2"/>
      <sheetName val="THP-CWC6"/>
      <sheetName val="THP-CWC7"/>
      <sheetName val="THP-CWC8"/>
      <sheetName val="THP-CWC9"/>
    </sheetNames>
    <sheetDataSet>
      <sheetData sheetId="0" refreshError="1">
        <row r="7">
          <cell r="C7" t="str">
            <v>Atmos Energy Corporation</v>
          </cell>
        </row>
        <row r="8">
          <cell r="C8" t="str">
            <v>Tennessee</v>
          </cell>
        </row>
        <row r="9">
          <cell r="C9">
            <v>39081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W45"/>
  <sheetViews>
    <sheetView tabSelected="1" zoomScaleNormal="100" zoomScaleSheetLayoutView="100" workbookViewId="0">
      <selection activeCell="J17" sqref="J17"/>
    </sheetView>
  </sheetViews>
  <sheetFormatPr defaultColWidth="8.5546875" defaultRowHeight="12.75"/>
  <cols>
    <col min="1" max="1" width="3.88671875" style="5" customWidth="1"/>
    <col min="2" max="2" width="25.21875" style="5" customWidth="1"/>
    <col min="3" max="3" width="13.21875" style="5" bestFit="1" customWidth="1"/>
    <col min="4" max="4" width="5.44140625" style="5" customWidth="1"/>
    <col min="5" max="5" width="10.33203125" style="5" bestFit="1" customWidth="1"/>
    <col min="6" max="6" width="5.44140625" style="5" customWidth="1"/>
    <col min="7" max="7" width="14.44140625" style="4" bestFit="1" customWidth="1"/>
    <col min="8" max="8" width="9.5546875" style="4" customWidth="1"/>
    <col min="9" max="9" width="10.33203125" style="4" customWidth="1"/>
    <col min="10" max="10" width="8.5546875" style="4" bestFit="1" customWidth="1"/>
    <col min="11" max="11" width="7.5546875" style="4" bestFit="1" customWidth="1"/>
    <col min="12" max="12" width="8.6640625" style="4" bestFit="1" customWidth="1"/>
    <col min="13" max="13" width="8.5546875" style="4"/>
    <col min="14" max="16384" width="8.5546875" style="5"/>
  </cols>
  <sheetData>
    <row r="1" spans="1:23" ht="15" customHeight="1">
      <c r="A1" s="1"/>
      <c r="B1" s="1"/>
      <c r="C1" s="1"/>
      <c r="D1" s="1"/>
      <c r="E1" s="1"/>
      <c r="F1" s="1"/>
      <c r="G1" s="2" t="s">
        <v>10</v>
      </c>
      <c r="H1" s="3"/>
    </row>
    <row r="2" spans="1:23" ht="15" customHeight="1">
      <c r="A2" s="1"/>
      <c r="B2" s="1"/>
      <c r="C2" s="1"/>
      <c r="D2" s="1"/>
      <c r="E2" s="1"/>
      <c r="F2" s="1"/>
      <c r="G2" s="2"/>
      <c r="H2" s="3"/>
    </row>
    <row r="3" spans="1:23" ht="15" customHeight="1">
      <c r="A3" s="6" t="s">
        <v>11</v>
      </c>
      <c r="B3" s="7"/>
      <c r="C3" s="7"/>
      <c r="D3" s="7"/>
      <c r="E3" s="7"/>
      <c r="F3" s="7"/>
      <c r="G3" s="8"/>
      <c r="H3" s="9" t="s">
        <v>12</v>
      </c>
      <c r="I3" s="10"/>
      <c r="J3" s="10"/>
      <c r="K3" s="10"/>
      <c r="L3" s="11"/>
      <c r="M3" s="11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" customHeight="1">
      <c r="A4" s="6" t="s">
        <v>13</v>
      </c>
      <c r="B4" s="7"/>
      <c r="C4" s="7"/>
      <c r="D4" s="7"/>
      <c r="E4" s="7"/>
      <c r="F4" s="7"/>
      <c r="G4" s="13"/>
      <c r="H4" s="9" t="s">
        <v>12</v>
      </c>
      <c r="I4" s="10"/>
      <c r="J4" s="10"/>
      <c r="K4" s="10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" customHeight="1">
      <c r="A5" s="6" t="s">
        <v>14</v>
      </c>
      <c r="B5" s="7"/>
      <c r="C5" s="7"/>
      <c r="D5" s="7"/>
      <c r="E5" s="7"/>
      <c r="F5" s="7"/>
      <c r="G5" s="13"/>
      <c r="H5" s="9" t="s">
        <v>12</v>
      </c>
      <c r="I5" s="10"/>
      <c r="J5" s="10"/>
      <c r="K5" s="10"/>
      <c r="L5" s="11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5" customHeight="1">
      <c r="A6" s="195"/>
      <c r="B6" s="195"/>
      <c r="C6" s="195"/>
      <c r="D6" s="195"/>
      <c r="E6" s="195"/>
      <c r="F6" s="14"/>
      <c r="G6" s="13"/>
      <c r="H6" s="9"/>
      <c r="I6" s="10"/>
      <c r="J6" s="10"/>
      <c r="K6" s="10"/>
      <c r="L6" s="11"/>
      <c r="M6" s="11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5" customHeight="1">
      <c r="A7" s="15"/>
      <c r="B7" s="15"/>
      <c r="C7" s="15"/>
      <c r="D7" s="15"/>
      <c r="E7" s="15"/>
      <c r="F7" s="15"/>
      <c r="G7" s="16"/>
      <c r="H7" s="17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" customHeight="1">
      <c r="A8" s="15"/>
      <c r="B8" s="15"/>
      <c r="C8" s="15"/>
      <c r="D8" s="15"/>
      <c r="E8" s="15"/>
      <c r="F8" s="15"/>
      <c r="G8" s="16"/>
      <c r="H8" s="17"/>
      <c r="I8" s="11"/>
      <c r="J8" s="11"/>
      <c r="K8" s="11"/>
      <c r="L8" s="11"/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15" customHeight="1">
      <c r="A9" s="15"/>
      <c r="B9" s="15"/>
      <c r="C9" s="18"/>
      <c r="D9" s="18"/>
      <c r="E9" s="19"/>
      <c r="F9" s="19"/>
      <c r="G9" s="18" t="s">
        <v>15</v>
      </c>
      <c r="H9" s="17"/>
      <c r="I9" s="11"/>
      <c r="J9" s="20"/>
      <c r="K9" s="21"/>
      <c r="L9" s="11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5" customHeight="1">
      <c r="A10" s="22" t="s">
        <v>0</v>
      </c>
      <c r="B10" s="15"/>
      <c r="C10" s="22"/>
      <c r="D10" s="22"/>
      <c r="E10" s="22" t="s">
        <v>16</v>
      </c>
      <c r="F10" s="22"/>
      <c r="G10" s="22" t="s">
        <v>17</v>
      </c>
      <c r="H10" s="23"/>
      <c r="I10" s="21"/>
      <c r="J10" s="20"/>
      <c r="K10" s="21"/>
      <c r="L10" s="21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5" customHeight="1">
      <c r="A11" s="24" t="s">
        <v>3</v>
      </c>
      <c r="B11" s="24" t="s">
        <v>4</v>
      </c>
      <c r="C11" s="24" t="s">
        <v>5</v>
      </c>
      <c r="D11" s="24"/>
      <c r="E11" s="24" t="s">
        <v>18</v>
      </c>
      <c r="F11" s="24"/>
      <c r="G11" s="24" t="s">
        <v>19</v>
      </c>
      <c r="H11" s="23"/>
      <c r="I11" s="21"/>
      <c r="J11" s="20"/>
      <c r="K11" s="21"/>
      <c r="L11" s="21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" customHeight="1">
      <c r="A12" s="15"/>
      <c r="B12" s="22" t="s">
        <v>20</v>
      </c>
      <c r="C12" s="22" t="s">
        <v>21</v>
      </c>
      <c r="D12" s="22"/>
      <c r="E12" s="19" t="s">
        <v>22</v>
      </c>
      <c r="F12" s="19"/>
      <c r="G12" s="19" t="s">
        <v>23</v>
      </c>
      <c r="H12" s="25"/>
      <c r="I12" s="26"/>
      <c r="J12" s="26"/>
      <c r="K12" s="26"/>
      <c r="L12" s="26"/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5" customHeight="1">
      <c r="A13" s="15"/>
      <c r="B13" s="15"/>
      <c r="C13" s="15"/>
      <c r="D13" s="15"/>
      <c r="E13" s="15"/>
      <c r="F13" s="15"/>
      <c r="G13" s="18"/>
      <c r="H13" s="23"/>
      <c r="I13" s="27"/>
      <c r="J13" s="11"/>
      <c r="K13" s="11"/>
      <c r="L13" s="11"/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5" customHeight="1">
      <c r="A14" s="22">
        <v>1</v>
      </c>
      <c r="B14" s="15" t="s">
        <v>24</v>
      </c>
      <c r="C14" s="28">
        <v>58722779.102666482</v>
      </c>
      <c r="D14" s="15"/>
      <c r="E14" s="29">
        <v>-1.7003000000000001E-2</v>
      </c>
      <c r="F14" s="29"/>
      <c r="G14" s="28">
        <f>E14*C14</f>
        <v>-998463.41308263829</v>
      </c>
      <c r="H14" s="30"/>
      <c r="I14" s="31"/>
      <c r="J14" s="32"/>
      <c r="K14" s="33"/>
      <c r="L14" s="11"/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5" customHeight="1">
      <c r="A15" s="22">
        <v>2</v>
      </c>
      <c r="B15" s="15"/>
      <c r="C15" s="15"/>
      <c r="D15" s="15"/>
      <c r="E15" s="29"/>
      <c r="F15" s="29"/>
      <c r="G15" s="34" t="s">
        <v>12</v>
      </c>
      <c r="H15" s="30"/>
      <c r="I15" s="31"/>
      <c r="J15" s="32"/>
      <c r="K15" s="35"/>
      <c r="L15" s="11"/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" customHeight="1">
      <c r="A16" s="22">
        <v>3</v>
      </c>
      <c r="B16" s="36" t="s">
        <v>25</v>
      </c>
      <c r="C16" s="15"/>
      <c r="D16" s="15"/>
      <c r="E16" s="29"/>
      <c r="F16" s="29"/>
      <c r="G16" s="34" t="s">
        <v>12</v>
      </c>
      <c r="H16" s="30"/>
      <c r="I16" s="31"/>
      <c r="J16" s="32"/>
      <c r="K16" s="35"/>
      <c r="L16" s="11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" customHeight="1">
      <c r="A17" s="22">
        <v>4</v>
      </c>
      <c r="B17" s="15" t="s">
        <v>26</v>
      </c>
      <c r="C17" s="15">
        <v>6713135.8098015394</v>
      </c>
      <c r="D17" s="15"/>
      <c r="E17" s="29">
        <v>4.6093000000000002E-2</v>
      </c>
      <c r="F17" s="29"/>
      <c r="G17" s="34">
        <f>E17*C17</f>
        <v>309428.56888118235</v>
      </c>
      <c r="H17" s="30"/>
      <c r="I17" s="31"/>
      <c r="J17" s="32"/>
      <c r="K17" s="33"/>
      <c r="L17" s="11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5" customHeight="1">
      <c r="A18" s="22">
        <v>5</v>
      </c>
      <c r="B18" s="15" t="s">
        <v>27</v>
      </c>
      <c r="C18" s="15">
        <v>9043758.5153811388</v>
      </c>
      <c r="D18" s="15"/>
      <c r="E18" s="29">
        <v>4.3215999999999997E-2</v>
      </c>
      <c r="F18" s="29"/>
      <c r="G18" s="34">
        <f>E18*C18</f>
        <v>390835.06800071127</v>
      </c>
      <c r="H18" s="30"/>
      <c r="I18" s="31"/>
      <c r="J18" s="32"/>
      <c r="K18" s="33"/>
      <c r="L18" s="33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" customHeight="1">
      <c r="A19" s="22">
        <v>6</v>
      </c>
      <c r="B19" s="15"/>
      <c r="C19" s="15"/>
      <c r="D19" s="15"/>
      <c r="E19" s="29"/>
      <c r="F19" s="29"/>
      <c r="G19" s="34"/>
      <c r="H19" s="30"/>
      <c r="I19" s="31"/>
      <c r="J19" s="32"/>
      <c r="K19" s="33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" customHeight="1">
      <c r="A20" s="22">
        <v>7</v>
      </c>
      <c r="B20" s="15" t="s">
        <v>28</v>
      </c>
      <c r="C20" s="15">
        <v>2665080.41</v>
      </c>
      <c r="D20" s="15"/>
      <c r="E20" s="29">
        <v>-2.2619E-2</v>
      </c>
      <c r="F20" s="29"/>
      <c r="G20" s="34">
        <f>E20*C20</f>
        <v>-60281.453793790002</v>
      </c>
      <c r="H20" s="30"/>
      <c r="I20" s="31"/>
      <c r="J20" s="32"/>
      <c r="K20" s="33"/>
      <c r="L20" s="11"/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" customHeight="1">
      <c r="A21" s="22">
        <v>8</v>
      </c>
      <c r="B21" s="15" t="s">
        <v>29</v>
      </c>
      <c r="C21" s="15">
        <v>3285572.2600000007</v>
      </c>
      <c r="D21" s="15"/>
      <c r="E21" s="29">
        <v>2.751E-3</v>
      </c>
      <c r="F21" s="29"/>
      <c r="G21" s="34">
        <f>E21*C21</f>
        <v>9038.609287260002</v>
      </c>
      <c r="H21" s="30"/>
      <c r="I21" s="31"/>
      <c r="J21" s="32"/>
      <c r="K21" s="33"/>
      <c r="L21" s="11"/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" customHeight="1">
      <c r="A22" s="22">
        <v>9</v>
      </c>
      <c r="B22" s="15"/>
      <c r="C22" s="15"/>
      <c r="D22" s="15"/>
      <c r="E22" s="29"/>
      <c r="F22" s="29"/>
      <c r="G22" s="34" t="s">
        <v>12</v>
      </c>
      <c r="H22" s="3"/>
      <c r="K22" s="33"/>
      <c r="L22" s="11"/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" customHeight="1">
      <c r="A23" s="22">
        <v>10</v>
      </c>
      <c r="B23" s="15" t="s">
        <v>30</v>
      </c>
      <c r="C23" s="15">
        <v>5046820.4549120823</v>
      </c>
      <c r="D23" s="15"/>
      <c r="E23" s="29">
        <v>-2.8389999999999999E-3</v>
      </c>
      <c r="F23" s="29"/>
      <c r="G23" s="34">
        <f t="shared" ref="G23" si="0">E23*C23</f>
        <v>-14327.923271495401</v>
      </c>
      <c r="H23" s="30"/>
      <c r="I23" s="31"/>
      <c r="J23" s="32"/>
      <c r="K23" s="33"/>
      <c r="L23" s="11"/>
      <c r="M23" s="11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" customHeight="1">
      <c r="A24" s="22">
        <v>11</v>
      </c>
      <c r="B24" s="15" t="s">
        <v>31</v>
      </c>
      <c r="C24" s="37">
        <v>2463874.19</v>
      </c>
      <c r="D24" s="37"/>
      <c r="E24" s="38">
        <v>-0.54653700000000005</v>
      </c>
      <c r="F24" s="38"/>
      <c r="G24" s="39">
        <f>E24*C24</f>
        <v>-1346598.4081800301</v>
      </c>
      <c r="H24" s="30"/>
      <c r="I24" s="31"/>
      <c r="J24" s="32"/>
      <c r="K24" s="33"/>
      <c r="L24" s="11"/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5" customHeight="1">
      <c r="A25" s="22">
        <v>12</v>
      </c>
      <c r="B25" s="15"/>
      <c r="C25" s="15"/>
      <c r="D25" s="15"/>
      <c r="E25" s="15"/>
      <c r="F25" s="15"/>
      <c r="G25" s="40"/>
      <c r="H25" s="30"/>
      <c r="I25" s="41"/>
      <c r="J25" s="41"/>
      <c r="K25" s="35"/>
      <c r="L25" s="11"/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5" customHeight="1" thickBot="1">
      <c r="A26" s="22">
        <v>13</v>
      </c>
      <c r="B26" s="15" t="s">
        <v>1</v>
      </c>
      <c r="C26" s="42">
        <f>SUM(C14:C24)</f>
        <v>87941020.742761239</v>
      </c>
      <c r="D26" s="43"/>
      <c r="E26" s="1"/>
      <c r="F26" s="1"/>
      <c r="G26" s="42">
        <f>SUM(G14:G24)</f>
        <v>-1710368.9521588001</v>
      </c>
      <c r="H26" s="30"/>
      <c r="I26" s="31"/>
      <c r="J26" s="35"/>
      <c r="K26" s="35"/>
      <c r="L26" s="11"/>
    </row>
    <row r="27" spans="1:23" ht="15" customHeight="1" thickTop="1">
      <c r="A27" s="15"/>
      <c r="B27" s="15"/>
      <c r="C27" s="15"/>
      <c r="D27" s="15"/>
      <c r="E27" s="15"/>
      <c r="F27" s="15"/>
      <c r="G27" s="44"/>
      <c r="H27" s="30"/>
      <c r="I27" s="35"/>
      <c r="J27" s="35"/>
      <c r="K27" s="35"/>
      <c r="L27" s="11"/>
    </row>
    <row r="28" spans="1:23" ht="15.75">
      <c r="A28" s="22">
        <v>14</v>
      </c>
      <c r="B28" s="15" t="s">
        <v>32</v>
      </c>
      <c r="C28" s="49">
        <f>0.125</f>
        <v>0.125</v>
      </c>
      <c r="D28" s="12"/>
      <c r="E28" s="12"/>
      <c r="F28" s="12"/>
      <c r="G28" s="34">
        <f>C28*(SUM(C17:C18))</f>
        <v>1969611.7906478348</v>
      </c>
      <c r="H28" s="35"/>
      <c r="I28" s="35"/>
      <c r="J28" s="35"/>
      <c r="K28" s="35"/>
      <c r="L28" s="11"/>
    </row>
    <row r="29" spans="1:23">
      <c r="A29" s="12"/>
      <c r="D29" s="12"/>
      <c r="E29" s="45"/>
      <c r="F29" s="45"/>
      <c r="G29" s="11"/>
      <c r="H29" s="11"/>
      <c r="I29" s="11"/>
      <c r="J29" s="35"/>
      <c r="K29" s="11"/>
      <c r="L29" s="11"/>
    </row>
    <row r="30" spans="1:23" ht="15.75">
      <c r="A30" s="22">
        <v>15</v>
      </c>
      <c r="B30" s="15" t="s">
        <v>9</v>
      </c>
      <c r="C30" s="46"/>
      <c r="D30" s="46"/>
      <c r="E30" s="47"/>
      <c r="F30" s="47"/>
      <c r="G30" s="34">
        <f>G26-G28</f>
        <v>-3679980.7428066349</v>
      </c>
    </row>
    <row r="31" spans="1:23" ht="15.75">
      <c r="B31" s="46"/>
      <c r="C31" s="46"/>
      <c r="D31" s="46"/>
      <c r="E31" s="45"/>
      <c r="F31" s="45"/>
      <c r="J31" s="5"/>
      <c r="K31" s="5"/>
      <c r="L31" s="5"/>
      <c r="M31" s="5"/>
    </row>
    <row r="32" spans="1:23">
      <c r="E32" s="45"/>
      <c r="F32" s="45"/>
    </row>
    <row r="34" spans="1:13">
      <c r="A34" s="12"/>
      <c r="E34" s="48"/>
      <c r="F34" s="48"/>
      <c r="G34" s="11"/>
      <c r="H34" s="11"/>
      <c r="I34" s="11"/>
      <c r="J34" s="11"/>
      <c r="K34" s="11"/>
      <c r="L34" s="11"/>
    </row>
    <row r="35" spans="1:13">
      <c r="E35" s="48"/>
      <c r="F35" s="48"/>
    </row>
    <row r="36" spans="1:13">
      <c r="J36" s="5"/>
      <c r="K36" s="5"/>
      <c r="L36" s="5"/>
      <c r="M36" s="5"/>
    </row>
    <row r="45" spans="1:13">
      <c r="J45" s="35"/>
    </row>
  </sheetData>
  <mergeCells count="1">
    <mergeCell ref="A6:E6"/>
  </mergeCells>
  <printOptions horizontalCentered="1"/>
  <pageMargins left="1" right="1" top="1" bottom="0.5" header="0.25" footer="0.5"/>
  <pageSetup orientation="landscape" horizontalDpi="300" verticalDpi="300" r:id="rId1"/>
  <headerFooter alignWithMargins="0">
    <oddHeader>&amp;R&amp;9CASE NO. 2018-00281
ATTACHMENT 2
TO STAFF DR NO. 2-36</oddHeader>
    <oddFooter>&amp;R&amp;"Times New Roman,Regular"&amp;10Page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73"/>
  <sheetViews>
    <sheetView showGridLines="0" zoomScale="85" zoomScaleNormal="85" zoomScaleSheetLayoutView="80" workbookViewId="0"/>
  </sheetViews>
  <sheetFormatPr defaultColWidth="8.5546875" defaultRowHeight="15.75"/>
  <cols>
    <col min="1" max="1" width="3.88671875" style="56" bestFit="1" customWidth="1"/>
    <col min="2" max="2" width="3.44140625" style="56" customWidth="1"/>
    <col min="3" max="3" width="25.109375" style="56" customWidth="1"/>
    <col min="4" max="4" width="6.21875" style="56" customWidth="1"/>
    <col min="5" max="5" width="12.109375" style="56" bestFit="1" customWidth="1"/>
    <col min="6" max="6" width="12.33203125" style="56" bestFit="1" customWidth="1"/>
    <col min="7" max="7" width="7.109375" style="121" customWidth="1"/>
    <col min="8" max="8" width="7.88671875" style="109" bestFit="1" customWidth="1"/>
    <col min="9" max="9" width="6.88671875" style="121" customWidth="1"/>
    <col min="10" max="10" width="8" style="109" bestFit="1" customWidth="1"/>
    <col min="11" max="11" width="1.21875" style="55" customWidth="1"/>
    <col min="12" max="12" width="8" style="55" bestFit="1" customWidth="1"/>
    <col min="13" max="13" width="1.44140625" style="55" customWidth="1"/>
    <col min="14" max="14" width="11.88671875" style="56" bestFit="1" customWidth="1"/>
    <col min="15" max="15" width="2.44140625" style="55" customWidth="1"/>
    <col min="16" max="16" width="9.6640625" style="56" bestFit="1" customWidth="1"/>
    <col min="17" max="17" width="7.21875" style="56" customWidth="1"/>
    <col min="18" max="18" width="7.33203125" style="56" bestFit="1" customWidth="1"/>
    <col min="19" max="16384" width="8.5546875" style="56"/>
  </cols>
  <sheetData>
    <row r="1" spans="1:21">
      <c r="A1" s="50"/>
      <c r="B1" s="50"/>
      <c r="C1" s="50"/>
      <c r="D1" s="50"/>
      <c r="E1" s="50"/>
      <c r="F1" s="50"/>
      <c r="G1" s="51"/>
      <c r="H1" s="52"/>
      <c r="I1" s="51"/>
      <c r="J1" s="52"/>
      <c r="K1" s="53"/>
      <c r="L1" s="53"/>
      <c r="M1" s="53"/>
      <c r="N1" s="54" t="s">
        <v>33</v>
      </c>
    </row>
    <row r="2" spans="1:21">
      <c r="A2" s="57" t="s">
        <v>200</v>
      </c>
      <c r="B2" s="58"/>
      <c r="C2" s="58"/>
      <c r="D2" s="58"/>
      <c r="E2" s="58"/>
      <c r="F2" s="58"/>
      <c r="G2" s="59"/>
      <c r="H2" s="58"/>
      <c r="I2" s="59"/>
      <c r="J2" s="58"/>
      <c r="K2" s="60"/>
      <c r="L2" s="60"/>
      <c r="M2" s="60"/>
      <c r="N2" s="61"/>
      <c r="O2" s="13"/>
      <c r="Q2" s="62"/>
      <c r="R2" s="62"/>
      <c r="S2" s="62"/>
      <c r="T2" s="62"/>
      <c r="U2" s="62"/>
    </row>
    <row r="3" spans="1:21">
      <c r="A3" s="63" t="s">
        <v>34</v>
      </c>
      <c r="B3" s="58"/>
      <c r="C3" s="58"/>
      <c r="D3" s="58"/>
      <c r="E3" s="58"/>
      <c r="F3" s="58"/>
      <c r="G3" s="59"/>
      <c r="H3" s="58"/>
      <c r="I3" s="59"/>
      <c r="J3" s="58"/>
      <c r="K3" s="60"/>
      <c r="L3" s="60"/>
      <c r="M3" s="60"/>
      <c r="N3" s="58"/>
      <c r="O3" s="13"/>
      <c r="Q3" s="62"/>
      <c r="R3" s="62"/>
      <c r="S3" s="62"/>
      <c r="T3" s="62"/>
      <c r="U3" s="62"/>
    </row>
    <row r="4" spans="1:21">
      <c r="A4" s="64" t="s">
        <v>197</v>
      </c>
      <c r="B4" s="58"/>
      <c r="C4" s="58"/>
      <c r="D4" s="58"/>
      <c r="E4" s="58"/>
      <c r="F4" s="58"/>
      <c r="G4" s="59"/>
      <c r="H4" s="58"/>
      <c r="I4" s="59"/>
      <c r="J4" s="58"/>
      <c r="K4" s="60"/>
      <c r="L4" s="60"/>
      <c r="M4" s="60"/>
      <c r="N4" s="58"/>
      <c r="O4" s="13"/>
      <c r="Q4" s="62"/>
      <c r="R4" s="62"/>
      <c r="S4" s="62"/>
      <c r="T4" s="62"/>
      <c r="U4" s="62"/>
    </row>
    <row r="5" spans="1:21">
      <c r="A5" s="64"/>
      <c r="B5" s="58"/>
      <c r="C5" s="58"/>
      <c r="D5" s="58"/>
      <c r="E5" s="58"/>
      <c r="F5" s="58"/>
      <c r="G5" s="59"/>
      <c r="H5" s="58"/>
      <c r="I5" s="59"/>
      <c r="J5" s="58"/>
      <c r="K5" s="60"/>
      <c r="L5" s="60"/>
      <c r="M5" s="60"/>
      <c r="N5" s="58"/>
      <c r="O5" s="13"/>
      <c r="Q5" s="62"/>
      <c r="R5" s="62"/>
      <c r="S5" s="62"/>
      <c r="T5" s="62"/>
      <c r="U5" s="62"/>
    </row>
    <row r="6" spans="1:21">
      <c r="A6" s="64"/>
      <c r="B6" s="58"/>
      <c r="C6" s="58"/>
      <c r="D6" s="58"/>
      <c r="E6" s="58"/>
      <c r="F6" s="58"/>
      <c r="G6" s="59"/>
      <c r="H6" s="58"/>
      <c r="I6" s="59"/>
      <c r="J6" s="58"/>
      <c r="K6" s="60"/>
      <c r="L6" s="60"/>
      <c r="M6" s="60"/>
      <c r="N6" s="58"/>
      <c r="O6" s="13"/>
      <c r="Q6" s="62"/>
      <c r="R6" s="62"/>
      <c r="S6" s="62"/>
      <c r="T6" s="62"/>
      <c r="U6" s="62"/>
    </row>
    <row r="7" spans="1:21">
      <c r="A7" s="65"/>
      <c r="B7" s="65"/>
      <c r="C7" s="65"/>
      <c r="D7" s="65"/>
      <c r="E7" s="65"/>
      <c r="F7" s="65"/>
      <c r="G7" s="66"/>
      <c r="H7" s="67"/>
      <c r="I7" s="66"/>
      <c r="J7" s="67"/>
      <c r="K7" s="68"/>
      <c r="L7" s="68"/>
      <c r="M7" s="68"/>
      <c r="N7" s="65"/>
      <c r="O7" s="16"/>
      <c r="Q7" s="62"/>
      <c r="R7" s="62"/>
      <c r="S7" s="62"/>
      <c r="T7" s="62"/>
      <c r="U7" s="62"/>
    </row>
    <row r="8" spans="1:21">
      <c r="A8" s="65"/>
      <c r="B8" s="65"/>
      <c r="C8" s="65"/>
      <c r="D8" s="65"/>
      <c r="E8" s="65"/>
      <c r="F8" s="65"/>
      <c r="G8" s="66"/>
      <c r="H8" s="67"/>
      <c r="I8" s="66"/>
      <c r="J8" s="67"/>
      <c r="K8" s="68"/>
      <c r="L8" s="68"/>
      <c r="M8" s="68"/>
      <c r="N8" s="65"/>
      <c r="O8" s="16"/>
      <c r="Q8" s="62"/>
      <c r="R8" s="62"/>
      <c r="S8" s="62"/>
      <c r="T8" s="62"/>
      <c r="U8" s="62"/>
    </row>
    <row r="9" spans="1:21" s="55" customFormat="1">
      <c r="A9" s="68"/>
      <c r="B9" s="69"/>
      <c r="C9" s="69"/>
      <c r="D9" s="69"/>
      <c r="E9" s="69"/>
      <c r="F9" s="70" t="s">
        <v>35</v>
      </c>
      <c r="G9" s="71"/>
      <c r="H9" s="70"/>
      <c r="I9" s="71"/>
      <c r="J9" s="70" t="s">
        <v>12</v>
      </c>
      <c r="K9" s="69"/>
      <c r="L9" s="69"/>
      <c r="M9" s="69"/>
      <c r="N9" s="70" t="s">
        <v>16</v>
      </c>
      <c r="O9" s="72"/>
      <c r="Q9" s="16"/>
      <c r="R9" s="16"/>
      <c r="S9" s="16"/>
      <c r="T9" s="16"/>
      <c r="U9" s="16"/>
    </row>
    <row r="10" spans="1:21" s="55" customFormat="1">
      <c r="A10" s="73" t="s">
        <v>0</v>
      </c>
      <c r="B10" s="69"/>
      <c r="C10" s="69"/>
      <c r="D10" s="69"/>
      <c r="E10" s="70" t="s">
        <v>36</v>
      </c>
      <c r="F10" s="74" t="s">
        <v>37</v>
      </c>
      <c r="G10" s="75"/>
      <c r="H10" s="70" t="s">
        <v>38</v>
      </c>
      <c r="I10" s="75"/>
      <c r="J10" s="70" t="s">
        <v>39</v>
      </c>
      <c r="K10" s="70"/>
      <c r="L10" s="70" t="s">
        <v>40</v>
      </c>
      <c r="M10" s="70"/>
      <c r="N10" s="76" t="s">
        <v>41</v>
      </c>
      <c r="O10" s="77"/>
      <c r="Q10" s="16"/>
      <c r="R10" s="16"/>
      <c r="S10" s="16"/>
      <c r="T10" s="16"/>
      <c r="U10" s="16"/>
    </row>
    <row r="11" spans="1:21" s="55" customFormat="1">
      <c r="A11" s="78" t="s">
        <v>3</v>
      </c>
      <c r="B11" s="79" t="s">
        <v>4</v>
      </c>
      <c r="C11" s="79"/>
      <c r="D11" s="79"/>
      <c r="E11" s="80" t="s">
        <v>42</v>
      </c>
      <c r="F11" s="81" t="s">
        <v>43</v>
      </c>
      <c r="G11" s="82"/>
      <c r="H11" s="80" t="s">
        <v>44</v>
      </c>
      <c r="I11" s="82"/>
      <c r="J11" s="80" t="s">
        <v>44</v>
      </c>
      <c r="K11" s="80"/>
      <c r="L11" s="81" t="s">
        <v>45</v>
      </c>
      <c r="M11" s="80"/>
      <c r="N11" s="81" t="s">
        <v>46</v>
      </c>
      <c r="O11" s="83"/>
      <c r="Q11" s="16"/>
      <c r="R11" s="16"/>
      <c r="S11" s="16"/>
      <c r="T11" s="16"/>
      <c r="U11" s="16"/>
    </row>
    <row r="12" spans="1:21">
      <c r="A12" s="65"/>
      <c r="B12" s="58" t="s">
        <v>20</v>
      </c>
      <c r="C12" s="58"/>
      <c r="D12" s="58"/>
      <c r="E12" s="67" t="s">
        <v>21</v>
      </c>
      <c r="F12" s="84" t="s">
        <v>47</v>
      </c>
      <c r="G12" s="85"/>
      <c r="H12" s="86" t="s">
        <v>23</v>
      </c>
      <c r="I12" s="73"/>
      <c r="J12" s="67" t="s">
        <v>48</v>
      </c>
      <c r="K12" s="73"/>
      <c r="L12" s="86" t="s">
        <v>49</v>
      </c>
      <c r="M12" s="73"/>
      <c r="N12" s="86" t="s">
        <v>50</v>
      </c>
      <c r="O12" s="18"/>
      <c r="Q12" s="62"/>
      <c r="R12" s="62"/>
      <c r="S12" s="62"/>
      <c r="T12" s="62"/>
      <c r="U12" s="62"/>
    </row>
    <row r="13" spans="1:21">
      <c r="A13" s="65"/>
      <c r="B13" s="65"/>
      <c r="C13" s="65"/>
      <c r="D13" s="65"/>
      <c r="E13" s="65"/>
      <c r="F13" s="65"/>
      <c r="G13" s="66"/>
      <c r="H13" s="67"/>
      <c r="I13" s="66"/>
      <c r="J13" s="67"/>
      <c r="K13" s="68"/>
      <c r="L13" s="68"/>
      <c r="M13" s="68"/>
      <c r="N13" s="65"/>
      <c r="O13" s="16"/>
      <c r="Q13" s="62"/>
      <c r="R13" s="62"/>
      <c r="S13" s="62"/>
      <c r="T13" s="62"/>
      <c r="U13" s="62"/>
    </row>
    <row r="14" spans="1:21">
      <c r="A14" s="50">
        <f t="shared" ref="A14:A53" si="0">1+A13</f>
        <v>1</v>
      </c>
      <c r="B14" s="50" t="s">
        <v>51</v>
      </c>
      <c r="C14" s="50"/>
      <c r="D14" s="50"/>
      <c r="E14" s="50"/>
      <c r="F14" s="50"/>
      <c r="G14" s="51"/>
      <c r="H14" s="52"/>
      <c r="I14" s="51"/>
      <c r="J14" s="52"/>
      <c r="K14" s="53"/>
      <c r="L14" s="53"/>
      <c r="M14" s="53"/>
      <c r="N14" s="50"/>
      <c r="P14" s="196"/>
      <c r="Q14" s="196"/>
      <c r="R14" s="196"/>
    </row>
    <row r="15" spans="1:21">
      <c r="A15" s="50">
        <f t="shared" si="0"/>
        <v>2</v>
      </c>
      <c r="B15" s="50"/>
      <c r="C15" s="65" t="s">
        <v>52</v>
      </c>
      <c r="D15" s="65"/>
      <c r="E15" s="87">
        <v>87478439.489999995</v>
      </c>
      <c r="F15" s="68">
        <f>ROUND(E15/366,0)</f>
        <v>239012</v>
      </c>
      <c r="G15" s="66" t="s">
        <v>53</v>
      </c>
      <c r="H15" s="88">
        <f>'[6]ATO-CWC2'!$C$19</f>
        <v>37.5</v>
      </c>
      <c r="I15" s="66" t="s">
        <v>54</v>
      </c>
      <c r="J15" s="89">
        <f>'[6]ATO-CWC3'!L302</f>
        <v>39.33</v>
      </c>
      <c r="K15" s="68"/>
      <c r="L15" s="90">
        <f>H15-J15</f>
        <v>-1.8299999999999983</v>
      </c>
      <c r="M15" s="68"/>
      <c r="N15" s="91">
        <f>L15*F15</f>
        <v>-437391.95999999961</v>
      </c>
      <c r="O15" s="16"/>
      <c r="P15" s="92"/>
      <c r="Q15" s="93"/>
      <c r="R15" s="93"/>
      <c r="S15" s="62"/>
      <c r="T15" s="62"/>
      <c r="U15" s="62"/>
    </row>
    <row r="16" spans="1:21">
      <c r="A16" s="50">
        <f t="shared" si="0"/>
        <v>3</v>
      </c>
      <c r="B16" s="65"/>
      <c r="C16" s="65"/>
      <c r="D16" s="65"/>
      <c r="E16" s="65"/>
      <c r="F16" s="94"/>
      <c r="G16" s="66"/>
      <c r="H16" s="88"/>
      <c r="I16" s="66"/>
      <c r="J16" s="67"/>
      <c r="K16" s="68"/>
      <c r="L16" s="68"/>
      <c r="M16" s="68"/>
      <c r="N16" s="65"/>
      <c r="O16" s="16"/>
      <c r="P16" s="92"/>
      <c r="Q16" s="93"/>
      <c r="R16" s="62"/>
      <c r="S16" s="62"/>
      <c r="T16" s="62"/>
      <c r="U16" s="62"/>
    </row>
    <row r="17" spans="1:21">
      <c r="A17" s="50">
        <f t="shared" si="0"/>
        <v>4</v>
      </c>
      <c r="B17" s="50" t="s">
        <v>55</v>
      </c>
      <c r="C17" s="50"/>
      <c r="D17" s="50"/>
      <c r="E17" s="50"/>
      <c r="F17" s="95"/>
      <c r="G17" s="51"/>
      <c r="H17" s="96"/>
      <c r="I17" s="51"/>
      <c r="J17" s="52"/>
      <c r="K17" s="53"/>
      <c r="L17" s="53"/>
      <c r="M17" s="53"/>
      <c r="N17" s="50"/>
      <c r="P17" s="97"/>
      <c r="Q17" s="93"/>
    </row>
    <row r="18" spans="1:21">
      <c r="A18" s="50">
        <f t="shared" si="0"/>
        <v>5</v>
      </c>
      <c r="B18" s="50"/>
      <c r="C18" s="65" t="s">
        <v>56</v>
      </c>
      <c r="D18" s="65"/>
      <c r="E18" s="98">
        <v>7915571.9291497739</v>
      </c>
      <c r="F18" s="68">
        <f>ROUND(E18/366,0)</f>
        <v>21627</v>
      </c>
      <c r="G18" s="66" t="s">
        <v>53</v>
      </c>
      <c r="H18" s="88">
        <f>'[6]ATO-CWC2'!$C$19</f>
        <v>37.5</v>
      </c>
      <c r="I18" s="66" t="s">
        <v>57</v>
      </c>
      <c r="J18" s="88">
        <f>'[6]ATO-CWC4'!I59</f>
        <v>14.07</v>
      </c>
      <c r="K18" s="68"/>
      <c r="L18" s="90">
        <f>H18-J18</f>
        <v>23.43</v>
      </c>
      <c r="M18" s="68"/>
      <c r="N18" s="91">
        <f>L18*F18</f>
        <v>506720.61</v>
      </c>
      <c r="O18" s="16"/>
      <c r="P18" s="92"/>
      <c r="Q18" s="93"/>
      <c r="R18" s="93"/>
      <c r="S18" s="62"/>
      <c r="T18" s="62"/>
      <c r="U18" s="62"/>
    </row>
    <row r="19" spans="1:21">
      <c r="A19" s="50">
        <f t="shared" si="0"/>
        <v>6</v>
      </c>
      <c r="B19" s="50"/>
      <c r="C19" s="65" t="s">
        <v>58</v>
      </c>
      <c r="D19" s="65"/>
      <c r="E19" s="99">
        <f>E20-E18</f>
        <v>12100932.070850227</v>
      </c>
      <c r="F19" s="68">
        <f>ROUND(E19/366,0)</f>
        <v>33063</v>
      </c>
      <c r="G19" s="66" t="s">
        <v>53</v>
      </c>
      <c r="H19" s="88">
        <f>'[6]ATO-CWC2'!$C$19</f>
        <v>37.5</v>
      </c>
      <c r="I19" s="66" t="s">
        <v>59</v>
      </c>
      <c r="J19" s="100">
        <f>'[6]ATO-CWC5'!E15</f>
        <v>29.4</v>
      </c>
      <c r="K19" s="68"/>
      <c r="L19" s="90">
        <f>H19-J19</f>
        <v>8.1000000000000014</v>
      </c>
      <c r="M19" s="68"/>
      <c r="N19" s="101">
        <f>L19*F19</f>
        <v>267810.30000000005</v>
      </c>
      <c r="O19" s="16"/>
      <c r="P19" s="92"/>
      <c r="Q19" s="93"/>
      <c r="R19" s="93"/>
      <c r="S19" s="62"/>
      <c r="T19" s="62"/>
      <c r="U19" s="62"/>
    </row>
    <row r="20" spans="1:21">
      <c r="A20" s="50">
        <f t="shared" si="0"/>
        <v>7</v>
      </c>
      <c r="B20" s="50" t="s">
        <v>60</v>
      </c>
      <c r="C20" s="50"/>
      <c r="D20" s="50"/>
      <c r="E20" s="98">
        <v>20016504</v>
      </c>
      <c r="F20" s="94"/>
      <c r="G20" s="51"/>
      <c r="H20" s="96"/>
      <c r="I20" s="51"/>
      <c r="J20" s="52"/>
      <c r="K20" s="53"/>
      <c r="L20" s="53"/>
      <c r="M20" s="53"/>
      <c r="N20" s="65">
        <f>SUM(N18:N19)</f>
        <v>774530.91</v>
      </c>
      <c r="P20" s="97"/>
      <c r="Q20" s="93"/>
      <c r="T20" s="62"/>
      <c r="U20" s="62"/>
    </row>
    <row r="21" spans="1:21">
      <c r="A21" s="50">
        <f t="shared" si="0"/>
        <v>8</v>
      </c>
      <c r="B21" s="50"/>
      <c r="C21" s="65"/>
      <c r="D21" s="65"/>
      <c r="E21" s="50"/>
      <c r="F21" s="95"/>
      <c r="G21" s="66"/>
      <c r="H21" s="88"/>
      <c r="I21" s="66"/>
      <c r="J21" s="67"/>
      <c r="K21" s="68"/>
      <c r="L21" s="68"/>
      <c r="M21" s="68"/>
      <c r="N21" s="50"/>
      <c r="O21" s="16"/>
      <c r="P21" s="92"/>
      <c r="Q21" s="93"/>
      <c r="S21" s="62"/>
    </row>
    <row r="22" spans="1:21">
      <c r="A22" s="50">
        <f t="shared" si="0"/>
        <v>9</v>
      </c>
      <c r="B22" s="50"/>
      <c r="C22" s="65"/>
      <c r="D22" s="65"/>
      <c r="E22" s="50"/>
      <c r="F22" s="95"/>
      <c r="G22" s="66"/>
      <c r="H22" s="88"/>
      <c r="I22" s="66"/>
      <c r="J22" s="67"/>
      <c r="K22" s="68"/>
      <c r="L22" s="68"/>
      <c r="M22" s="68"/>
      <c r="N22" s="50"/>
      <c r="O22" s="16"/>
      <c r="P22" s="92"/>
      <c r="Q22" s="93"/>
      <c r="R22" s="62"/>
      <c r="S22" s="62"/>
      <c r="T22" s="62"/>
      <c r="U22" s="62"/>
    </row>
    <row r="23" spans="1:21">
      <c r="A23" s="50">
        <f t="shared" si="0"/>
        <v>10</v>
      </c>
      <c r="B23" s="65" t="s">
        <v>61</v>
      </c>
      <c r="C23" s="65"/>
      <c r="D23" s="65"/>
      <c r="E23" s="65"/>
      <c r="F23" s="94"/>
      <c r="G23" s="66"/>
      <c r="H23" s="88"/>
      <c r="I23" s="66"/>
      <c r="J23" s="67"/>
      <c r="K23" s="68"/>
      <c r="L23" s="68"/>
      <c r="M23" s="68"/>
      <c r="N23" s="65"/>
      <c r="O23" s="16"/>
      <c r="P23" s="92"/>
      <c r="Q23" s="93"/>
      <c r="S23" s="62"/>
      <c r="T23" s="62"/>
      <c r="U23" s="62"/>
    </row>
    <row r="24" spans="1:21">
      <c r="A24" s="50">
        <f t="shared" si="0"/>
        <v>11</v>
      </c>
      <c r="B24" s="50"/>
      <c r="C24" s="65" t="s">
        <v>62</v>
      </c>
      <c r="D24" s="65"/>
      <c r="E24" s="102">
        <v>3801021</v>
      </c>
      <c r="F24" s="68">
        <f t="shared" ref="F24:F29" si="1">ROUND(E24/366,0)</f>
        <v>10385</v>
      </c>
      <c r="G24" s="66" t="s">
        <v>53</v>
      </c>
      <c r="H24" s="88">
        <f>'[6]ATO-CWC2'!$C$19</f>
        <v>37.5</v>
      </c>
      <c r="I24" s="66" t="s">
        <v>63</v>
      </c>
      <c r="J24" s="103">
        <f>'[6]ATO-CWC6'!$E$23</f>
        <v>241.5</v>
      </c>
      <c r="K24" s="68"/>
      <c r="L24" s="90">
        <f t="shared" ref="L24:L29" si="2">H24-J24</f>
        <v>-204</v>
      </c>
      <c r="M24" s="68"/>
      <c r="N24" s="91">
        <f t="shared" ref="N24:N29" si="3">L24*F24</f>
        <v>-2118540</v>
      </c>
      <c r="O24" s="16"/>
      <c r="P24" s="92"/>
      <c r="Q24" s="93"/>
      <c r="R24" s="93"/>
      <c r="S24" s="62"/>
      <c r="T24" s="62"/>
      <c r="U24" s="62"/>
    </row>
    <row r="25" spans="1:21">
      <c r="A25" s="50">
        <f t="shared" si="0"/>
        <v>12</v>
      </c>
      <c r="B25" s="50"/>
      <c r="C25" s="65" t="s">
        <v>64</v>
      </c>
      <c r="D25" s="65"/>
      <c r="E25" s="102">
        <v>1241962</v>
      </c>
      <c r="F25" s="68">
        <f t="shared" si="1"/>
        <v>3393</v>
      </c>
      <c r="G25" s="66" t="s">
        <v>53</v>
      </c>
      <c r="H25" s="88">
        <f>'[6]ATO-CWC2'!$C$19</f>
        <v>37.5</v>
      </c>
      <c r="I25" s="66" t="s">
        <v>63</v>
      </c>
      <c r="J25" s="103">
        <f>'[6]ATO-CWC6'!E26</f>
        <v>-151.5</v>
      </c>
      <c r="K25" s="68"/>
      <c r="L25" s="90">
        <f t="shared" si="2"/>
        <v>189</v>
      </c>
      <c r="M25" s="68"/>
      <c r="N25" s="91">
        <f t="shared" si="3"/>
        <v>641277</v>
      </c>
      <c r="O25" s="16"/>
      <c r="P25" s="92"/>
      <c r="Q25" s="93"/>
      <c r="R25" s="93"/>
      <c r="S25" s="62"/>
      <c r="T25" s="62"/>
      <c r="U25" s="62"/>
    </row>
    <row r="26" spans="1:21">
      <c r="A26" s="50">
        <f t="shared" si="0"/>
        <v>13</v>
      </c>
      <c r="B26" s="50"/>
      <c r="C26" s="65" t="s">
        <v>65</v>
      </c>
      <c r="D26" s="65"/>
      <c r="E26" s="102">
        <v>272079.586037</v>
      </c>
      <c r="F26" s="68">
        <f t="shared" si="1"/>
        <v>743</v>
      </c>
      <c r="G26" s="66" t="s">
        <v>53</v>
      </c>
      <c r="H26" s="88">
        <f>'[6]ATO-CWC2'!$C$19</f>
        <v>37.5</v>
      </c>
      <c r="I26" s="66" t="s">
        <v>63</v>
      </c>
      <c r="J26" s="103">
        <f>'[6]ATO-CWC6'!$E$20</f>
        <v>16.545668938638453</v>
      </c>
      <c r="K26" s="68"/>
      <c r="L26" s="90">
        <f t="shared" si="2"/>
        <v>20.954331061361547</v>
      </c>
      <c r="M26" s="68"/>
      <c r="N26" s="91">
        <f t="shared" si="3"/>
        <v>15569.067978591629</v>
      </c>
      <c r="O26" s="16"/>
      <c r="P26" s="92"/>
      <c r="Q26" s="93"/>
      <c r="R26" s="93"/>
      <c r="S26" s="62"/>
      <c r="T26" s="62"/>
      <c r="U26" s="62"/>
    </row>
    <row r="27" spans="1:21">
      <c r="A27" s="50">
        <f t="shared" si="0"/>
        <v>14</v>
      </c>
      <c r="B27" s="50"/>
      <c r="C27" s="65" t="s">
        <v>28</v>
      </c>
      <c r="D27" s="65"/>
      <c r="E27" s="102">
        <v>622004.04</v>
      </c>
      <c r="F27" s="68">
        <f t="shared" si="1"/>
        <v>1699</v>
      </c>
      <c r="G27" s="66" t="s">
        <v>53</v>
      </c>
      <c r="H27" s="88">
        <f>'[6]ATO-CWC2'!$C$19</f>
        <v>37.5</v>
      </c>
      <c r="I27" s="66" t="s">
        <v>63</v>
      </c>
      <c r="J27" s="88">
        <f>'[6]ATO-CWC6'!E28</f>
        <v>37.5</v>
      </c>
      <c r="K27" s="68"/>
      <c r="L27" s="90">
        <f t="shared" si="2"/>
        <v>0</v>
      </c>
      <c r="M27" s="68"/>
      <c r="N27" s="91">
        <f t="shared" si="3"/>
        <v>0</v>
      </c>
      <c r="O27" s="16"/>
      <c r="P27" s="92"/>
      <c r="Q27" s="93"/>
      <c r="R27" s="93"/>
      <c r="S27" s="62"/>
      <c r="T27" s="62"/>
      <c r="U27" s="62"/>
    </row>
    <row r="28" spans="1:21">
      <c r="A28" s="50">
        <f t="shared" si="0"/>
        <v>15</v>
      </c>
      <c r="B28" s="65"/>
      <c r="C28" s="65" t="s">
        <v>66</v>
      </c>
      <c r="D28" s="65"/>
      <c r="E28" s="102">
        <v>530084.28</v>
      </c>
      <c r="F28" s="68">
        <f t="shared" si="1"/>
        <v>1448</v>
      </c>
      <c r="G28" s="66" t="s">
        <v>53</v>
      </c>
      <c r="H28" s="88">
        <f>'[6]ATO-CWC2'!$C$19</f>
        <v>37.5</v>
      </c>
      <c r="I28" s="66" t="s">
        <v>63</v>
      </c>
      <c r="J28" s="100">
        <f>'[6]ATO-CWC6'!$E$31</f>
        <v>272.5</v>
      </c>
      <c r="K28" s="68"/>
      <c r="L28" s="90">
        <f t="shared" si="2"/>
        <v>-235</v>
      </c>
      <c r="M28" s="68"/>
      <c r="N28" s="91">
        <f t="shared" si="3"/>
        <v>-340280</v>
      </c>
      <c r="O28" s="16"/>
      <c r="P28" s="92"/>
      <c r="Q28" s="93"/>
      <c r="R28" s="93"/>
      <c r="S28" s="62"/>
      <c r="T28" s="62"/>
      <c r="U28" s="62"/>
    </row>
    <row r="29" spans="1:21">
      <c r="A29" s="50">
        <f t="shared" si="0"/>
        <v>16</v>
      </c>
      <c r="B29" s="50"/>
      <c r="C29" s="65" t="s">
        <v>67</v>
      </c>
      <c r="D29" s="65"/>
      <c r="E29" s="102">
        <v>0</v>
      </c>
      <c r="F29" s="68">
        <f t="shared" si="1"/>
        <v>0</v>
      </c>
      <c r="G29" s="66" t="s">
        <v>53</v>
      </c>
      <c r="H29" s="88">
        <f>'[6]ATO-CWC2'!$C$19</f>
        <v>37.5</v>
      </c>
      <c r="I29" s="66" t="s">
        <v>63</v>
      </c>
      <c r="J29" s="103">
        <f>'[6]ATO-CWC6'!E34</f>
        <v>59</v>
      </c>
      <c r="K29" s="68"/>
      <c r="L29" s="90">
        <f t="shared" si="2"/>
        <v>-21.5</v>
      </c>
      <c r="M29" s="68"/>
      <c r="N29" s="91">
        <f t="shared" si="3"/>
        <v>0</v>
      </c>
      <c r="O29" s="16"/>
      <c r="P29" s="92"/>
      <c r="Q29" s="93"/>
      <c r="R29" s="93"/>
      <c r="S29" s="62"/>
      <c r="T29" s="62"/>
      <c r="U29" s="62"/>
    </row>
    <row r="30" spans="1:21">
      <c r="A30" s="50">
        <f t="shared" si="0"/>
        <v>17</v>
      </c>
      <c r="B30" s="50"/>
      <c r="C30" s="50"/>
      <c r="D30" s="50"/>
      <c r="E30" s="65"/>
      <c r="F30" s="94"/>
      <c r="G30" s="66"/>
      <c r="H30" s="88"/>
      <c r="I30" s="66"/>
      <c r="J30" s="67"/>
      <c r="K30" s="68"/>
      <c r="L30" s="68"/>
      <c r="M30" s="68"/>
      <c r="N30" s="65"/>
      <c r="O30" s="16"/>
      <c r="P30" s="92"/>
      <c r="Q30" s="93"/>
      <c r="R30" s="62"/>
      <c r="S30" s="62"/>
      <c r="T30" s="62"/>
      <c r="U30" s="62"/>
    </row>
    <row r="31" spans="1:21">
      <c r="A31" s="50">
        <f t="shared" si="0"/>
        <v>18</v>
      </c>
      <c r="B31" s="65" t="s">
        <v>68</v>
      </c>
      <c r="C31" s="50"/>
      <c r="D31" s="50"/>
      <c r="E31" s="104"/>
      <c r="F31" s="94"/>
      <c r="G31" s="66"/>
      <c r="H31" s="88"/>
      <c r="I31" s="66"/>
      <c r="J31" s="67"/>
      <c r="K31" s="68"/>
      <c r="L31" s="68"/>
      <c r="M31" s="68"/>
      <c r="N31" s="65"/>
      <c r="O31" s="16"/>
      <c r="P31" s="92"/>
      <c r="Q31" s="93"/>
      <c r="R31" s="62"/>
      <c r="S31" s="62"/>
      <c r="T31" s="62"/>
      <c r="U31" s="62"/>
    </row>
    <row r="32" spans="1:21">
      <c r="A32" s="50">
        <f t="shared" si="0"/>
        <v>19</v>
      </c>
      <c r="B32" s="50"/>
      <c r="C32" s="65" t="s">
        <v>62</v>
      </c>
      <c r="D32" s="105">
        <v>0.16360323633031482</v>
      </c>
      <c r="E32" s="102">
        <v>49974.064134206477</v>
      </c>
      <c r="F32" s="68">
        <f t="shared" ref="F32:F33" si="4">ROUND(E32/366,0)</f>
        <v>137</v>
      </c>
      <c r="G32" s="66" t="s">
        <v>53</v>
      </c>
      <c r="H32" s="88">
        <f>'[6]ATO-CWC2'!$C$19</f>
        <v>37.5</v>
      </c>
      <c r="I32" s="66" t="s">
        <v>63</v>
      </c>
      <c r="J32" s="103">
        <f>'[6]ATO-CWC6'!$E$23</f>
        <v>241.5</v>
      </c>
      <c r="K32" s="68"/>
      <c r="L32" s="90">
        <f>H32-J32</f>
        <v>-204</v>
      </c>
      <c r="M32" s="68"/>
      <c r="N32" s="91">
        <f>L32*F32</f>
        <v>-27948</v>
      </c>
      <c r="O32" s="16"/>
      <c r="P32" s="106"/>
      <c r="Q32" s="93"/>
      <c r="R32" s="93"/>
      <c r="S32" s="62"/>
      <c r="T32" s="62"/>
      <c r="U32" s="62"/>
    </row>
    <row r="33" spans="1:21">
      <c r="A33" s="50">
        <f t="shared" si="0"/>
        <v>20</v>
      </c>
      <c r="B33" s="50"/>
      <c r="C33" s="65" t="s">
        <v>65</v>
      </c>
      <c r="D33" s="105">
        <f>1-D32</f>
        <v>0.83639676366968518</v>
      </c>
      <c r="E33" s="102">
        <v>255484.83298265052</v>
      </c>
      <c r="F33" s="68">
        <f t="shared" si="4"/>
        <v>698</v>
      </c>
      <c r="G33" s="66" t="s">
        <v>53</v>
      </c>
      <c r="H33" s="88">
        <f>'[6]ATO-CWC2'!$C$19</f>
        <v>37.5</v>
      </c>
      <c r="I33" s="66" t="s">
        <v>63</v>
      </c>
      <c r="J33" s="103">
        <f>'[6]ATO-CWC6'!$E$20</f>
        <v>16.545668938638453</v>
      </c>
      <c r="K33" s="68"/>
      <c r="L33" s="90">
        <f>H33-J33</f>
        <v>20.954331061361547</v>
      </c>
      <c r="M33" s="68"/>
      <c r="N33" s="91">
        <f>L33*F33</f>
        <v>14626.123080830359</v>
      </c>
      <c r="O33" s="16"/>
      <c r="P33" s="92"/>
      <c r="Q33" s="93"/>
      <c r="R33" s="93"/>
      <c r="S33" s="107"/>
      <c r="T33" s="62"/>
      <c r="U33" s="62"/>
    </row>
    <row r="34" spans="1:21">
      <c r="A34" s="50">
        <f t="shared" si="0"/>
        <v>21</v>
      </c>
      <c r="B34" s="50"/>
      <c r="C34" s="50"/>
      <c r="D34" s="108"/>
      <c r="E34" s="50"/>
      <c r="F34" s="95"/>
      <c r="G34" s="51"/>
      <c r="H34" s="52"/>
      <c r="I34" s="51"/>
      <c r="J34" s="52"/>
      <c r="K34" s="53"/>
      <c r="L34" s="53"/>
      <c r="M34" s="53"/>
      <c r="N34" s="50"/>
      <c r="P34" s="109"/>
      <c r="Q34" s="93"/>
      <c r="R34" s="62"/>
      <c r="S34" s="62"/>
      <c r="T34" s="62"/>
      <c r="U34" s="62"/>
    </row>
    <row r="35" spans="1:21">
      <c r="A35" s="50">
        <f t="shared" si="0"/>
        <v>22</v>
      </c>
      <c r="B35" s="50" t="s">
        <v>69</v>
      </c>
      <c r="C35" s="50"/>
      <c r="D35" s="108"/>
      <c r="E35" s="50"/>
      <c r="F35" s="95"/>
      <c r="G35" s="51"/>
      <c r="H35" s="52"/>
      <c r="I35" s="51"/>
      <c r="J35" s="52"/>
      <c r="K35" s="53"/>
      <c r="L35" s="53"/>
      <c r="M35" s="53"/>
      <c r="N35" s="50"/>
      <c r="P35" s="109"/>
      <c r="Q35" s="93"/>
      <c r="R35" s="62"/>
      <c r="S35" s="62"/>
      <c r="T35" s="62"/>
      <c r="U35" s="62"/>
    </row>
    <row r="36" spans="1:21">
      <c r="A36" s="50">
        <f t="shared" si="0"/>
        <v>23</v>
      </c>
      <c r="B36" s="50"/>
      <c r="C36" s="65" t="s">
        <v>62</v>
      </c>
      <c r="D36" s="105">
        <v>0.45718393619238229</v>
      </c>
      <c r="E36" s="102">
        <v>48815.373897499812</v>
      </c>
      <c r="F36" s="68">
        <f t="shared" ref="F36:F37" si="5">ROUND(E36/366,0)</f>
        <v>133</v>
      </c>
      <c r="G36" s="66" t="s">
        <v>53</v>
      </c>
      <c r="H36" s="88">
        <f>'[6]ATO-CWC2'!$C$19</f>
        <v>37.5</v>
      </c>
      <c r="I36" s="66" t="s">
        <v>63</v>
      </c>
      <c r="J36" s="103">
        <f>'[6]ATO-CWC6'!$E$23</f>
        <v>241.5</v>
      </c>
      <c r="K36" s="53"/>
      <c r="L36" s="90">
        <f>H36-J36</f>
        <v>-204</v>
      </c>
      <c r="M36" s="53"/>
      <c r="N36" s="91">
        <f>L36*F36</f>
        <v>-27132</v>
      </c>
      <c r="P36" s="106"/>
      <c r="Q36" s="93"/>
      <c r="R36" s="93"/>
    </row>
    <row r="37" spans="1:21">
      <c r="A37" s="50">
        <f t="shared" si="0"/>
        <v>24</v>
      </c>
      <c r="B37" s="50"/>
      <c r="C37" s="65" t="s">
        <v>65</v>
      </c>
      <c r="D37" s="105">
        <f>1-D36</f>
        <v>0.54281606380761771</v>
      </c>
      <c r="E37" s="102">
        <v>57958.661743503937</v>
      </c>
      <c r="F37" s="68">
        <f t="shared" si="5"/>
        <v>158</v>
      </c>
      <c r="G37" s="66" t="s">
        <v>53</v>
      </c>
      <c r="H37" s="88">
        <f>'[6]ATO-CWC2'!$C$19</f>
        <v>37.5</v>
      </c>
      <c r="I37" s="66" t="s">
        <v>63</v>
      </c>
      <c r="J37" s="103">
        <f>'[6]ATO-CWC6'!$E$20</f>
        <v>16.545668938638453</v>
      </c>
      <c r="K37" s="53"/>
      <c r="L37" s="90">
        <f>H37-J37</f>
        <v>20.954331061361547</v>
      </c>
      <c r="M37" s="53"/>
      <c r="N37" s="91">
        <f>L37*F37</f>
        <v>3310.7843076951244</v>
      </c>
      <c r="P37" s="92"/>
      <c r="Q37" s="93"/>
      <c r="R37" s="93"/>
    </row>
    <row r="38" spans="1:21">
      <c r="A38" s="50">
        <f t="shared" si="0"/>
        <v>25</v>
      </c>
      <c r="B38" s="65" t="s">
        <v>70</v>
      </c>
      <c r="C38" s="65"/>
      <c r="D38" s="65"/>
      <c r="E38" s="110">
        <f>SUM(E24:E37)</f>
        <v>6879383.838794861</v>
      </c>
      <c r="F38" s="68"/>
      <c r="G38" s="66"/>
      <c r="H38" s="88"/>
      <c r="I38" s="66"/>
      <c r="J38" s="67"/>
      <c r="K38" s="68"/>
      <c r="L38" s="68"/>
      <c r="M38" s="68"/>
      <c r="N38" s="110">
        <f>SUM(N24:N37)</f>
        <v>-1839117.0246328828</v>
      </c>
      <c r="O38" s="16"/>
      <c r="P38" s="92"/>
      <c r="Q38" s="93"/>
      <c r="R38" s="62"/>
    </row>
    <row r="39" spans="1:21">
      <c r="A39" s="50">
        <f t="shared" si="0"/>
        <v>26</v>
      </c>
      <c r="B39" s="50"/>
      <c r="C39" s="65"/>
      <c r="D39" s="65"/>
      <c r="E39" s="65"/>
      <c r="F39" s="94"/>
      <c r="G39" s="66"/>
      <c r="H39" s="88"/>
      <c r="I39" s="66"/>
      <c r="J39" s="67"/>
      <c r="K39" s="68"/>
      <c r="L39" s="68"/>
      <c r="M39" s="68"/>
      <c r="N39" s="65"/>
      <c r="O39" s="16"/>
      <c r="P39" s="92"/>
      <c r="Q39" s="93"/>
      <c r="R39" s="62"/>
      <c r="S39" s="62"/>
      <c r="T39" s="62"/>
      <c r="U39" s="62"/>
    </row>
    <row r="40" spans="1:21">
      <c r="A40" s="50">
        <f t="shared" si="0"/>
        <v>27</v>
      </c>
      <c r="B40" s="65" t="s">
        <v>71</v>
      </c>
      <c r="C40" s="65"/>
      <c r="D40" s="65"/>
      <c r="E40" s="111">
        <v>8128107.7200000007</v>
      </c>
      <c r="F40" s="95"/>
      <c r="G40" s="51"/>
      <c r="H40" s="52"/>
      <c r="I40" s="51"/>
      <c r="J40" s="52"/>
      <c r="K40" s="53"/>
      <c r="L40" s="53"/>
      <c r="M40" s="53"/>
      <c r="N40" s="50"/>
      <c r="O40" s="16"/>
      <c r="P40" s="109"/>
      <c r="Q40" s="93"/>
      <c r="R40" s="62"/>
      <c r="S40" s="62"/>
      <c r="T40" s="62"/>
      <c r="U40" s="62"/>
    </row>
    <row r="41" spans="1:21">
      <c r="A41" s="50">
        <f t="shared" si="0"/>
        <v>28</v>
      </c>
      <c r="B41" s="50"/>
      <c r="C41" s="65" t="s">
        <v>72</v>
      </c>
      <c r="D41" s="65"/>
      <c r="E41" s="94">
        <f>E40-E42</f>
        <v>2864726.8450851794</v>
      </c>
      <c r="F41" s="68">
        <f t="shared" ref="F41:F42" si="6">ROUND(E41/366,0)</f>
        <v>7827</v>
      </c>
      <c r="G41" s="66" t="s">
        <v>53</v>
      </c>
      <c r="H41" s="88">
        <f>'[6]ATO-CWC2'!$C$19</f>
        <v>37.5</v>
      </c>
      <c r="I41" s="66" t="s">
        <v>73</v>
      </c>
      <c r="J41" s="88">
        <f>'[6]ATO-CWC7'!$H$16</f>
        <v>37.5</v>
      </c>
      <c r="K41" s="68"/>
      <c r="L41" s="90">
        <f>H41-J41</f>
        <v>0</v>
      </c>
      <c r="M41" s="68"/>
      <c r="N41" s="91">
        <f>L41*F41</f>
        <v>0</v>
      </c>
      <c r="O41" s="16"/>
      <c r="P41" s="92"/>
      <c r="Q41" s="93"/>
      <c r="R41" s="93"/>
      <c r="T41" s="62"/>
      <c r="U41" s="62"/>
    </row>
    <row r="42" spans="1:21">
      <c r="A42" s="50">
        <f t="shared" si="0"/>
        <v>29</v>
      </c>
      <c r="B42" s="65"/>
      <c r="C42" s="65" t="s">
        <v>74</v>
      </c>
      <c r="D42" s="65"/>
      <c r="E42" s="98">
        <v>5263380.8749148212</v>
      </c>
      <c r="F42" s="68">
        <f t="shared" si="6"/>
        <v>14381</v>
      </c>
      <c r="G42" s="66" t="s">
        <v>53</v>
      </c>
      <c r="H42" s="88">
        <f>'[6]ATO-CWC2'!$C$19</f>
        <v>37.5</v>
      </c>
      <c r="I42" s="66" t="s">
        <v>73</v>
      </c>
      <c r="J42" s="88">
        <v>0</v>
      </c>
      <c r="K42" s="68"/>
      <c r="L42" s="90">
        <f>H42-J42</f>
        <v>37.5</v>
      </c>
      <c r="M42" s="68"/>
      <c r="N42" s="91">
        <f>L42*F42</f>
        <v>539287.5</v>
      </c>
      <c r="O42" s="16"/>
      <c r="P42" s="92"/>
      <c r="Q42" s="93"/>
      <c r="R42" s="93"/>
      <c r="T42" s="62"/>
      <c r="U42" s="62"/>
    </row>
    <row r="43" spans="1:21">
      <c r="A43" s="50">
        <f t="shared" si="0"/>
        <v>30</v>
      </c>
      <c r="B43" s="65"/>
      <c r="C43" s="65"/>
      <c r="D43" s="65"/>
      <c r="E43" s="65"/>
      <c r="F43" s="94"/>
      <c r="G43" s="66"/>
      <c r="H43" s="88"/>
      <c r="I43" s="66"/>
      <c r="J43" s="67"/>
      <c r="K43" s="68"/>
      <c r="L43" s="68"/>
      <c r="M43" s="68"/>
      <c r="N43" s="65"/>
      <c r="O43" s="16"/>
      <c r="P43" s="92"/>
      <c r="Q43" s="93"/>
      <c r="T43" s="62"/>
      <c r="U43" s="62"/>
    </row>
    <row r="44" spans="1:21">
      <c r="A44" s="50">
        <f t="shared" si="0"/>
        <v>31</v>
      </c>
      <c r="B44" s="65" t="s">
        <v>75</v>
      </c>
      <c r="C44" s="65"/>
      <c r="D44" s="65"/>
      <c r="E44" s="111">
        <v>1614444.4665000001</v>
      </c>
      <c r="F44" s="95"/>
      <c r="G44" s="51"/>
      <c r="H44" s="52"/>
      <c r="I44" s="51"/>
      <c r="J44" s="52"/>
      <c r="K44" s="53"/>
      <c r="L44" s="53"/>
      <c r="M44" s="53"/>
      <c r="N44" s="50"/>
      <c r="O44" s="16"/>
      <c r="P44" s="109"/>
      <c r="Q44" s="93"/>
      <c r="R44" s="62"/>
      <c r="S44" s="62"/>
    </row>
    <row r="45" spans="1:21">
      <c r="A45" s="50">
        <f t="shared" si="0"/>
        <v>32</v>
      </c>
      <c r="B45" s="50"/>
      <c r="C45" s="65" t="s">
        <v>72</v>
      </c>
      <c r="D45" s="65"/>
      <c r="E45" s="94">
        <f>E44-E46</f>
        <v>569006.04204612714</v>
      </c>
      <c r="F45" s="68">
        <f t="shared" ref="F45:F46" si="7">ROUND(E45/366,0)</f>
        <v>1555</v>
      </c>
      <c r="G45" s="66" t="s">
        <v>53</v>
      </c>
      <c r="H45" s="88">
        <f>'[6]ATO-CWC2'!$C$19</f>
        <v>37.5</v>
      </c>
      <c r="I45" s="66" t="s">
        <v>76</v>
      </c>
      <c r="J45" s="88">
        <f>'[6]ATO-CWC8'!H16</f>
        <v>37.5</v>
      </c>
      <c r="K45" s="68"/>
      <c r="L45" s="90">
        <f>H45-J45</f>
        <v>0</v>
      </c>
      <c r="M45" s="68"/>
      <c r="N45" s="91">
        <f>L45*F45</f>
        <v>0</v>
      </c>
      <c r="O45" s="16"/>
      <c r="P45" s="92"/>
      <c r="Q45" s="93"/>
      <c r="R45" s="93"/>
      <c r="S45" s="62"/>
    </row>
    <row r="46" spans="1:21">
      <c r="A46" s="50">
        <f t="shared" si="0"/>
        <v>33</v>
      </c>
      <c r="B46" s="65"/>
      <c r="C46" s="65" t="s">
        <v>74</v>
      </c>
      <c r="D46" s="65"/>
      <c r="E46" s="98">
        <v>1045438.424453873</v>
      </c>
      <c r="F46" s="68">
        <f t="shared" si="7"/>
        <v>2856</v>
      </c>
      <c r="G46" s="66" t="s">
        <v>53</v>
      </c>
      <c r="H46" s="88">
        <f>'[6]ATO-CWC2'!$C$19</f>
        <v>37.5</v>
      </c>
      <c r="I46" s="66" t="s">
        <v>76</v>
      </c>
      <c r="J46" s="88">
        <f>'[6]ATO-CWC8'!H17</f>
        <v>0</v>
      </c>
      <c r="K46" s="68"/>
      <c r="L46" s="90">
        <f>H46-J46</f>
        <v>37.5</v>
      </c>
      <c r="M46" s="68"/>
      <c r="N46" s="91">
        <f>L46*F46</f>
        <v>107100</v>
      </c>
      <c r="O46" s="16"/>
      <c r="P46" s="92"/>
      <c r="Q46" s="93"/>
      <c r="R46" s="93"/>
      <c r="S46" s="62"/>
    </row>
    <row r="47" spans="1:21">
      <c r="A47" s="50">
        <f t="shared" si="0"/>
        <v>34</v>
      </c>
      <c r="B47" s="65"/>
      <c r="C47" s="65"/>
      <c r="D47" s="65"/>
      <c r="E47" s="94"/>
      <c r="F47" s="94"/>
      <c r="G47" s="66"/>
      <c r="H47" s="88"/>
      <c r="I47" s="66"/>
      <c r="J47" s="67"/>
      <c r="K47" s="68"/>
      <c r="L47" s="90"/>
      <c r="M47" s="68"/>
      <c r="N47" s="91"/>
      <c r="O47" s="16"/>
      <c r="P47" s="92"/>
      <c r="Q47" s="93"/>
      <c r="R47" s="62"/>
      <c r="S47" s="62"/>
    </row>
    <row r="48" spans="1:21">
      <c r="A48" s="50">
        <f t="shared" si="0"/>
        <v>35</v>
      </c>
      <c r="B48" s="50" t="s">
        <v>77</v>
      </c>
      <c r="C48" s="65"/>
      <c r="D48" s="65"/>
      <c r="E48" s="112">
        <v>12468039.407978278</v>
      </c>
      <c r="F48" s="68">
        <f>ROUND(E48/366,0)</f>
        <v>34066</v>
      </c>
      <c r="G48" s="66" t="s">
        <v>53</v>
      </c>
      <c r="H48" s="88">
        <f>'[6]ATO-CWC2'!$C$19</f>
        <v>37.5</v>
      </c>
      <c r="I48" s="66"/>
      <c r="J48" s="67">
        <v>0</v>
      </c>
      <c r="K48" s="68"/>
      <c r="L48" s="90">
        <f>H48-J48</f>
        <v>37.5</v>
      </c>
      <c r="M48" s="68"/>
      <c r="N48" s="91">
        <f>L48*F48</f>
        <v>1277475</v>
      </c>
      <c r="O48" s="16"/>
      <c r="P48" s="92"/>
      <c r="Q48" s="93"/>
      <c r="R48" s="93"/>
      <c r="S48" s="62"/>
    </row>
    <row r="49" spans="1:21">
      <c r="A49" s="50">
        <f t="shared" si="0"/>
        <v>36</v>
      </c>
      <c r="B49" s="50"/>
      <c r="C49" s="65"/>
      <c r="D49" s="65"/>
      <c r="E49" s="113"/>
      <c r="F49" s="68"/>
      <c r="G49" s="66"/>
      <c r="H49" s="88"/>
      <c r="I49" s="66"/>
      <c r="J49" s="67"/>
      <c r="K49" s="68"/>
      <c r="L49" s="90"/>
      <c r="M49" s="68"/>
      <c r="N49" s="91"/>
      <c r="O49" s="16"/>
      <c r="P49" s="92"/>
      <c r="Q49" s="93"/>
      <c r="R49" s="62"/>
      <c r="S49" s="62"/>
    </row>
    <row r="50" spans="1:21">
      <c r="A50" s="50">
        <f t="shared" si="0"/>
        <v>37</v>
      </c>
      <c r="B50" s="65" t="s">
        <v>78</v>
      </c>
      <c r="C50" s="65"/>
      <c r="D50" s="65"/>
      <c r="E50" s="98">
        <v>118048.83975000001</v>
      </c>
      <c r="F50" s="68">
        <f>ROUND(E50/366,0)</f>
        <v>323</v>
      </c>
      <c r="G50" s="66" t="s">
        <v>53</v>
      </c>
      <c r="H50" s="88">
        <f>'[6]ATO-CWC2'!$C$19</f>
        <v>37.5</v>
      </c>
      <c r="I50" s="66"/>
      <c r="J50" s="114">
        <f>365/2</f>
        <v>182.5</v>
      </c>
      <c r="K50" s="68"/>
      <c r="L50" s="90">
        <f>H50-J50</f>
        <v>-145</v>
      </c>
      <c r="M50" s="68"/>
      <c r="N50" s="91">
        <f>L50*F50</f>
        <v>-46835</v>
      </c>
      <c r="O50" s="16"/>
      <c r="P50" s="92"/>
      <c r="Q50" s="93"/>
      <c r="R50" s="93"/>
      <c r="S50" s="62"/>
      <c r="T50" s="62"/>
      <c r="U50" s="62"/>
    </row>
    <row r="51" spans="1:21">
      <c r="A51" s="50">
        <f t="shared" si="0"/>
        <v>38</v>
      </c>
      <c r="B51" s="50"/>
      <c r="C51" s="65"/>
      <c r="D51" s="65"/>
      <c r="E51" s="65"/>
      <c r="F51" s="94"/>
      <c r="G51" s="66"/>
      <c r="H51" s="88"/>
      <c r="I51" s="66"/>
      <c r="J51" s="67"/>
      <c r="K51" s="68"/>
      <c r="L51" s="68"/>
      <c r="M51" s="68"/>
      <c r="N51" s="65"/>
      <c r="O51" s="16"/>
      <c r="P51" s="92"/>
      <c r="Q51" s="93"/>
      <c r="R51" s="62"/>
      <c r="S51" s="62"/>
    </row>
    <row r="52" spans="1:21">
      <c r="A52" s="50">
        <f t="shared" si="0"/>
        <v>39</v>
      </c>
      <c r="B52" s="65" t="s">
        <v>79</v>
      </c>
      <c r="C52" s="65"/>
      <c r="D52" s="65"/>
      <c r="E52" s="102">
        <v>6623097</v>
      </c>
      <c r="F52" s="68">
        <f>ROUND(E52/366,0)</f>
        <v>18096</v>
      </c>
      <c r="G52" s="66" t="s">
        <v>53</v>
      </c>
      <c r="H52" s="88">
        <f>'[6]ATO-CWC2'!$C$19</f>
        <v>37.5</v>
      </c>
      <c r="I52" s="66" t="s">
        <v>80</v>
      </c>
      <c r="J52" s="88">
        <f>'[6]ATO-CWC9'!L22</f>
        <v>91.25</v>
      </c>
      <c r="K52" s="68"/>
      <c r="L52" s="90">
        <f>H52-J52</f>
        <v>-53.75</v>
      </c>
      <c r="M52" s="68"/>
      <c r="N52" s="91">
        <f>L52*F52</f>
        <v>-972660</v>
      </c>
      <c r="O52" s="16"/>
      <c r="P52" s="92"/>
      <c r="Q52" s="93"/>
      <c r="R52" s="93"/>
      <c r="S52" s="62"/>
    </row>
    <row r="53" spans="1:21">
      <c r="A53" s="95">
        <f t="shared" si="0"/>
        <v>40</v>
      </c>
      <c r="B53" s="50"/>
      <c r="C53" s="65"/>
      <c r="D53" s="65"/>
      <c r="E53" s="65"/>
      <c r="F53" s="94"/>
      <c r="G53" s="66"/>
      <c r="H53" s="88"/>
      <c r="I53" s="66"/>
      <c r="J53" s="67"/>
      <c r="K53" s="68"/>
      <c r="L53" s="68"/>
      <c r="M53" s="68"/>
      <c r="N53" s="65"/>
      <c r="O53" s="16"/>
      <c r="P53" s="92"/>
      <c r="Q53" s="93"/>
      <c r="R53" s="62"/>
      <c r="S53" s="62"/>
    </row>
    <row r="54" spans="1:21">
      <c r="A54" s="95">
        <v>41</v>
      </c>
      <c r="B54" s="50" t="s">
        <v>81</v>
      </c>
      <c r="C54" s="65"/>
      <c r="D54" s="65"/>
      <c r="E54" s="115">
        <v>15166903.23</v>
      </c>
      <c r="F54" s="68">
        <f>ROUND(E54/366,0)</f>
        <v>41440</v>
      </c>
      <c r="G54" s="66" t="s">
        <v>53</v>
      </c>
      <c r="H54" s="88">
        <f>'[6]ATO-CWC2'!$C$19</f>
        <v>37.5</v>
      </c>
      <c r="I54" s="66"/>
      <c r="J54" s="67">
        <v>0</v>
      </c>
      <c r="K54" s="68"/>
      <c r="L54" s="90">
        <f>H54-J54</f>
        <v>37.5</v>
      </c>
      <c r="M54" s="68"/>
      <c r="N54" s="101">
        <f>L54*F54</f>
        <v>1554000</v>
      </c>
      <c r="O54" s="16"/>
      <c r="P54" s="92"/>
      <c r="Q54" s="93"/>
      <c r="R54" s="93"/>
      <c r="S54" s="62"/>
      <c r="T54" s="62"/>
      <c r="U54" s="62"/>
    </row>
    <row r="55" spans="1:21">
      <c r="A55" s="95">
        <v>42</v>
      </c>
      <c r="B55" s="50"/>
      <c r="C55" s="65"/>
      <c r="D55" s="65"/>
      <c r="E55" s="65"/>
      <c r="F55" s="65"/>
      <c r="G55" s="66"/>
      <c r="H55" s="88"/>
      <c r="I55" s="66"/>
      <c r="J55" s="67"/>
      <c r="K55" s="68"/>
      <c r="L55" s="68"/>
      <c r="M55" s="68"/>
      <c r="N55" s="65"/>
      <c r="O55" s="16"/>
      <c r="Q55" s="93"/>
      <c r="R55" s="62"/>
      <c r="S55" s="62"/>
      <c r="T55" s="62"/>
      <c r="U55" s="62"/>
    </row>
    <row r="56" spans="1:21">
      <c r="A56" s="95">
        <v>43</v>
      </c>
      <c r="B56" s="50"/>
      <c r="C56" s="65"/>
      <c r="D56" s="65"/>
      <c r="E56" s="65"/>
      <c r="F56" s="65"/>
      <c r="G56" s="66"/>
      <c r="H56" s="88"/>
      <c r="I56" s="66"/>
      <c r="J56" s="67"/>
      <c r="K56" s="68"/>
      <c r="L56" s="68"/>
      <c r="M56" s="68"/>
      <c r="N56" s="65"/>
      <c r="O56" s="16"/>
      <c r="Q56" s="93"/>
      <c r="R56" s="62"/>
      <c r="S56" s="62"/>
      <c r="T56" s="62"/>
      <c r="U56" s="62"/>
    </row>
    <row r="57" spans="1:21" ht="16.5" thickBot="1">
      <c r="A57" s="95">
        <v>44</v>
      </c>
      <c r="B57" s="50" t="s">
        <v>82</v>
      </c>
      <c r="C57" s="65"/>
      <c r="D57" s="65"/>
      <c r="E57" s="68">
        <f>+E45+E41+E48+E38+E20+E15+E52+E50+E54+E42+E46</f>
        <v>158492967.99302313</v>
      </c>
      <c r="F57" s="91"/>
      <c r="G57" s="66"/>
      <c r="H57" s="88"/>
      <c r="I57" s="66"/>
      <c r="J57" s="88"/>
      <c r="K57" s="68"/>
      <c r="L57" s="68"/>
      <c r="M57" s="68"/>
      <c r="N57" s="116">
        <f>+N45+N41+N48+N38+N20+N15+N52+N50+N54+N42+N46</f>
        <v>956389.42536711763</v>
      </c>
      <c r="O57" s="16"/>
      <c r="Q57" s="93"/>
      <c r="R57" s="62"/>
      <c r="S57" s="62"/>
      <c r="T57" s="62"/>
      <c r="U57" s="62"/>
    </row>
    <row r="58" spans="1:21" ht="16.5" thickTop="1">
      <c r="C58" s="62"/>
      <c r="D58" s="62"/>
      <c r="E58" s="62"/>
      <c r="F58" s="62"/>
      <c r="G58" s="117"/>
      <c r="H58" s="92"/>
      <c r="I58" s="117"/>
      <c r="J58" s="118"/>
      <c r="K58" s="16"/>
      <c r="L58" s="16"/>
      <c r="M58" s="16"/>
      <c r="N58" s="119"/>
      <c r="O58" s="16"/>
      <c r="Q58" s="62"/>
      <c r="R58" s="62"/>
      <c r="S58" s="62"/>
      <c r="T58" s="62"/>
      <c r="U58" s="62"/>
    </row>
    <row r="59" spans="1:21">
      <c r="A59" s="56">
        <v>45</v>
      </c>
      <c r="B59" s="15" t="s">
        <v>32</v>
      </c>
      <c r="E59" s="134">
        <v>0.125</v>
      </c>
      <c r="H59" s="97"/>
      <c r="N59" s="68">
        <f>E59*E20</f>
        <v>2502063</v>
      </c>
      <c r="O59" s="16"/>
      <c r="Q59" s="62"/>
      <c r="R59" s="62"/>
      <c r="S59" s="62"/>
    </row>
    <row r="60" spans="1:21">
      <c r="B60" s="5"/>
      <c r="C60" s="72"/>
      <c r="D60" s="72"/>
      <c r="E60" s="120"/>
      <c r="F60" s="72"/>
      <c r="G60" s="122"/>
      <c r="H60" s="123"/>
      <c r="I60" s="122"/>
      <c r="J60" s="124"/>
      <c r="K60" s="72"/>
      <c r="L60" s="72"/>
      <c r="M60" s="72"/>
      <c r="O60" s="16"/>
      <c r="Q60" s="62"/>
      <c r="R60" s="62"/>
      <c r="S60" s="62"/>
    </row>
    <row r="61" spans="1:21">
      <c r="A61" s="56">
        <v>46</v>
      </c>
      <c r="B61" s="15" t="s">
        <v>9</v>
      </c>
      <c r="H61" s="97"/>
      <c r="N61" s="34">
        <f>N57-N59</f>
        <v>-1545673.5746328824</v>
      </c>
      <c r="Q61" s="62"/>
      <c r="R61" s="62"/>
      <c r="S61" s="62"/>
    </row>
    <row r="62" spans="1:21">
      <c r="C62" s="125"/>
      <c r="D62" s="125"/>
      <c r="H62" s="97"/>
      <c r="O62" s="16"/>
      <c r="Q62" s="62"/>
      <c r="R62" s="62"/>
      <c r="S62" s="62"/>
    </row>
    <row r="63" spans="1:21">
      <c r="H63" s="97"/>
    </row>
    <row r="64" spans="1:21">
      <c r="H64" s="97"/>
    </row>
    <row r="65" spans="8:8">
      <c r="H65" s="97"/>
    </row>
    <row r="66" spans="8:8">
      <c r="H66" s="97"/>
    </row>
    <row r="67" spans="8:8">
      <c r="H67" s="97"/>
    </row>
    <row r="68" spans="8:8">
      <c r="H68" s="97"/>
    </row>
    <row r="69" spans="8:8">
      <c r="H69" s="97"/>
    </row>
    <row r="70" spans="8:8">
      <c r="H70" s="97"/>
    </row>
    <row r="71" spans="8:8">
      <c r="H71" s="97"/>
    </row>
    <row r="72" spans="8:8">
      <c r="H72" s="97"/>
    </row>
    <row r="73" spans="8:8">
      <c r="H73" s="97"/>
    </row>
    <row r="74" spans="8:8">
      <c r="H74" s="97"/>
    </row>
    <row r="75" spans="8:8">
      <c r="H75" s="97"/>
    </row>
    <row r="76" spans="8:8">
      <c r="H76" s="97"/>
    </row>
    <row r="77" spans="8:8">
      <c r="H77" s="97"/>
    </row>
    <row r="78" spans="8:8">
      <c r="H78" s="97"/>
    </row>
    <row r="79" spans="8:8">
      <c r="H79" s="97"/>
    </row>
    <row r="80" spans="8:8">
      <c r="H80" s="97"/>
    </row>
    <row r="81" spans="8:8">
      <c r="H81" s="97"/>
    </row>
    <row r="82" spans="8:8">
      <c r="H82" s="97"/>
    </row>
    <row r="83" spans="8:8">
      <c r="H83" s="97"/>
    </row>
    <row r="84" spans="8:8">
      <c r="H84" s="97"/>
    </row>
    <row r="85" spans="8:8">
      <c r="H85" s="97"/>
    </row>
    <row r="86" spans="8:8">
      <c r="H86" s="97"/>
    </row>
    <row r="87" spans="8:8">
      <c r="H87" s="97"/>
    </row>
    <row r="88" spans="8:8">
      <c r="H88" s="97"/>
    </row>
    <row r="89" spans="8:8">
      <c r="H89" s="97"/>
    </row>
    <row r="90" spans="8:8">
      <c r="H90" s="97"/>
    </row>
    <row r="91" spans="8:8">
      <c r="H91" s="97"/>
    </row>
    <row r="92" spans="8:8">
      <c r="H92" s="97"/>
    </row>
    <row r="93" spans="8:8">
      <c r="H93" s="97"/>
    </row>
    <row r="94" spans="8:8">
      <c r="H94" s="97"/>
    </row>
    <row r="95" spans="8:8">
      <c r="H95" s="97"/>
    </row>
    <row r="96" spans="8:8">
      <c r="H96" s="97"/>
    </row>
    <row r="97" spans="8:8">
      <c r="H97" s="97"/>
    </row>
    <row r="98" spans="8:8">
      <c r="H98" s="97"/>
    </row>
    <row r="99" spans="8:8">
      <c r="H99" s="97"/>
    </row>
    <row r="100" spans="8:8">
      <c r="H100" s="97"/>
    </row>
    <row r="101" spans="8:8">
      <c r="H101" s="97"/>
    </row>
    <row r="102" spans="8:8">
      <c r="H102" s="97"/>
    </row>
    <row r="103" spans="8:8">
      <c r="H103" s="97"/>
    </row>
    <row r="104" spans="8:8">
      <c r="H104" s="97"/>
    </row>
    <row r="105" spans="8:8">
      <c r="H105" s="97"/>
    </row>
    <row r="106" spans="8:8">
      <c r="H106" s="97"/>
    </row>
    <row r="107" spans="8:8">
      <c r="H107" s="97"/>
    </row>
    <row r="108" spans="8:8">
      <c r="H108" s="97"/>
    </row>
    <row r="109" spans="8:8">
      <c r="H109" s="97"/>
    </row>
    <row r="110" spans="8:8">
      <c r="H110" s="97"/>
    </row>
    <row r="111" spans="8:8">
      <c r="H111" s="97"/>
    </row>
    <row r="112" spans="8:8">
      <c r="H112" s="97"/>
    </row>
    <row r="113" spans="8:8">
      <c r="H113" s="97"/>
    </row>
    <row r="114" spans="8:8">
      <c r="H114" s="97"/>
    </row>
    <row r="115" spans="8:8">
      <c r="H115" s="97"/>
    </row>
    <row r="116" spans="8:8">
      <c r="H116" s="97"/>
    </row>
    <row r="117" spans="8:8">
      <c r="H117" s="97"/>
    </row>
    <row r="118" spans="8:8">
      <c r="H118" s="97"/>
    </row>
    <row r="119" spans="8:8">
      <c r="H119" s="97"/>
    </row>
    <row r="120" spans="8:8">
      <c r="H120" s="97"/>
    </row>
    <row r="121" spans="8:8">
      <c r="H121" s="97"/>
    </row>
    <row r="122" spans="8:8">
      <c r="H122" s="97"/>
    </row>
    <row r="123" spans="8:8">
      <c r="H123" s="97"/>
    </row>
    <row r="124" spans="8:8">
      <c r="H124" s="97"/>
    </row>
    <row r="125" spans="8:8">
      <c r="H125" s="97"/>
    </row>
    <row r="126" spans="8:8">
      <c r="H126" s="97"/>
    </row>
    <row r="127" spans="8:8">
      <c r="H127" s="97"/>
    </row>
    <row r="128" spans="8:8">
      <c r="H128" s="97"/>
    </row>
    <row r="129" spans="8:8">
      <c r="H129" s="97"/>
    </row>
    <row r="130" spans="8:8">
      <c r="H130" s="97"/>
    </row>
    <row r="131" spans="8:8">
      <c r="H131" s="97"/>
    </row>
    <row r="132" spans="8:8">
      <c r="H132" s="97"/>
    </row>
    <row r="133" spans="8:8">
      <c r="H133" s="97"/>
    </row>
    <row r="134" spans="8:8">
      <c r="H134" s="97"/>
    </row>
    <row r="135" spans="8:8">
      <c r="H135" s="97"/>
    </row>
    <row r="136" spans="8:8">
      <c r="H136" s="97"/>
    </row>
    <row r="137" spans="8:8">
      <c r="H137" s="97"/>
    </row>
    <row r="138" spans="8:8">
      <c r="H138" s="97"/>
    </row>
    <row r="139" spans="8:8">
      <c r="H139" s="97"/>
    </row>
    <row r="140" spans="8:8">
      <c r="H140" s="97"/>
    </row>
    <row r="141" spans="8:8">
      <c r="H141" s="97"/>
    </row>
    <row r="142" spans="8:8">
      <c r="H142" s="97"/>
    </row>
    <row r="143" spans="8:8">
      <c r="H143" s="97"/>
    </row>
    <row r="144" spans="8:8">
      <c r="H144" s="97"/>
    </row>
    <row r="145" spans="8:8">
      <c r="H145" s="97"/>
    </row>
    <row r="146" spans="8:8">
      <c r="H146" s="97"/>
    </row>
    <row r="147" spans="8:8">
      <c r="H147" s="97"/>
    </row>
    <row r="148" spans="8:8">
      <c r="H148" s="97"/>
    </row>
    <row r="149" spans="8:8">
      <c r="H149" s="97"/>
    </row>
    <row r="150" spans="8:8">
      <c r="H150" s="97"/>
    </row>
    <row r="151" spans="8:8">
      <c r="H151" s="97"/>
    </row>
    <row r="152" spans="8:8">
      <c r="H152" s="97"/>
    </row>
    <row r="153" spans="8:8">
      <c r="H153" s="97"/>
    </row>
    <row r="154" spans="8:8">
      <c r="H154" s="97"/>
    </row>
    <row r="155" spans="8:8">
      <c r="H155" s="97"/>
    </row>
    <row r="156" spans="8:8">
      <c r="H156" s="97"/>
    </row>
    <row r="157" spans="8:8">
      <c r="H157" s="97"/>
    </row>
    <row r="158" spans="8:8">
      <c r="H158" s="97"/>
    </row>
    <row r="159" spans="8:8">
      <c r="H159" s="97"/>
    </row>
    <row r="160" spans="8:8">
      <c r="H160" s="97"/>
    </row>
    <row r="161" spans="8:8">
      <c r="H161" s="97"/>
    </row>
    <row r="162" spans="8:8">
      <c r="H162" s="97"/>
    </row>
    <row r="163" spans="8:8">
      <c r="H163" s="97"/>
    </row>
    <row r="164" spans="8:8">
      <c r="H164" s="97"/>
    </row>
    <row r="165" spans="8:8">
      <c r="H165" s="97"/>
    </row>
    <row r="166" spans="8:8">
      <c r="H166" s="97"/>
    </row>
    <row r="167" spans="8:8">
      <c r="H167" s="97"/>
    </row>
    <row r="168" spans="8:8">
      <c r="H168" s="97"/>
    </row>
    <row r="169" spans="8:8">
      <c r="H169" s="97"/>
    </row>
    <row r="170" spans="8:8">
      <c r="H170" s="97"/>
    </row>
    <row r="171" spans="8:8">
      <c r="H171" s="97"/>
    </row>
    <row r="172" spans="8:8">
      <c r="H172" s="97"/>
    </row>
    <row r="173" spans="8:8">
      <c r="H173" s="97"/>
    </row>
  </sheetData>
  <mergeCells count="1">
    <mergeCell ref="P14:R14"/>
  </mergeCells>
  <pageMargins left="0.95" right="0.5" top="0.75" bottom="0.5" header="0.25" footer="0.5"/>
  <pageSetup scale="65" orientation="portrait" horizontalDpi="300" r:id="rId1"/>
  <headerFooter alignWithMargins="0">
    <oddHeader>&amp;RCASE NO. 2018-00281
ATTACHMENT 2
TO STAFF DR NO. 2-36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72"/>
  <sheetViews>
    <sheetView showGridLines="0" zoomScale="85" zoomScaleNormal="85" zoomScaleSheetLayoutView="80" workbookViewId="0"/>
  </sheetViews>
  <sheetFormatPr defaultColWidth="8.5546875" defaultRowHeight="15.75"/>
  <cols>
    <col min="1" max="1" width="3.88671875" style="56" bestFit="1" customWidth="1"/>
    <col min="2" max="2" width="3.44140625" style="56" customWidth="1"/>
    <col min="3" max="3" width="26.21875" style="56" customWidth="1"/>
    <col min="4" max="4" width="5.5546875" style="56" bestFit="1" customWidth="1"/>
    <col min="5" max="5" width="12.109375" style="56" bestFit="1" customWidth="1"/>
    <col min="6" max="6" width="12.33203125" style="56" bestFit="1" customWidth="1"/>
    <col min="7" max="7" width="6.21875" style="121" customWidth="1"/>
    <col min="8" max="8" width="7.88671875" style="109" bestFit="1" customWidth="1"/>
    <col min="9" max="9" width="6.44140625" style="121" customWidth="1"/>
    <col min="10" max="10" width="8" style="109" bestFit="1" customWidth="1"/>
    <col min="11" max="11" width="1.21875" style="55" customWidth="1"/>
    <col min="12" max="12" width="8" style="55" bestFit="1" customWidth="1"/>
    <col min="13" max="13" width="1.44140625" style="55" customWidth="1"/>
    <col min="14" max="14" width="11.88671875" style="56" bestFit="1" customWidth="1"/>
    <col min="15" max="15" width="2.44140625" style="55" customWidth="1"/>
    <col min="16" max="16" width="9.6640625" style="56" bestFit="1" customWidth="1"/>
    <col min="17" max="16384" width="8.5546875" style="56"/>
  </cols>
  <sheetData>
    <row r="1" spans="1:21">
      <c r="A1" s="50"/>
      <c r="B1" s="50"/>
      <c r="C1" s="50"/>
      <c r="D1" s="50"/>
      <c r="E1" s="50"/>
      <c r="F1" s="50"/>
      <c r="G1" s="51"/>
      <c r="H1" s="52"/>
      <c r="I1" s="51"/>
      <c r="J1" s="52"/>
      <c r="K1" s="53"/>
      <c r="L1" s="53"/>
      <c r="M1" s="53"/>
      <c r="N1" s="54" t="s">
        <v>83</v>
      </c>
    </row>
    <row r="2" spans="1:21">
      <c r="A2" s="57" t="s">
        <v>200</v>
      </c>
      <c r="B2" s="58"/>
      <c r="C2" s="58"/>
      <c r="D2" s="58"/>
      <c r="E2" s="58"/>
      <c r="F2" s="58"/>
      <c r="G2" s="59"/>
      <c r="H2" s="58"/>
      <c r="I2" s="59"/>
      <c r="J2" s="58"/>
      <c r="K2" s="60"/>
      <c r="L2" s="60"/>
      <c r="M2" s="60"/>
      <c r="N2" s="61"/>
      <c r="O2" s="60"/>
      <c r="Q2" s="62"/>
      <c r="R2" s="62"/>
      <c r="S2" s="62"/>
      <c r="T2" s="62"/>
      <c r="U2" s="62"/>
    </row>
    <row r="3" spans="1:21">
      <c r="A3" s="63" t="s">
        <v>34</v>
      </c>
      <c r="B3" s="58"/>
      <c r="C3" s="58"/>
      <c r="D3" s="58"/>
      <c r="E3" s="58"/>
      <c r="F3" s="58"/>
      <c r="G3" s="59"/>
      <c r="H3" s="58"/>
      <c r="I3" s="59"/>
      <c r="J3" s="58"/>
      <c r="K3" s="60"/>
      <c r="L3" s="60"/>
      <c r="M3" s="60"/>
      <c r="N3" s="58"/>
      <c r="O3" s="60"/>
      <c r="Q3" s="62"/>
      <c r="R3" s="62"/>
      <c r="S3" s="62"/>
      <c r="T3" s="62"/>
      <c r="U3" s="62"/>
    </row>
    <row r="4" spans="1:21">
      <c r="A4" s="64" t="s">
        <v>201</v>
      </c>
      <c r="B4" s="58"/>
      <c r="C4" s="58"/>
      <c r="D4" s="58"/>
      <c r="E4" s="58"/>
      <c r="F4" s="58"/>
      <c r="G4" s="59"/>
      <c r="H4" s="58"/>
      <c r="I4" s="59"/>
      <c r="J4" s="58"/>
      <c r="K4" s="60"/>
      <c r="L4" s="60"/>
      <c r="M4" s="60"/>
      <c r="N4" s="58"/>
      <c r="O4" s="60"/>
      <c r="Q4" s="62"/>
      <c r="R4" s="62"/>
      <c r="S4" s="62"/>
      <c r="T4" s="62"/>
      <c r="U4" s="62"/>
    </row>
    <row r="5" spans="1:21">
      <c r="A5" s="64"/>
      <c r="B5" s="58"/>
      <c r="C5" s="58"/>
      <c r="D5" s="58"/>
      <c r="E5" s="58"/>
      <c r="F5" s="58"/>
      <c r="G5" s="59"/>
      <c r="H5" s="58"/>
      <c r="I5" s="59"/>
      <c r="J5" s="58"/>
      <c r="K5" s="60"/>
      <c r="L5" s="60"/>
      <c r="M5" s="60"/>
      <c r="N5" s="58"/>
      <c r="O5" s="60"/>
      <c r="Q5" s="62"/>
      <c r="R5" s="62"/>
      <c r="S5" s="62"/>
      <c r="T5" s="62"/>
      <c r="U5" s="62"/>
    </row>
    <row r="6" spans="1:21">
      <c r="A6" s="64"/>
      <c r="B6" s="58"/>
      <c r="C6" s="58"/>
      <c r="D6" s="58"/>
      <c r="E6" s="58"/>
      <c r="F6" s="58"/>
      <c r="G6" s="59"/>
      <c r="H6" s="58"/>
      <c r="I6" s="59"/>
      <c r="J6" s="58"/>
      <c r="K6" s="60"/>
      <c r="L6" s="60"/>
      <c r="M6" s="60"/>
      <c r="N6" s="58"/>
      <c r="O6" s="60"/>
      <c r="Q6" s="62"/>
      <c r="R6" s="62"/>
      <c r="S6" s="62"/>
      <c r="T6" s="62"/>
      <c r="U6" s="62"/>
    </row>
    <row r="7" spans="1:21">
      <c r="A7" s="65"/>
      <c r="B7" s="65"/>
      <c r="C7" s="65"/>
      <c r="D7" s="65"/>
      <c r="E7" s="65"/>
      <c r="F7" s="65"/>
      <c r="G7" s="66"/>
      <c r="H7" s="67"/>
      <c r="I7" s="66"/>
      <c r="J7" s="67"/>
      <c r="K7" s="68"/>
      <c r="L7" s="68"/>
      <c r="M7" s="68"/>
      <c r="N7" s="65"/>
      <c r="O7" s="68"/>
      <c r="Q7" s="62"/>
      <c r="R7" s="62"/>
      <c r="S7" s="62"/>
      <c r="T7" s="62"/>
      <c r="U7" s="62"/>
    </row>
    <row r="8" spans="1:21">
      <c r="A8" s="65"/>
      <c r="B8" s="65"/>
      <c r="C8" s="65"/>
      <c r="D8" s="65"/>
      <c r="E8" s="65"/>
      <c r="F8" s="65"/>
      <c r="G8" s="66"/>
      <c r="H8" s="67"/>
      <c r="I8" s="66"/>
      <c r="J8" s="67"/>
      <c r="K8" s="68"/>
      <c r="L8" s="68"/>
      <c r="M8" s="68"/>
      <c r="N8" s="65"/>
      <c r="O8" s="68"/>
      <c r="Q8" s="62"/>
      <c r="R8" s="62"/>
      <c r="S8" s="62"/>
      <c r="T8" s="62"/>
      <c r="U8" s="62"/>
    </row>
    <row r="9" spans="1:21" s="55" customFormat="1">
      <c r="A9" s="68"/>
      <c r="B9" s="69"/>
      <c r="C9" s="69"/>
      <c r="D9" s="69"/>
      <c r="E9" s="69"/>
      <c r="F9" s="70" t="s">
        <v>35</v>
      </c>
      <c r="G9" s="71"/>
      <c r="H9" s="70"/>
      <c r="I9" s="71"/>
      <c r="J9" s="70" t="s">
        <v>12</v>
      </c>
      <c r="K9" s="69"/>
      <c r="L9" s="69"/>
      <c r="M9" s="69"/>
      <c r="N9" s="70" t="s">
        <v>16</v>
      </c>
      <c r="O9" s="69"/>
      <c r="Q9" s="16"/>
      <c r="R9" s="16"/>
      <c r="S9" s="16"/>
      <c r="T9" s="16"/>
      <c r="U9" s="16"/>
    </row>
    <row r="10" spans="1:21" s="55" customFormat="1">
      <c r="A10" s="73" t="s">
        <v>0</v>
      </c>
      <c r="B10" s="69"/>
      <c r="C10" s="69"/>
      <c r="D10" s="69"/>
      <c r="E10" s="70" t="s">
        <v>36</v>
      </c>
      <c r="F10" s="74" t="s">
        <v>37</v>
      </c>
      <c r="G10" s="75"/>
      <c r="H10" s="70" t="s">
        <v>38</v>
      </c>
      <c r="I10" s="75"/>
      <c r="J10" s="70" t="s">
        <v>39</v>
      </c>
      <c r="K10" s="70"/>
      <c r="L10" s="70" t="s">
        <v>40</v>
      </c>
      <c r="M10" s="70"/>
      <c r="N10" s="76" t="s">
        <v>41</v>
      </c>
      <c r="O10" s="70"/>
      <c r="Q10" s="16"/>
      <c r="R10" s="16"/>
      <c r="S10" s="16"/>
      <c r="T10" s="16"/>
      <c r="U10" s="16"/>
    </row>
    <row r="11" spans="1:21" s="55" customFormat="1">
      <c r="A11" s="78" t="s">
        <v>3</v>
      </c>
      <c r="B11" s="79" t="s">
        <v>4</v>
      </c>
      <c r="C11" s="79"/>
      <c r="D11" s="79"/>
      <c r="E11" s="80" t="s">
        <v>42</v>
      </c>
      <c r="F11" s="126" t="s">
        <v>84</v>
      </c>
      <c r="G11" s="82"/>
      <c r="H11" s="80" t="s">
        <v>44</v>
      </c>
      <c r="I11" s="82"/>
      <c r="J11" s="80" t="s">
        <v>44</v>
      </c>
      <c r="K11" s="80"/>
      <c r="L11" s="81" t="s">
        <v>45</v>
      </c>
      <c r="M11" s="80"/>
      <c r="N11" s="81" t="s">
        <v>46</v>
      </c>
      <c r="O11" s="80"/>
      <c r="Q11" s="16"/>
      <c r="R11" s="16"/>
      <c r="S11" s="16"/>
      <c r="T11" s="16"/>
      <c r="U11" s="16"/>
    </row>
    <row r="12" spans="1:21">
      <c r="A12" s="65"/>
      <c r="B12" s="58" t="s">
        <v>20</v>
      </c>
      <c r="C12" s="58"/>
      <c r="D12" s="58"/>
      <c r="E12" s="67" t="s">
        <v>21</v>
      </c>
      <c r="F12" s="84" t="s">
        <v>47</v>
      </c>
      <c r="G12" s="85"/>
      <c r="H12" s="86" t="s">
        <v>23</v>
      </c>
      <c r="I12" s="73"/>
      <c r="J12" s="67" t="s">
        <v>48</v>
      </c>
      <c r="K12" s="73"/>
      <c r="L12" s="86" t="s">
        <v>49</v>
      </c>
      <c r="M12" s="73"/>
      <c r="N12" s="86" t="s">
        <v>50</v>
      </c>
      <c r="O12" s="73"/>
      <c r="Q12" s="62"/>
      <c r="R12" s="62"/>
      <c r="S12" s="62"/>
      <c r="T12" s="62"/>
      <c r="U12" s="62"/>
    </row>
    <row r="13" spans="1:21">
      <c r="A13" s="65"/>
      <c r="B13" s="65"/>
      <c r="C13" s="65"/>
      <c r="D13" s="65"/>
      <c r="E13" s="65"/>
      <c r="F13" s="65"/>
      <c r="G13" s="66"/>
      <c r="H13" s="67"/>
      <c r="I13" s="66"/>
      <c r="J13" s="67"/>
      <c r="K13" s="68"/>
      <c r="L13" s="68"/>
      <c r="M13" s="68"/>
      <c r="N13" s="65"/>
      <c r="O13" s="68"/>
      <c r="Q13" s="62"/>
      <c r="R13" s="62"/>
      <c r="S13" s="62"/>
      <c r="T13" s="62"/>
      <c r="U13" s="62"/>
    </row>
    <row r="14" spans="1:21">
      <c r="A14" s="50">
        <f t="shared" ref="A14:A53" si="0">1+A13</f>
        <v>1</v>
      </c>
      <c r="B14" s="50" t="s">
        <v>51</v>
      </c>
      <c r="C14" s="50"/>
      <c r="D14" s="50"/>
      <c r="E14" s="50"/>
      <c r="F14" s="50"/>
      <c r="G14" s="51"/>
      <c r="H14" s="52"/>
      <c r="I14" s="51"/>
      <c r="J14" s="52"/>
      <c r="K14" s="53"/>
      <c r="L14" s="53"/>
      <c r="M14" s="53"/>
      <c r="N14" s="50"/>
      <c r="O14" s="53"/>
    </row>
    <row r="15" spans="1:21">
      <c r="A15" s="50">
        <f t="shared" si="0"/>
        <v>2</v>
      </c>
      <c r="B15" s="50"/>
      <c r="C15" s="65" t="s">
        <v>52</v>
      </c>
      <c r="D15" s="65"/>
      <c r="E15" s="87">
        <v>87478439.489999995</v>
      </c>
      <c r="F15" s="68">
        <f>E15/365</f>
        <v>239666.95750684931</v>
      </c>
      <c r="G15" s="66" t="s">
        <v>53</v>
      </c>
      <c r="H15" s="88">
        <f>'[6]ATO-CWC2'!$C$19</f>
        <v>37.5</v>
      </c>
      <c r="I15" s="66" t="s">
        <v>85</v>
      </c>
      <c r="J15" s="89">
        <f>'[6]ATO-CWC3'!L302</f>
        <v>39.33</v>
      </c>
      <c r="K15" s="68"/>
      <c r="L15" s="90">
        <f>H15-J15</f>
        <v>-1.8299999999999983</v>
      </c>
      <c r="M15" s="68"/>
      <c r="N15" s="91">
        <f>L15*F15</f>
        <v>-438590.53223753383</v>
      </c>
      <c r="O15" s="68"/>
      <c r="Q15" s="62"/>
      <c r="R15" s="62"/>
      <c r="S15" s="62"/>
      <c r="T15" s="62"/>
      <c r="U15" s="62"/>
    </row>
    <row r="16" spans="1:21">
      <c r="A16" s="50">
        <f t="shared" si="0"/>
        <v>3</v>
      </c>
      <c r="B16" s="65"/>
      <c r="C16" s="65"/>
      <c r="D16" s="65"/>
      <c r="E16" s="65"/>
      <c r="F16" s="65"/>
      <c r="G16" s="66"/>
      <c r="H16" s="88"/>
      <c r="I16" s="66"/>
      <c r="J16" s="67"/>
      <c r="K16" s="68"/>
      <c r="L16" s="68"/>
      <c r="M16" s="68"/>
      <c r="N16" s="65"/>
      <c r="O16" s="68"/>
      <c r="Q16" s="62"/>
      <c r="R16" s="62"/>
      <c r="S16" s="62"/>
      <c r="T16" s="62"/>
      <c r="U16" s="62"/>
    </row>
    <row r="17" spans="1:21">
      <c r="A17" s="50">
        <f t="shared" si="0"/>
        <v>4</v>
      </c>
      <c r="B17" s="50" t="s">
        <v>55</v>
      </c>
      <c r="C17" s="50"/>
      <c r="D17" s="50"/>
      <c r="E17" s="127" t="s">
        <v>12</v>
      </c>
      <c r="F17" s="50"/>
      <c r="G17" s="51"/>
      <c r="H17" s="96"/>
      <c r="I17" s="51"/>
      <c r="J17" s="52"/>
      <c r="K17" s="53"/>
      <c r="L17" s="53"/>
      <c r="M17" s="53"/>
      <c r="N17" s="50"/>
      <c r="O17" s="53"/>
      <c r="Q17" s="62"/>
    </row>
    <row r="18" spans="1:21">
      <c r="A18" s="50">
        <f t="shared" si="0"/>
        <v>5</v>
      </c>
      <c r="B18" s="50"/>
      <c r="C18" s="65" t="s">
        <v>56</v>
      </c>
      <c r="D18" s="128"/>
      <c r="E18" s="98">
        <v>7652390.3341909414</v>
      </c>
      <c r="F18" s="68">
        <f>E18/365</f>
        <v>20965.452970386141</v>
      </c>
      <c r="G18" s="66" t="s">
        <v>53</v>
      </c>
      <c r="H18" s="88">
        <f>'[6]ATO-CWC2'!$C$19</f>
        <v>37.5</v>
      </c>
      <c r="I18" s="66" t="s">
        <v>86</v>
      </c>
      <c r="J18" s="88">
        <f>'[6]ATO-CWC4'!I59</f>
        <v>14.07</v>
      </c>
      <c r="K18" s="68"/>
      <c r="L18" s="90">
        <f>H18-J18</f>
        <v>23.43</v>
      </c>
      <c r="M18" s="68"/>
      <c r="N18" s="91">
        <f>L18*F18</f>
        <v>491220.56309614726</v>
      </c>
      <c r="O18" s="68"/>
      <c r="Q18" s="62"/>
      <c r="R18" s="62"/>
      <c r="S18" s="62"/>
      <c r="T18" s="62"/>
      <c r="U18" s="62"/>
    </row>
    <row r="19" spans="1:21">
      <c r="A19" s="50">
        <f t="shared" si="0"/>
        <v>6</v>
      </c>
      <c r="B19" s="50"/>
      <c r="C19" s="65" t="s">
        <v>58</v>
      </c>
      <c r="D19" s="128"/>
      <c r="E19" s="99">
        <f>E20-E18</f>
        <v>12983102.324061204</v>
      </c>
      <c r="F19" s="68">
        <f>E19/365</f>
        <v>35570.143353592342</v>
      </c>
      <c r="G19" s="66" t="s">
        <v>53</v>
      </c>
      <c r="H19" s="88">
        <f>'[6]ATO-CWC2'!$C$19</f>
        <v>37.5</v>
      </c>
      <c r="I19" s="66" t="s">
        <v>87</v>
      </c>
      <c r="J19" s="100">
        <f>'[6]ATO-CWC5'!E15</f>
        <v>29.4</v>
      </c>
      <c r="K19" s="68"/>
      <c r="L19" s="90">
        <f>H19-J19</f>
        <v>8.1000000000000014</v>
      </c>
      <c r="M19" s="68"/>
      <c r="N19" s="101">
        <f>L19*F19</f>
        <v>288118.16116409801</v>
      </c>
      <c r="O19" s="68"/>
      <c r="Q19" s="62"/>
      <c r="R19" s="62"/>
      <c r="S19" s="62"/>
      <c r="T19" s="62"/>
      <c r="U19" s="62"/>
    </row>
    <row r="20" spans="1:21">
      <c r="A20" s="50">
        <f t="shared" si="0"/>
        <v>7</v>
      </c>
      <c r="B20" s="50" t="s">
        <v>60</v>
      </c>
      <c r="C20" s="50"/>
      <c r="D20" s="50"/>
      <c r="E20" s="129">
        <v>20635492.658252146</v>
      </c>
      <c r="F20" s="65"/>
      <c r="G20" s="51"/>
      <c r="H20" s="96"/>
      <c r="I20" s="51"/>
      <c r="J20" s="52"/>
      <c r="K20" s="53"/>
      <c r="L20" s="53"/>
      <c r="M20" s="53"/>
      <c r="N20" s="65">
        <f>SUM(N18:N19)</f>
        <v>779338.72426024522</v>
      </c>
      <c r="O20" s="53"/>
      <c r="Q20" s="62"/>
      <c r="T20" s="62"/>
      <c r="U20" s="62"/>
    </row>
    <row r="21" spans="1:21">
      <c r="A21" s="50">
        <f t="shared" si="0"/>
        <v>8</v>
      </c>
      <c r="B21" s="50"/>
      <c r="C21" s="65"/>
      <c r="D21" s="65"/>
      <c r="E21" s="50"/>
      <c r="F21" s="50"/>
      <c r="G21" s="66"/>
      <c r="H21" s="88"/>
      <c r="I21" s="66"/>
      <c r="J21" s="67"/>
      <c r="K21" s="68"/>
      <c r="L21" s="68"/>
      <c r="M21" s="68"/>
      <c r="N21" s="50"/>
      <c r="O21" s="68"/>
      <c r="Q21" s="62"/>
      <c r="R21" s="62"/>
      <c r="S21" s="62"/>
    </row>
    <row r="22" spans="1:21">
      <c r="A22" s="50">
        <f t="shared" si="0"/>
        <v>9</v>
      </c>
      <c r="B22" s="50"/>
      <c r="C22" s="65"/>
      <c r="D22" s="65"/>
      <c r="E22" s="50"/>
      <c r="F22" s="50"/>
      <c r="G22" s="66"/>
      <c r="H22" s="88"/>
      <c r="I22" s="66"/>
      <c r="J22" s="67"/>
      <c r="K22" s="68"/>
      <c r="L22" s="68"/>
      <c r="M22" s="68"/>
      <c r="N22" s="50"/>
      <c r="O22" s="68"/>
      <c r="Q22" s="62"/>
      <c r="R22" s="62"/>
      <c r="S22" s="62"/>
      <c r="T22" s="62"/>
      <c r="U22" s="62"/>
    </row>
    <row r="23" spans="1:21">
      <c r="A23" s="50">
        <f t="shared" si="0"/>
        <v>10</v>
      </c>
      <c r="B23" s="65" t="s">
        <v>61</v>
      </c>
      <c r="C23" s="65"/>
      <c r="D23" s="65"/>
      <c r="E23" s="65"/>
      <c r="F23" s="65"/>
      <c r="G23" s="66"/>
      <c r="H23" s="88"/>
      <c r="I23" s="66"/>
      <c r="J23" s="67"/>
      <c r="K23" s="68"/>
      <c r="L23" s="68"/>
      <c r="M23" s="68"/>
      <c r="N23" s="65"/>
      <c r="O23" s="68"/>
      <c r="Q23" s="62"/>
      <c r="R23" s="62"/>
      <c r="S23" s="62"/>
      <c r="T23" s="62"/>
      <c r="U23" s="62"/>
    </row>
    <row r="24" spans="1:21">
      <c r="A24" s="50">
        <f t="shared" si="0"/>
        <v>11</v>
      </c>
      <c r="B24" s="50"/>
      <c r="C24" s="65" t="s">
        <v>62</v>
      </c>
      <c r="D24" s="65"/>
      <c r="E24" s="102">
        <v>3498394</v>
      </c>
      <c r="F24" s="91">
        <f t="shared" ref="F24:F29" si="1">E24/365</f>
        <v>9584.6410958904107</v>
      </c>
      <c r="G24" s="66" t="s">
        <v>53</v>
      </c>
      <c r="H24" s="88">
        <f>'[6]ATO-CWC2'!$C$19</f>
        <v>37.5</v>
      </c>
      <c r="I24" s="66" t="s">
        <v>63</v>
      </c>
      <c r="J24" s="103">
        <f>'[6]ATO-CWC6'!$E$23</f>
        <v>241.5</v>
      </c>
      <c r="K24" s="68"/>
      <c r="L24" s="90">
        <f t="shared" ref="L24:L29" si="2">H24-J24</f>
        <v>-204</v>
      </c>
      <c r="M24" s="68"/>
      <c r="N24" s="91">
        <f t="shared" ref="N24:N29" si="3">L24*F24</f>
        <v>-1955266.7835616437</v>
      </c>
      <c r="O24" s="68"/>
      <c r="Q24" s="62"/>
      <c r="R24" s="62"/>
      <c r="S24" s="62"/>
      <c r="T24" s="62"/>
      <c r="U24" s="62"/>
    </row>
    <row r="25" spans="1:21">
      <c r="A25" s="50">
        <f t="shared" si="0"/>
        <v>12</v>
      </c>
      <c r="B25" s="50"/>
      <c r="C25" s="65" t="s">
        <v>64</v>
      </c>
      <c r="D25" s="65"/>
      <c r="E25" s="102">
        <v>1084335</v>
      </c>
      <c r="F25" s="91">
        <f t="shared" si="1"/>
        <v>2970.7808219178082</v>
      </c>
      <c r="G25" s="66" t="s">
        <v>53</v>
      </c>
      <c r="H25" s="88">
        <f>'[6]ATO-CWC2'!$C$19</f>
        <v>37.5</v>
      </c>
      <c r="I25" s="66" t="s">
        <v>63</v>
      </c>
      <c r="J25" s="103">
        <f>'[6]ATO-CWC6'!E26</f>
        <v>-151.5</v>
      </c>
      <c r="K25" s="68"/>
      <c r="L25" s="90">
        <f t="shared" si="2"/>
        <v>189</v>
      </c>
      <c r="M25" s="68"/>
      <c r="N25" s="91">
        <f t="shared" si="3"/>
        <v>561477.57534246577</v>
      </c>
      <c r="O25" s="68"/>
      <c r="Q25" s="62"/>
      <c r="R25" s="62"/>
      <c r="S25" s="62"/>
      <c r="T25" s="62"/>
      <c r="U25" s="62"/>
    </row>
    <row r="26" spans="1:21">
      <c r="A26" s="50">
        <f t="shared" si="0"/>
        <v>13</v>
      </c>
      <c r="B26" s="50"/>
      <c r="C26" s="65" t="s">
        <v>65</v>
      </c>
      <c r="D26" s="65"/>
      <c r="E26" s="102">
        <v>257295.85999999996</v>
      </c>
      <c r="F26" s="91">
        <f t="shared" si="1"/>
        <v>704.92016438356154</v>
      </c>
      <c r="G26" s="66" t="s">
        <v>53</v>
      </c>
      <c r="H26" s="88">
        <f>'[6]ATO-CWC2'!$C$19</f>
        <v>37.5</v>
      </c>
      <c r="I26" s="66" t="s">
        <v>63</v>
      </c>
      <c r="J26" s="103">
        <f>'[6]ATO-CWC6'!$E$20</f>
        <v>16.545668938638453</v>
      </c>
      <c r="K26" s="68"/>
      <c r="L26" s="90">
        <f t="shared" si="2"/>
        <v>20.954331061361547</v>
      </c>
      <c r="M26" s="68"/>
      <c r="N26" s="91">
        <f t="shared" si="3"/>
        <v>14771.13049632255</v>
      </c>
      <c r="O26" s="68"/>
      <c r="Q26" s="62"/>
      <c r="R26" s="62"/>
      <c r="S26" s="62"/>
      <c r="T26" s="62"/>
      <c r="U26" s="62"/>
    </row>
    <row r="27" spans="1:21">
      <c r="A27" s="50">
        <f t="shared" si="0"/>
        <v>14</v>
      </c>
      <c r="B27" s="50"/>
      <c r="C27" s="65" t="s">
        <v>28</v>
      </c>
      <c r="D27" s="65"/>
      <c r="E27" s="102">
        <v>618254.04</v>
      </c>
      <c r="F27" s="91">
        <f t="shared" si="1"/>
        <v>1693.8466849315068</v>
      </c>
      <c r="G27" s="66" t="s">
        <v>53</v>
      </c>
      <c r="H27" s="88">
        <f>'[6]ATO-CWC2'!$C$19</f>
        <v>37.5</v>
      </c>
      <c r="I27" s="66" t="s">
        <v>63</v>
      </c>
      <c r="J27" s="88">
        <f>'[6]ATO-CWC6'!E28</f>
        <v>37.5</v>
      </c>
      <c r="K27" s="68"/>
      <c r="L27" s="90">
        <f t="shared" si="2"/>
        <v>0</v>
      </c>
      <c r="M27" s="68"/>
      <c r="N27" s="91">
        <f t="shared" si="3"/>
        <v>0</v>
      </c>
      <c r="O27" s="68"/>
      <c r="Q27" s="62"/>
      <c r="R27" s="62"/>
      <c r="S27" s="62"/>
      <c r="T27" s="62"/>
      <c r="U27" s="62"/>
    </row>
    <row r="28" spans="1:21">
      <c r="A28" s="50">
        <f t="shared" si="0"/>
        <v>15</v>
      </c>
      <c r="B28" s="65"/>
      <c r="C28" s="65" t="s">
        <v>66</v>
      </c>
      <c r="D28" s="65"/>
      <c r="E28" s="102">
        <v>425046.11999999994</v>
      </c>
      <c r="F28" s="91">
        <f t="shared" si="1"/>
        <v>1164.5099178082189</v>
      </c>
      <c r="G28" s="66" t="s">
        <v>53</v>
      </c>
      <c r="H28" s="88">
        <f>'[6]ATO-CWC2'!$C$19</f>
        <v>37.5</v>
      </c>
      <c r="I28" s="66" t="s">
        <v>63</v>
      </c>
      <c r="J28" s="100">
        <f>'[6]ATO-CWC6'!$E$31</f>
        <v>272.5</v>
      </c>
      <c r="K28" s="68"/>
      <c r="L28" s="90">
        <f t="shared" si="2"/>
        <v>-235</v>
      </c>
      <c r="M28" s="68"/>
      <c r="N28" s="91">
        <f t="shared" si="3"/>
        <v>-273659.83068493142</v>
      </c>
      <c r="O28" s="68"/>
      <c r="Q28" s="62"/>
      <c r="R28" s="62"/>
      <c r="S28" s="62"/>
      <c r="T28" s="62"/>
      <c r="U28" s="62"/>
    </row>
    <row r="29" spans="1:21">
      <c r="A29" s="50">
        <f t="shared" si="0"/>
        <v>16</v>
      </c>
      <c r="B29" s="50"/>
      <c r="C29" s="65" t="s">
        <v>67</v>
      </c>
      <c r="D29" s="65"/>
      <c r="E29" s="102">
        <v>19392.36</v>
      </c>
      <c r="F29" s="91">
        <f t="shared" si="1"/>
        <v>53.129753424657537</v>
      </c>
      <c r="G29" s="66" t="s">
        <v>53</v>
      </c>
      <c r="H29" s="88">
        <f>'[6]ATO-CWC2'!$C$19</f>
        <v>37.5</v>
      </c>
      <c r="I29" s="66" t="s">
        <v>63</v>
      </c>
      <c r="J29" s="103">
        <f>'[6]ATO-CWC6'!E34</f>
        <v>59</v>
      </c>
      <c r="K29" s="68"/>
      <c r="L29" s="90">
        <f t="shared" si="2"/>
        <v>-21.5</v>
      </c>
      <c r="M29" s="68"/>
      <c r="N29" s="91">
        <f t="shared" si="3"/>
        <v>-1142.2896986301371</v>
      </c>
      <c r="O29" s="68"/>
      <c r="Q29" s="62"/>
      <c r="R29" s="62"/>
      <c r="S29" s="62"/>
      <c r="T29" s="62"/>
      <c r="U29" s="62"/>
    </row>
    <row r="30" spans="1:21">
      <c r="A30" s="50">
        <f t="shared" si="0"/>
        <v>17</v>
      </c>
      <c r="B30" s="50"/>
      <c r="C30" s="50"/>
      <c r="D30" s="50"/>
      <c r="E30" s="65"/>
      <c r="F30" s="65"/>
      <c r="G30" s="66"/>
      <c r="H30" s="88"/>
      <c r="I30" s="66"/>
      <c r="J30" s="67"/>
      <c r="K30" s="68"/>
      <c r="L30" s="68"/>
      <c r="M30" s="68"/>
      <c r="N30" s="65"/>
      <c r="O30" s="68"/>
      <c r="Q30" s="62"/>
      <c r="R30" s="62"/>
      <c r="S30" s="62"/>
      <c r="T30" s="62"/>
      <c r="U30" s="62"/>
    </row>
    <row r="31" spans="1:21">
      <c r="A31" s="50">
        <f t="shared" si="0"/>
        <v>18</v>
      </c>
      <c r="B31" s="65" t="s">
        <v>68</v>
      </c>
      <c r="C31" s="50"/>
      <c r="D31" s="50"/>
      <c r="E31" s="104"/>
      <c r="F31" s="65"/>
      <c r="G31" s="66"/>
      <c r="H31" s="88"/>
      <c r="I31" s="66"/>
      <c r="J31" s="67"/>
      <c r="K31" s="68"/>
      <c r="L31" s="68"/>
      <c r="M31" s="68"/>
      <c r="N31" s="65"/>
      <c r="O31" s="68"/>
      <c r="Q31" s="62"/>
      <c r="R31" s="62"/>
      <c r="S31" s="62"/>
      <c r="T31" s="62"/>
      <c r="U31" s="62"/>
    </row>
    <row r="32" spans="1:21">
      <c r="A32" s="50">
        <f t="shared" si="0"/>
        <v>19</v>
      </c>
      <c r="B32" s="50"/>
      <c r="C32" s="65" t="s">
        <v>62</v>
      </c>
      <c r="D32" s="105">
        <v>0</v>
      </c>
      <c r="E32" s="102">
        <v>0</v>
      </c>
      <c r="F32" s="91">
        <f>E32/365</f>
        <v>0</v>
      </c>
      <c r="G32" s="66" t="s">
        <v>53</v>
      </c>
      <c r="H32" s="88">
        <f>'[6]ATO-CWC2'!$C$19</f>
        <v>37.5</v>
      </c>
      <c r="I32" s="66" t="s">
        <v>63</v>
      </c>
      <c r="J32" s="103">
        <f>'[6]ATO-CWC6'!$E$23</f>
        <v>241.5</v>
      </c>
      <c r="K32" s="68"/>
      <c r="L32" s="90">
        <f>H32-J32</f>
        <v>-204</v>
      </c>
      <c r="M32" s="68"/>
      <c r="N32" s="91">
        <f>L32*F32</f>
        <v>0</v>
      </c>
      <c r="O32" s="68"/>
      <c r="Q32" s="62"/>
      <c r="R32" s="62"/>
      <c r="S32" s="62"/>
      <c r="T32" s="62"/>
      <c r="U32" s="62"/>
    </row>
    <row r="33" spans="1:21">
      <c r="A33" s="50">
        <f t="shared" si="0"/>
        <v>20</v>
      </c>
      <c r="B33" s="50"/>
      <c r="C33" s="65" t="s">
        <v>65</v>
      </c>
      <c r="D33" s="130">
        <f>1-D32</f>
        <v>1</v>
      </c>
      <c r="E33" s="102">
        <v>247649.26</v>
      </c>
      <c r="F33" s="91">
        <f>E33/365</f>
        <v>678.49112328767126</v>
      </c>
      <c r="G33" s="66" t="s">
        <v>53</v>
      </c>
      <c r="H33" s="88">
        <f>'[6]ATO-CWC2'!$C$19</f>
        <v>37.5</v>
      </c>
      <c r="I33" s="66" t="s">
        <v>63</v>
      </c>
      <c r="J33" s="103">
        <f>'[6]ATO-CWC6'!$E$20</f>
        <v>16.545668938638453</v>
      </c>
      <c r="K33" s="68"/>
      <c r="L33" s="90">
        <f>H33-J33</f>
        <v>20.954331061361547</v>
      </c>
      <c r="M33" s="68"/>
      <c r="N33" s="91">
        <f>L33*F33</f>
        <v>14217.327619564936</v>
      </c>
      <c r="O33" s="68"/>
      <c r="Q33" s="62"/>
      <c r="R33" s="62"/>
      <c r="S33" s="62"/>
      <c r="T33" s="62"/>
      <c r="U33" s="62"/>
    </row>
    <row r="34" spans="1:21">
      <c r="A34" s="50">
        <f t="shared" si="0"/>
        <v>21</v>
      </c>
      <c r="B34" s="50"/>
      <c r="C34" s="50"/>
      <c r="D34" s="108"/>
      <c r="E34" s="50"/>
      <c r="F34" s="50"/>
      <c r="G34" s="51"/>
      <c r="H34" s="52"/>
      <c r="I34" s="51"/>
      <c r="J34" s="52"/>
      <c r="K34" s="53"/>
      <c r="L34" s="53"/>
      <c r="M34" s="53"/>
      <c r="N34" s="50"/>
      <c r="O34" s="53"/>
      <c r="Q34" s="62"/>
      <c r="R34" s="62"/>
      <c r="S34" s="62"/>
      <c r="T34" s="62"/>
      <c r="U34" s="62"/>
    </row>
    <row r="35" spans="1:21">
      <c r="A35" s="50">
        <f t="shared" si="0"/>
        <v>22</v>
      </c>
      <c r="B35" s="50" t="s">
        <v>69</v>
      </c>
      <c r="C35" s="50"/>
      <c r="D35" s="108"/>
      <c r="E35" s="50"/>
      <c r="F35" s="50"/>
      <c r="G35" s="51"/>
      <c r="H35" s="52"/>
      <c r="I35" s="51"/>
      <c r="J35" s="52"/>
      <c r="K35" s="53"/>
      <c r="L35" s="53"/>
      <c r="M35" s="53"/>
      <c r="N35" s="50"/>
      <c r="O35" s="53"/>
      <c r="Q35" s="62"/>
      <c r="R35" s="62"/>
      <c r="S35" s="62"/>
      <c r="T35" s="62"/>
      <c r="U35" s="62"/>
    </row>
    <row r="36" spans="1:21">
      <c r="A36" s="50">
        <f t="shared" si="0"/>
        <v>23</v>
      </c>
      <c r="B36" s="50"/>
      <c r="C36" s="65" t="s">
        <v>62</v>
      </c>
      <c r="D36" s="105">
        <v>0.10061385931556015</v>
      </c>
      <c r="E36" s="102">
        <v>6230.8080367238572</v>
      </c>
      <c r="F36" s="91">
        <f>E36/365</f>
        <v>17.070706949928375</v>
      </c>
      <c r="G36" s="66" t="s">
        <v>53</v>
      </c>
      <c r="H36" s="88">
        <f>'[6]ATO-CWC2'!$C$19</f>
        <v>37.5</v>
      </c>
      <c r="I36" s="66" t="s">
        <v>63</v>
      </c>
      <c r="J36" s="103">
        <f>'[6]ATO-CWC6'!$E$23</f>
        <v>241.5</v>
      </c>
      <c r="K36" s="53"/>
      <c r="L36" s="90">
        <f>H36-J36</f>
        <v>-204</v>
      </c>
      <c r="M36" s="53"/>
      <c r="N36" s="91">
        <f>L36*F36</f>
        <v>-3482.4242177853885</v>
      </c>
      <c r="O36" s="53"/>
      <c r="Q36" s="62"/>
    </row>
    <row r="37" spans="1:21">
      <c r="A37" s="50">
        <f t="shared" si="0"/>
        <v>24</v>
      </c>
      <c r="B37" s="50"/>
      <c r="C37" s="65" t="s">
        <v>65</v>
      </c>
      <c r="D37" s="130">
        <f>1-D36</f>
        <v>0.89938614068443989</v>
      </c>
      <c r="E37" s="102">
        <v>55697.121963276149</v>
      </c>
      <c r="F37" s="91">
        <f>E37/365</f>
        <v>152.59485469390725</v>
      </c>
      <c r="G37" s="66" t="s">
        <v>53</v>
      </c>
      <c r="H37" s="88">
        <f>'[6]ATO-CWC2'!$C$19</f>
        <v>37.5</v>
      </c>
      <c r="I37" s="66" t="s">
        <v>63</v>
      </c>
      <c r="J37" s="103">
        <f>'[6]ATO-CWC6'!$E$20</f>
        <v>16.545668938638453</v>
      </c>
      <c r="K37" s="53"/>
      <c r="L37" s="90">
        <f>H37-J37</f>
        <v>20.954331061361547</v>
      </c>
      <c r="M37" s="53"/>
      <c r="N37" s="91">
        <f>L37*F37</f>
        <v>3197.5231035164925</v>
      </c>
      <c r="O37" s="53"/>
      <c r="Q37" s="62"/>
    </row>
    <row r="38" spans="1:21">
      <c r="A38" s="50">
        <f t="shared" si="0"/>
        <v>25</v>
      </c>
      <c r="B38" s="65" t="s">
        <v>70</v>
      </c>
      <c r="C38" s="65"/>
      <c r="D38" s="131"/>
      <c r="E38" s="110">
        <f>SUM(E24:E37)</f>
        <v>6212294.5700000012</v>
      </c>
      <c r="F38" s="68"/>
      <c r="G38" s="66"/>
      <c r="H38" s="88"/>
      <c r="I38" s="66"/>
      <c r="J38" s="67"/>
      <c r="K38" s="68"/>
      <c r="L38" s="68"/>
      <c r="M38" s="68"/>
      <c r="N38" s="110">
        <f>SUM(N24:N37)</f>
        <v>-1639887.7716011209</v>
      </c>
      <c r="O38" s="68"/>
      <c r="Q38" s="62"/>
    </row>
    <row r="39" spans="1:21">
      <c r="A39" s="50">
        <f t="shared" si="0"/>
        <v>26</v>
      </c>
      <c r="B39" s="50"/>
      <c r="C39" s="65"/>
      <c r="D39" s="65"/>
      <c r="E39" s="65"/>
      <c r="F39" s="65"/>
      <c r="G39" s="66"/>
      <c r="H39" s="88"/>
      <c r="I39" s="66"/>
      <c r="J39" s="67"/>
      <c r="K39" s="68"/>
      <c r="L39" s="68"/>
      <c r="M39" s="68"/>
      <c r="N39" s="65"/>
      <c r="O39" s="68"/>
      <c r="Q39" s="62"/>
      <c r="R39" s="62"/>
      <c r="S39" s="62"/>
      <c r="T39" s="62"/>
      <c r="U39" s="62"/>
    </row>
    <row r="40" spans="1:21">
      <c r="A40" s="50">
        <f t="shared" si="0"/>
        <v>27</v>
      </c>
      <c r="B40" s="65" t="s">
        <v>71</v>
      </c>
      <c r="C40" s="65"/>
      <c r="D40" s="50"/>
      <c r="E40" s="111">
        <v>7465832.0120293573</v>
      </c>
      <c r="F40" s="50"/>
      <c r="G40" s="51"/>
      <c r="H40" s="52"/>
      <c r="I40" s="51"/>
      <c r="J40" s="52"/>
      <c r="K40" s="53"/>
      <c r="L40" s="53"/>
      <c r="M40" s="53"/>
      <c r="N40" s="50"/>
      <c r="O40" s="68"/>
      <c r="Q40" s="62"/>
      <c r="R40" s="62"/>
      <c r="S40" s="62"/>
      <c r="T40" s="62"/>
      <c r="U40" s="62"/>
    </row>
    <row r="41" spans="1:21">
      <c r="A41" s="50">
        <f t="shared" si="0"/>
        <v>28</v>
      </c>
      <c r="B41" s="50"/>
      <c r="C41" s="65" t="s">
        <v>72</v>
      </c>
      <c r="D41" s="132"/>
      <c r="E41" s="94">
        <f>E40-E42</f>
        <v>0</v>
      </c>
      <c r="F41" s="91">
        <f>E41/365</f>
        <v>0</v>
      </c>
      <c r="G41" s="66" t="s">
        <v>53</v>
      </c>
      <c r="H41" s="88">
        <f>'[6]ATO-CWC2'!$C$19</f>
        <v>37.5</v>
      </c>
      <c r="I41" s="66" t="s">
        <v>73</v>
      </c>
      <c r="J41" s="88">
        <f>'[6]ATO-CWC7'!$H$16</f>
        <v>37.5</v>
      </c>
      <c r="K41" s="68"/>
      <c r="L41" s="90">
        <f>H41-J41</f>
        <v>0</v>
      </c>
      <c r="M41" s="68"/>
      <c r="N41" s="91">
        <f>L41*F41</f>
        <v>0</v>
      </c>
      <c r="O41" s="68"/>
      <c r="Q41" s="62"/>
      <c r="T41" s="62"/>
      <c r="U41" s="62"/>
    </row>
    <row r="42" spans="1:21">
      <c r="A42" s="50">
        <f t="shared" si="0"/>
        <v>29</v>
      </c>
      <c r="B42" s="65"/>
      <c r="C42" s="65" t="s">
        <v>74</v>
      </c>
      <c r="D42" s="132"/>
      <c r="E42" s="98">
        <v>7465832.0120293573</v>
      </c>
      <c r="F42" s="91">
        <f>E42/365</f>
        <v>20454.334279532486</v>
      </c>
      <c r="G42" s="66" t="s">
        <v>53</v>
      </c>
      <c r="H42" s="88">
        <f>'[6]ATO-CWC2'!$C$19</f>
        <v>37.5</v>
      </c>
      <c r="I42" s="66" t="s">
        <v>73</v>
      </c>
      <c r="J42" s="88">
        <v>0</v>
      </c>
      <c r="K42" s="68"/>
      <c r="L42" s="90">
        <f>H42-J42</f>
        <v>37.5</v>
      </c>
      <c r="M42" s="68"/>
      <c r="N42" s="91">
        <f>L42*F42</f>
        <v>767037.5354824682</v>
      </c>
      <c r="O42" s="68"/>
      <c r="Q42" s="62"/>
      <c r="T42" s="62"/>
      <c r="U42" s="62"/>
    </row>
    <row r="43" spans="1:21">
      <c r="A43" s="50">
        <f t="shared" si="0"/>
        <v>30</v>
      </c>
      <c r="B43" s="65"/>
      <c r="C43" s="65"/>
      <c r="D43" s="65"/>
      <c r="E43" s="65"/>
      <c r="F43" s="65"/>
      <c r="G43" s="66"/>
      <c r="H43" s="88"/>
      <c r="I43" s="66"/>
      <c r="J43" s="67"/>
      <c r="K43" s="68"/>
      <c r="L43" s="68"/>
      <c r="M43" s="68"/>
      <c r="N43" s="65"/>
      <c r="O43" s="68"/>
      <c r="Q43" s="62"/>
      <c r="T43" s="62"/>
      <c r="U43" s="62"/>
    </row>
    <row r="44" spans="1:21">
      <c r="A44" s="50">
        <f t="shared" si="0"/>
        <v>31</v>
      </c>
      <c r="B44" s="65" t="s">
        <v>75</v>
      </c>
      <c r="C44" s="65"/>
      <c r="D44" s="50"/>
      <c r="E44" s="111">
        <v>1483045.7325000002</v>
      </c>
      <c r="F44" s="50"/>
      <c r="G44" s="51"/>
      <c r="H44" s="52"/>
      <c r="I44" s="51"/>
      <c r="J44" s="52"/>
      <c r="K44" s="53"/>
      <c r="L44" s="53"/>
      <c r="M44" s="53"/>
      <c r="N44" s="50"/>
      <c r="O44" s="68"/>
      <c r="Q44" s="62"/>
      <c r="R44" s="62"/>
      <c r="S44" s="62"/>
    </row>
    <row r="45" spans="1:21">
      <c r="A45" s="50">
        <f t="shared" si="0"/>
        <v>32</v>
      </c>
      <c r="B45" s="50"/>
      <c r="C45" s="65" t="s">
        <v>72</v>
      </c>
      <c r="D45" s="132"/>
      <c r="E45" s="94">
        <f>E44-E46</f>
        <v>0</v>
      </c>
      <c r="F45" s="91">
        <f>E45/365</f>
        <v>0</v>
      </c>
      <c r="G45" s="66" t="s">
        <v>53</v>
      </c>
      <c r="H45" s="88">
        <f>'[6]ATO-CWC2'!$C$19</f>
        <v>37.5</v>
      </c>
      <c r="I45" s="66" t="s">
        <v>76</v>
      </c>
      <c r="J45" s="88">
        <f>'[6]ATO-CWC8'!H16</f>
        <v>37.5</v>
      </c>
      <c r="K45" s="68"/>
      <c r="L45" s="90">
        <f>H45-J45</f>
        <v>0</v>
      </c>
      <c r="M45" s="68"/>
      <c r="N45" s="91">
        <f>L45*F45</f>
        <v>0</v>
      </c>
      <c r="O45" s="68"/>
      <c r="Q45" s="62"/>
      <c r="R45" s="62"/>
      <c r="S45" s="62"/>
    </row>
    <row r="46" spans="1:21">
      <c r="A46" s="50">
        <f t="shared" si="0"/>
        <v>33</v>
      </c>
      <c r="B46" s="65"/>
      <c r="C46" s="65" t="s">
        <v>74</v>
      </c>
      <c r="D46" s="132"/>
      <c r="E46" s="98">
        <v>1483045.7325000002</v>
      </c>
      <c r="F46" s="91">
        <f>E46/365</f>
        <v>4063.1389931506856</v>
      </c>
      <c r="G46" s="66" t="s">
        <v>53</v>
      </c>
      <c r="H46" s="88">
        <f>'[6]ATO-CWC2'!$C$19</f>
        <v>37.5</v>
      </c>
      <c r="I46" s="66" t="s">
        <v>76</v>
      </c>
      <c r="J46" s="88">
        <f>'[6]ATO-CWC8'!H17</f>
        <v>0</v>
      </c>
      <c r="K46" s="68"/>
      <c r="L46" s="90">
        <f>H46-J46</f>
        <v>37.5</v>
      </c>
      <c r="M46" s="68"/>
      <c r="N46" s="91">
        <f>L46*F46</f>
        <v>152367.71224315072</v>
      </c>
      <c r="O46" s="68"/>
      <c r="Q46" s="62"/>
      <c r="R46" s="62"/>
      <c r="S46" s="62"/>
    </row>
    <row r="47" spans="1:21">
      <c r="A47" s="50">
        <f t="shared" si="0"/>
        <v>34</v>
      </c>
      <c r="B47" s="65"/>
      <c r="C47" s="65"/>
      <c r="D47" s="65"/>
      <c r="E47" s="94"/>
      <c r="F47" s="65"/>
      <c r="G47" s="66"/>
      <c r="H47" s="88"/>
      <c r="I47" s="66"/>
      <c r="J47" s="67"/>
      <c r="K47" s="68"/>
      <c r="L47" s="90"/>
      <c r="M47" s="68"/>
      <c r="N47" s="91"/>
      <c r="O47" s="68"/>
      <c r="Q47" s="62"/>
      <c r="R47" s="62"/>
      <c r="S47" s="62"/>
    </row>
    <row r="48" spans="1:21">
      <c r="A48" s="50">
        <f t="shared" si="0"/>
        <v>35</v>
      </c>
      <c r="B48" s="50" t="s">
        <v>77</v>
      </c>
      <c r="C48" s="65"/>
      <c r="D48" s="65"/>
      <c r="E48" s="112">
        <v>10700686.299999999</v>
      </c>
      <c r="F48" s="68">
        <f>E48/365</f>
        <v>29316.948767123286</v>
      </c>
      <c r="G48" s="66" t="s">
        <v>53</v>
      </c>
      <c r="H48" s="88">
        <f>'[6]ATO-CWC2'!$C$19</f>
        <v>37.5</v>
      </c>
      <c r="I48" s="66"/>
      <c r="J48" s="67">
        <v>0</v>
      </c>
      <c r="K48" s="68"/>
      <c r="L48" s="90">
        <f>H48-J48</f>
        <v>37.5</v>
      </c>
      <c r="M48" s="68"/>
      <c r="N48" s="91">
        <f>L48*F48</f>
        <v>1099385.5787671232</v>
      </c>
      <c r="O48" s="68"/>
      <c r="Q48" s="62"/>
      <c r="R48" s="62"/>
      <c r="S48" s="62"/>
    </row>
    <row r="49" spans="1:21">
      <c r="A49" s="50">
        <f t="shared" si="0"/>
        <v>36</v>
      </c>
      <c r="B49" s="50"/>
      <c r="C49" s="65"/>
      <c r="D49" s="65"/>
      <c r="E49" s="113"/>
      <c r="F49" s="68"/>
      <c r="G49" s="66"/>
      <c r="H49" s="88"/>
      <c r="I49" s="66"/>
      <c r="J49" s="67"/>
      <c r="K49" s="68"/>
      <c r="L49" s="90"/>
      <c r="M49" s="68"/>
      <c r="N49" s="91"/>
      <c r="O49" s="68"/>
      <c r="Q49" s="62"/>
      <c r="R49" s="62"/>
      <c r="S49" s="62"/>
    </row>
    <row r="50" spans="1:21">
      <c r="A50" s="50">
        <f t="shared" si="0"/>
        <v>37</v>
      </c>
      <c r="B50" s="65" t="s">
        <v>78</v>
      </c>
      <c r="C50" s="65"/>
      <c r="D50" s="65"/>
      <c r="E50" s="98">
        <v>110242.22949999999</v>
      </c>
      <c r="F50" s="68">
        <f>E50/365</f>
        <v>302.033505479452</v>
      </c>
      <c r="G50" s="66" t="s">
        <v>53</v>
      </c>
      <c r="H50" s="88">
        <f>'[6]ATO-CWC2'!$C$19</f>
        <v>37.5</v>
      </c>
      <c r="I50" s="66"/>
      <c r="J50" s="114">
        <f>365/2</f>
        <v>182.5</v>
      </c>
      <c r="K50" s="68"/>
      <c r="L50" s="90">
        <f>H50-J50</f>
        <v>-145</v>
      </c>
      <c r="M50" s="68"/>
      <c r="N50" s="91">
        <f>L50*F50</f>
        <v>-43794.858294520542</v>
      </c>
      <c r="O50" s="68"/>
      <c r="Q50" s="62"/>
      <c r="R50" s="62"/>
      <c r="S50" s="62"/>
      <c r="T50" s="62"/>
      <c r="U50" s="62"/>
    </row>
    <row r="51" spans="1:21">
      <c r="A51" s="50">
        <f t="shared" si="0"/>
        <v>38</v>
      </c>
      <c r="B51" s="50"/>
      <c r="C51" s="65"/>
      <c r="D51" s="65"/>
      <c r="E51" s="65"/>
      <c r="F51" s="65"/>
      <c r="G51" s="66"/>
      <c r="H51" s="88"/>
      <c r="I51" s="66"/>
      <c r="J51" s="67"/>
      <c r="K51" s="68"/>
      <c r="L51" s="68"/>
      <c r="M51" s="68"/>
      <c r="N51" s="65"/>
      <c r="O51" s="68"/>
      <c r="Q51" s="62"/>
      <c r="R51" s="62"/>
      <c r="S51" s="62"/>
    </row>
    <row r="52" spans="1:21">
      <c r="A52" s="50">
        <f t="shared" si="0"/>
        <v>39</v>
      </c>
      <c r="B52" s="65" t="s">
        <v>79</v>
      </c>
      <c r="C52" s="65"/>
      <c r="D52" s="65"/>
      <c r="E52" s="102">
        <v>6084048</v>
      </c>
      <c r="F52" s="68">
        <f>E52/365</f>
        <v>16668.624657534245</v>
      </c>
      <c r="G52" s="66" t="s">
        <v>53</v>
      </c>
      <c r="H52" s="88">
        <f>'[6]ATO-CWC2'!$C$19</f>
        <v>37.5</v>
      </c>
      <c r="I52" s="66" t="s">
        <v>80</v>
      </c>
      <c r="J52" s="88">
        <f>'[6]ATO-CWC9'!L22</f>
        <v>91.25</v>
      </c>
      <c r="K52" s="68"/>
      <c r="L52" s="90">
        <f>H52-J52</f>
        <v>-53.75</v>
      </c>
      <c r="M52" s="68"/>
      <c r="N52" s="91">
        <f>L52*F52</f>
        <v>-895938.57534246566</v>
      </c>
      <c r="O52" s="68"/>
      <c r="Q52" s="62"/>
      <c r="R52" s="62"/>
      <c r="S52" s="62"/>
    </row>
    <row r="53" spans="1:21">
      <c r="A53" s="95">
        <f t="shared" si="0"/>
        <v>40</v>
      </c>
      <c r="B53" s="50"/>
      <c r="C53" s="65"/>
      <c r="D53" s="65"/>
      <c r="E53" s="65"/>
      <c r="F53" s="65"/>
      <c r="G53" s="66"/>
      <c r="H53" s="88"/>
      <c r="I53" s="66"/>
      <c r="J53" s="67"/>
      <c r="K53" s="68"/>
      <c r="L53" s="68"/>
      <c r="M53" s="68"/>
      <c r="N53" s="65"/>
      <c r="O53" s="68"/>
      <c r="Q53" s="62"/>
      <c r="R53" s="62"/>
      <c r="S53" s="62"/>
    </row>
    <row r="54" spans="1:21">
      <c r="A54" s="95">
        <v>41</v>
      </c>
      <c r="B54" s="50" t="s">
        <v>81</v>
      </c>
      <c r="C54" s="65"/>
      <c r="D54" s="65"/>
      <c r="E54" s="115">
        <v>13927092.23</v>
      </c>
      <c r="F54" s="68">
        <f>E54/365</f>
        <v>38156.417068493152</v>
      </c>
      <c r="G54" s="66" t="s">
        <v>53</v>
      </c>
      <c r="H54" s="88">
        <f>'[6]ATO-CWC2'!$C$19</f>
        <v>37.5</v>
      </c>
      <c r="I54" s="66"/>
      <c r="J54" s="67">
        <v>0</v>
      </c>
      <c r="K54" s="68"/>
      <c r="L54" s="90">
        <f>H54-J54</f>
        <v>37.5</v>
      </c>
      <c r="M54" s="68"/>
      <c r="N54" s="101">
        <f>L54*F54</f>
        <v>1430865.6400684933</v>
      </c>
      <c r="O54" s="68"/>
      <c r="Q54" s="62"/>
      <c r="R54" s="62"/>
      <c r="S54" s="62"/>
      <c r="T54" s="62"/>
      <c r="U54" s="62"/>
    </row>
    <row r="55" spans="1:21">
      <c r="A55" s="95">
        <v>42</v>
      </c>
      <c r="B55" s="50"/>
      <c r="C55" s="65"/>
      <c r="D55" s="65"/>
      <c r="E55" s="65"/>
      <c r="F55" s="65"/>
      <c r="G55" s="66"/>
      <c r="H55" s="88"/>
      <c r="I55" s="66"/>
      <c r="J55" s="67"/>
      <c r="K55" s="68"/>
      <c r="L55" s="68"/>
      <c r="M55" s="68"/>
      <c r="N55" s="65"/>
      <c r="O55" s="68"/>
      <c r="Q55" s="62"/>
      <c r="R55" s="62"/>
      <c r="S55" s="62"/>
      <c r="T55" s="62"/>
      <c r="U55" s="62"/>
    </row>
    <row r="56" spans="1:21">
      <c r="A56" s="95">
        <v>43</v>
      </c>
      <c r="B56" s="50"/>
      <c r="C56" s="65"/>
      <c r="D56" s="65"/>
      <c r="E56" s="65"/>
      <c r="F56" s="65"/>
      <c r="G56" s="66"/>
      <c r="H56" s="88"/>
      <c r="I56" s="66"/>
      <c r="J56" s="67"/>
      <c r="K56" s="68"/>
      <c r="L56" s="68"/>
      <c r="M56" s="68"/>
      <c r="N56" s="65"/>
      <c r="O56" s="68"/>
      <c r="Q56" s="62"/>
      <c r="R56" s="62"/>
      <c r="S56" s="62"/>
      <c r="T56" s="62"/>
      <c r="U56" s="62"/>
    </row>
    <row r="57" spans="1:21" ht="16.5" thickBot="1">
      <c r="A57" s="95">
        <v>44</v>
      </c>
      <c r="B57" s="50" t="s">
        <v>82</v>
      </c>
      <c r="C57" s="65"/>
      <c r="D57" s="65"/>
      <c r="E57" s="68">
        <f>+E45+E41+E48+E38+E20+E15+E52+E50+E54+E42+E46</f>
        <v>154097173.22228146</v>
      </c>
      <c r="F57" s="68"/>
      <c r="G57" s="66"/>
      <c r="H57" s="89"/>
      <c r="I57" s="66"/>
      <c r="J57" s="133"/>
      <c r="K57" s="68"/>
      <c r="L57" s="68"/>
      <c r="M57" s="68"/>
      <c r="N57" s="116">
        <f>+N45+N41+N48+N38+N20+N15+N52+N50+N54+N42+N46</f>
        <v>1210783.4533458396</v>
      </c>
      <c r="O57" s="68"/>
      <c r="Q57" s="62"/>
      <c r="R57" s="62"/>
      <c r="S57" s="62"/>
      <c r="T57" s="62"/>
      <c r="U57" s="62"/>
    </row>
    <row r="58" spans="1:21" ht="16.5" thickTop="1">
      <c r="A58" s="50"/>
      <c r="B58" s="50"/>
      <c r="C58" s="65"/>
      <c r="D58" s="65"/>
      <c r="E58" s="65"/>
      <c r="F58" s="65"/>
      <c r="G58" s="66"/>
      <c r="H58" s="88"/>
      <c r="I58" s="66"/>
      <c r="J58" s="67"/>
      <c r="K58" s="68"/>
      <c r="L58" s="68"/>
      <c r="M58" s="68"/>
      <c r="N58" s="91"/>
      <c r="O58" s="68"/>
      <c r="Q58" s="62"/>
      <c r="R58" s="62"/>
      <c r="S58" s="62"/>
      <c r="T58" s="62"/>
      <c r="U58" s="62"/>
    </row>
    <row r="59" spans="1:21">
      <c r="A59" s="56">
        <v>45</v>
      </c>
      <c r="B59" s="15" t="s">
        <v>32</v>
      </c>
      <c r="E59" s="134">
        <v>0.125</v>
      </c>
      <c r="H59" s="97"/>
      <c r="N59" s="68">
        <f>E59*E20</f>
        <v>2579436.5822815183</v>
      </c>
      <c r="O59" s="16"/>
      <c r="Q59" s="62"/>
      <c r="R59" s="62"/>
      <c r="S59" s="62"/>
    </row>
    <row r="60" spans="1:21">
      <c r="B60" s="5"/>
      <c r="C60" s="72"/>
      <c r="D60" s="72"/>
      <c r="E60" s="120"/>
      <c r="F60" s="72"/>
      <c r="G60" s="122"/>
      <c r="H60" s="123"/>
      <c r="I60" s="122"/>
      <c r="J60" s="124"/>
      <c r="K60" s="72"/>
      <c r="L60" s="72"/>
      <c r="M60" s="72"/>
      <c r="O60" s="16"/>
      <c r="Q60" s="62"/>
      <c r="R60" s="62"/>
      <c r="S60" s="62"/>
    </row>
    <row r="61" spans="1:21">
      <c r="A61" s="56">
        <v>46</v>
      </c>
      <c r="B61" s="15" t="s">
        <v>9</v>
      </c>
      <c r="H61" s="97"/>
      <c r="N61" s="34">
        <f>N57-N59</f>
        <v>-1368653.1289356786</v>
      </c>
      <c r="Q61" s="62"/>
      <c r="R61" s="62"/>
      <c r="S61" s="62"/>
    </row>
    <row r="62" spans="1:21">
      <c r="H62" s="97"/>
    </row>
    <row r="63" spans="1:21">
      <c r="H63" s="97"/>
    </row>
    <row r="64" spans="1:21">
      <c r="H64" s="97"/>
    </row>
    <row r="65" spans="8:8">
      <c r="H65" s="97"/>
    </row>
    <row r="66" spans="8:8">
      <c r="H66" s="97"/>
    </row>
    <row r="67" spans="8:8">
      <c r="H67" s="97"/>
    </row>
    <row r="68" spans="8:8">
      <c r="H68" s="97"/>
    </row>
    <row r="69" spans="8:8">
      <c r="H69" s="97"/>
    </row>
    <row r="70" spans="8:8">
      <c r="H70" s="97"/>
    </row>
    <row r="71" spans="8:8">
      <c r="H71" s="97"/>
    </row>
    <row r="72" spans="8:8">
      <c r="H72" s="97"/>
    </row>
    <row r="73" spans="8:8">
      <c r="H73" s="97"/>
    </row>
    <row r="74" spans="8:8">
      <c r="H74" s="97"/>
    </row>
    <row r="75" spans="8:8">
      <c r="H75" s="97"/>
    </row>
    <row r="76" spans="8:8">
      <c r="H76" s="97"/>
    </row>
    <row r="77" spans="8:8">
      <c r="H77" s="97"/>
    </row>
    <row r="78" spans="8:8">
      <c r="H78" s="97"/>
    </row>
    <row r="79" spans="8:8">
      <c r="H79" s="97"/>
    </row>
    <row r="80" spans="8:8">
      <c r="H80" s="97"/>
    </row>
    <row r="81" spans="8:8">
      <c r="H81" s="97"/>
    </row>
    <row r="82" spans="8:8">
      <c r="H82" s="97"/>
    </row>
    <row r="83" spans="8:8">
      <c r="H83" s="97"/>
    </row>
    <row r="84" spans="8:8">
      <c r="H84" s="97"/>
    </row>
    <row r="85" spans="8:8">
      <c r="H85" s="97"/>
    </row>
    <row r="86" spans="8:8">
      <c r="H86" s="97"/>
    </row>
    <row r="87" spans="8:8">
      <c r="H87" s="97"/>
    </row>
    <row r="88" spans="8:8">
      <c r="H88" s="97"/>
    </row>
    <row r="89" spans="8:8">
      <c r="H89" s="97"/>
    </row>
    <row r="90" spans="8:8">
      <c r="H90" s="97"/>
    </row>
    <row r="91" spans="8:8">
      <c r="H91" s="97"/>
    </row>
    <row r="92" spans="8:8">
      <c r="H92" s="97"/>
    </row>
    <row r="93" spans="8:8">
      <c r="H93" s="97"/>
    </row>
    <row r="94" spans="8:8">
      <c r="H94" s="97"/>
    </row>
    <row r="95" spans="8:8">
      <c r="H95" s="97"/>
    </row>
    <row r="96" spans="8:8">
      <c r="H96" s="97"/>
    </row>
    <row r="97" spans="8:8">
      <c r="H97" s="97"/>
    </row>
    <row r="98" spans="8:8">
      <c r="H98" s="97"/>
    </row>
    <row r="99" spans="8:8">
      <c r="H99" s="97"/>
    </row>
    <row r="100" spans="8:8">
      <c r="H100" s="97"/>
    </row>
    <row r="101" spans="8:8">
      <c r="H101" s="97"/>
    </row>
    <row r="102" spans="8:8">
      <c r="H102" s="97"/>
    </row>
    <row r="103" spans="8:8">
      <c r="H103" s="97"/>
    </row>
    <row r="104" spans="8:8">
      <c r="H104" s="97"/>
    </row>
    <row r="105" spans="8:8">
      <c r="H105" s="97"/>
    </row>
    <row r="106" spans="8:8">
      <c r="H106" s="97"/>
    </row>
    <row r="107" spans="8:8">
      <c r="H107" s="97"/>
    </row>
    <row r="108" spans="8:8">
      <c r="H108" s="97"/>
    </row>
    <row r="109" spans="8:8">
      <c r="H109" s="97"/>
    </row>
    <row r="110" spans="8:8">
      <c r="H110" s="97"/>
    </row>
    <row r="111" spans="8:8">
      <c r="H111" s="97"/>
    </row>
    <row r="112" spans="8:8">
      <c r="H112" s="97"/>
    </row>
    <row r="113" spans="8:8">
      <c r="H113" s="97"/>
    </row>
    <row r="114" spans="8:8">
      <c r="H114" s="97"/>
    </row>
    <row r="115" spans="8:8">
      <c r="H115" s="97"/>
    </row>
    <row r="116" spans="8:8">
      <c r="H116" s="97"/>
    </row>
    <row r="117" spans="8:8">
      <c r="H117" s="97"/>
    </row>
    <row r="118" spans="8:8">
      <c r="H118" s="97"/>
    </row>
    <row r="119" spans="8:8">
      <c r="H119" s="97"/>
    </row>
    <row r="120" spans="8:8">
      <c r="H120" s="97"/>
    </row>
    <row r="121" spans="8:8">
      <c r="H121" s="97"/>
    </row>
    <row r="122" spans="8:8">
      <c r="H122" s="97"/>
    </row>
    <row r="123" spans="8:8">
      <c r="H123" s="97"/>
    </row>
    <row r="124" spans="8:8">
      <c r="H124" s="97"/>
    </row>
    <row r="125" spans="8:8">
      <c r="H125" s="97"/>
    </row>
    <row r="126" spans="8:8">
      <c r="H126" s="97"/>
    </row>
    <row r="127" spans="8:8">
      <c r="H127" s="97"/>
    </row>
    <row r="128" spans="8:8">
      <c r="H128" s="97"/>
    </row>
    <row r="129" spans="8:8">
      <c r="H129" s="97"/>
    </row>
    <row r="130" spans="8:8">
      <c r="H130" s="97"/>
    </row>
    <row r="131" spans="8:8">
      <c r="H131" s="97"/>
    </row>
    <row r="132" spans="8:8">
      <c r="H132" s="97"/>
    </row>
    <row r="133" spans="8:8">
      <c r="H133" s="97"/>
    </row>
    <row r="134" spans="8:8">
      <c r="H134" s="97"/>
    </row>
    <row r="135" spans="8:8">
      <c r="H135" s="97"/>
    </row>
    <row r="136" spans="8:8">
      <c r="H136" s="97"/>
    </row>
    <row r="137" spans="8:8">
      <c r="H137" s="97"/>
    </row>
    <row r="138" spans="8:8">
      <c r="H138" s="97"/>
    </row>
    <row r="139" spans="8:8">
      <c r="H139" s="97"/>
    </row>
    <row r="140" spans="8:8">
      <c r="H140" s="97"/>
    </row>
    <row r="141" spans="8:8">
      <c r="H141" s="97"/>
    </row>
    <row r="142" spans="8:8">
      <c r="H142" s="97"/>
    </row>
    <row r="143" spans="8:8">
      <c r="H143" s="97"/>
    </row>
    <row r="144" spans="8:8">
      <c r="H144" s="97"/>
    </row>
    <row r="145" spans="8:8">
      <c r="H145" s="97"/>
    </row>
    <row r="146" spans="8:8">
      <c r="H146" s="97"/>
    </row>
    <row r="147" spans="8:8">
      <c r="H147" s="97"/>
    </row>
    <row r="148" spans="8:8">
      <c r="H148" s="97"/>
    </row>
    <row r="149" spans="8:8">
      <c r="H149" s="97"/>
    </row>
    <row r="150" spans="8:8">
      <c r="H150" s="97"/>
    </row>
    <row r="151" spans="8:8">
      <c r="H151" s="97"/>
    </row>
    <row r="152" spans="8:8">
      <c r="H152" s="97"/>
    </row>
    <row r="153" spans="8:8">
      <c r="H153" s="97"/>
    </row>
    <row r="154" spans="8:8">
      <c r="H154" s="97"/>
    </row>
    <row r="155" spans="8:8">
      <c r="H155" s="97"/>
    </row>
    <row r="156" spans="8:8">
      <c r="H156" s="97"/>
    </row>
    <row r="157" spans="8:8">
      <c r="H157" s="97"/>
    </row>
    <row r="158" spans="8:8">
      <c r="H158" s="97"/>
    </row>
    <row r="159" spans="8:8">
      <c r="H159" s="97"/>
    </row>
    <row r="160" spans="8:8">
      <c r="H160" s="97"/>
    </row>
    <row r="161" spans="8:8">
      <c r="H161" s="97"/>
    </row>
    <row r="162" spans="8:8">
      <c r="H162" s="97"/>
    </row>
    <row r="163" spans="8:8">
      <c r="H163" s="97"/>
    </row>
    <row r="164" spans="8:8">
      <c r="H164" s="97"/>
    </row>
    <row r="165" spans="8:8">
      <c r="H165" s="97"/>
    </row>
    <row r="166" spans="8:8">
      <c r="H166" s="97"/>
    </row>
    <row r="167" spans="8:8">
      <c r="H167" s="97"/>
    </row>
    <row r="168" spans="8:8">
      <c r="H168" s="97"/>
    </row>
    <row r="169" spans="8:8">
      <c r="H169" s="97"/>
    </row>
    <row r="170" spans="8:8">
      <c r="H170" s="97"/>
    </row>
    <row r="171" spans="8:8">
      <c r="H171" s="97"/>
    </row>
    <row r="172" spans="8:8">
      <c r="H172" s="97"/>
    </row>
  </sheetData>
  <pageMargins left="0.95" right="0.5" top="0.75" bottom="0.5" header="0.25" footer="0.5"/>
  <pageSetup scale="65" orientation="portrait" horizontalDpi="300" r:id="rId1"/>
  <headerFooter alignWithMargins="0">
    <oddHeader>&amp;RCASE NO. 2018-00281
ATTACHMENT 2
TO STAFF DR NO. 2-36</oddHead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zoomScaleNormal="100" workbookViewId="0"/>
  </sheetViews>
  <sheetFormatPr defaultColWidth="9.77734375" defaultRowHeight="11.25"/>
  <cols>
    <col min="1" max="1" width="3.6640625" style="137" bestFit="1" customWidth="1"/>
    <col min="2" max="2" width="1.77734375" style="137" customWidth="1"/>
    <col min="3" max="3" width="24.21875" style="137" customWidth="1"/>
    <col min="4" max="4" width="11.6640625" style="137" bestFit="1" customWidth="1"/>
    <col min="5" max="5" width="8.77734375" style="137" bestFit="1" customWidth="1"/>
    <col min="6" max="6" width="5.77734375" style="137" customWidth="1"/>
    <col min="7" max="7" width="7.21875" style="137" bestFit="1" customWidth="1"/>
    <col min="8" max="8" width="8.77734375" style="137" bestFit="1" customWidth="1"/>
    <col min="9" max="9" width="8.5546875" style="137" customWidth="1"/>
    <col min="10" max="10" width="10.21875" style="137" bestFit="1" customWidth="1"/>
    <col min="11" max="11" width="0.5546875" style="137" customWidth="1"/>
    <col min="12" max="16384" width="9.77734375" style="137"/>
  </cols>
  <sheetData>
    <row r="1" spans="1:11" ht="12.95" customHeight="1">
      <c r="A1" s="135"/>
      <c r="B1" s="135"/>
      <c r="C1" s="135"/>
      <c r="D1" s="135"/>
      <c r="E1" s="135"/>
      <c r="F1" s="135"/>
      <c r="G1" s="135"/>
      <c r="H1" s="135"/>
      <c r="I1" s="199"/>
      <c r="J1" s="199"/>
      <c r="K1" s="136"/>
    </row>
    <row r="2" spans="1:11" ht="12.95" customHeight="1">
      <c r="A2" s="200" t="s">
        <v>199</v>
      </c>
      <c r="B2" s="200"/>
      <c r="C2" s="200"/>
      <c r="D2" s="200"/>
      <c r="E2" s="200"/>
      <c r="F2" s="200"/>
      <c r="G2" s="200"/>
      <c r="H2" s="200"/>
      <c r="I2" s="200"/>
      <c r="J2" s="200"/>
      <c r="K2" s="136"/>
    </row>
    <row r="3" spans="1:11" ht="11.25" customHeight="1">
      <c r="A3" s="201" t="s">
        <v>88</v>
      </c>
      <c r="B3" s="201"/>
      <c r="C3" s="201"/>
      <c r="D3" s="201"/>
      <c r="E3" s="201"/>
      <c r="F3" s="201"/>
      <c r="G3" s="201"/>
      <c r="H3" s="201"/>
      <c r="I3" s="201"/>
      <c r="J3" s="201"/>
      <c r="K3" s="136"/>
    </row>
    <row r="4" spans="1:11" ht="11.25" customHeight="1">
      <c r="A4" s="202" t="s">
        <v>89</v>
      </c>
      <c r="B4" s="202"/>
      <c r="C4" s="202"/>
      <c r="D4" s="202"/>
      <c r="E4" s="202"/>
      <c r="F4" s="202"/>
      <c r="G4" s="202"/>
      <c r="H4" s="202"/>
      <c r="I4" s="202"/>
      <c r="J4" s="202"/>
      <c r="K4" s="136"/>
    </row>
    <row r="5" spans="1:11" ht="12" customHeight="1">
      <c r="A5" s="203" t="s">
        <v>198</v>
      </c>
      <c r="B5" s="203"/>
      <c r="C5" s="203"/>
      <c r="D5" s="203"/>
      <c r="E5" s="203"/>
      <c r="F5" s="203"/>
      <c r="G5" s="203"/>
      <c r="H5" s="203"/>
      <c r="I5" s="203"/>
      <c r="J5" s="203"/>
      <c r="K5" s="136"/>
    </row>
    <row r="6" spans="1:11" ht="12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6"/>
    </row>
    <row r="7" spans="1:11" ht="12" customHeight="1">
      <c r="A7" s="139"/>
      <c r="B7" s="139"/>
      <c r="C7" s="139"/>
      <c r="D7" s="139"/>
      <c r="E7" s="139"/>
      <c r="F7" s="140" t="s">
        <v>90</v>
      </c>
      <c r="G7" s="140" t="s">
        <v>39</v>
      </c>
      <c r="H7" s="139"/>
      <c r="I7" s="139"/>
      <c r="J7" s="140" t="s">
        <v>17</v>
      </c>
      <c r="K7" s="136"/>
    </row>
    <row r="8" spans="1:11" ht="12" customHeight="1">
      <c r="A8" s="140" t="s">
        <v>0</v>
      </c>
      <c r="B8" s="139"/>
      <c r="C8" s="139"/>
      <c r="D8" s="140" t="s">
        <v>91</v>
      </c>
      <c r="E8" s="140" t="s">
        <v>92</v>
      </c>
      <c r="F8" s="140" t="s">
        <v>44</v>
      </c>
      <c r="G8" s="140" t="s">
        <v>93</v>
      </c>
      <c r="H8" s="139"/>
      <c r="I8" s="140" t="s">
        <v>40</v>
      </c>
      <c r="J8" s="140" t="s">
        <v>19</v>
      </c>
      <c r="K8" s="136"/>
    </row>
    <row r="9" spans="1:11" ht="12" customHeight="1">
      <c r="A9" s="141" t="s">
        <v>3</v>
      </c>
      <c r="B9" s="142"/>
      <c r="C9" s="141" t="s">
        <v>94</v>
      </c>
      <c r="D9" s="141" t="s">
        <v>39</v>
      </c>
      <c r="E9" s="141" t="s">
        <v>5</v>
      </c>
      <c r="F9" s="141" t="s">
        <v>95</v>
      </c>
      <c r="G9" s="141" t="s">
        <v>95</v>
      </c>
      <c r="H9" s="141" t="s">
        <v>96</v>
      </c>
      <c r="I9" s="141" t="s">
        <v>95</v>
      </c>
      <c r="J9" s="141" t="s">
        <v>97</v>
      </c>
      <c r="K9" s="136"/>
    </row>
    <row r="10" spans="1:11" ht="12" customHeight="1">
      <c r="A10" s="140"/>
      <c r="B10" s="139"/>
      <c r="C10" s="140" t="s">
        <v>6</v>
      </c>
      <c r="D10" s="140" t="s">
        <v>7</v>
      </c>
      <c r="E10" s="140" t="s">
        <v>98</v>
      </c>
      <c r="F10" s="140" t="s">
        <v>99</v>
      </c>
      <c r="G10" s="140" t="s">
        <v>100</v>
      </c>
      <c r="H10" s="143" t="s">
        <v>101</v>
      </c>
      <c r="I10" s="143" t="s">
        <v>102</v>
      </c>
      <c r="J10" s="143" t="s">
        <v>103</v>
      </c>
      <c r="K10" s="136"/>
    </row>
    <row r="11" spans="1:11" ht="12" customHeight="1">
      <c r="A11" s="140"/>
      <c r="B11" s="139"/>
      <c r="C11" s="139"/>
      <c r="D11" s="140"/>
      <c r="E11" s="140"/>
      <c r="F11" s="140"/>
      <c r="G11" s="139"/>
      <c r="H11" s="139"/>
      <c r="I11" s="140"/>
      <c r="J11" s="140"/>
      <c r="K11" s="136"/>
    </row>
    <row r="12" spans="1:11" ht="12" customHeight="1">
      <c r="A12" s="144">
        <v>1</v>
      </c>
      <c r="B12" s="142" t="s">
        <v>104</v>
      </c>
      <c r="C12" s="135"/>
      <c r="D12" s="135"/>
      <c r="E12" s="135"/>
      <c r="F12" s="140" t="s">
        <v>12</v>
      </c>
      <c r="G12" s="135"/>
      <c r="H12" s="135"/>
      <c r="I12" s="135"/>
      <c r="J12" s="135"/>
      <c r="K12" s="136"/>
    </row>
    <row r="13" spans="1:11" ht="12" customHeight="1">
      <c r="A13" s="144">
        <v>2</v>
      </c>
      <c r="B13" s="135"/>
      <c r="C13" s="145" t="s">
        <v>105</v>
      </c>
      <c r="D13" s="146">
        <v>1043550772.6907685</v>
      </c>
      <c r="E13" s="146">
        <f t="shared" ref="E13:E21" si="0">ROUND(D13/365,0)</f>
        <v>2859043</v>
      </c>
      <c r="F13" s="147">
        <v>40.930000000000007</v>
      </c>
      <c r="G13" s="148">
        <v>39.633465956610316</v>
      </c>
      <c r="H13" s="144" t="s">
        <v>106</v>
      </c>
      <c r="I13" s="148">
        <f t="shared" ref="I13:I21" si="1">F13-G13</f>
        <v>1.2965340433896912</v>
      </c>
      <c r="J13" s="146">
        <f t="shared" ref="J13:J21" si="2">ROUND(I13*E13,0)</f>
        <v>3706847</v>
      </c>
      <c r="K13" s="136"/>
    </row>
    <row r="14" spans="1:11" ht="12" customHeight="1">
      <c r="A14" s="144">
        <v>3</v>
      </c>
      <c r="B14" s="135"/>
      <c r="C14" s="135" t="s">
        <v>107</v>
      </c>
      <c r="D14" s="149">
        <v>-63125790.380769245</v>
      </c>
      <c r="E14" s="150">
        <f t="shared" si="0"/>
        <v>-172947</v>
      </c>
      <c r="F14" s="148">
        <f>F$13</f>
        <v>40.930000000000007</v>
      </c>
      <c r="G14" s="148">
        <f>F14</f>
        <v>40.930000000000007</v>
      </c>
      <c r="H14" s="144" t="s">
        <v>108</v>
      </c>
      <c r="I14" s="148">
        <f t="shared" si="1"/>
        <v>0</v>
      </c>
      <c r="J14" s="150">
        <f t="shared" si="2"/>
        <v>0</v>
      </c>
      <c r="K14" s="136"/>
    </row>
    <row r="15" spans="1:11" ht="12" customHeight="1">
      <c r="A15" s="144">
        <v>4</v>
      </c>
      <c r="B15" s="135"/>
      <c r="C15" s="135" t="s">
        <v>109</v>
      </c>
      <c r="D15" s="149">
        <v>48197346.739999965</v>
      </c>
      <c r="E15" s="150">
        <f t="shared" si="0"/>
        <v>132048</v>
      </c>
      <c r="F15" s="148">
        <f t="shared" ref="F15:F21" si="3">F$13</f>
        <v>40.930000000000007</v>
      </c>
      <c r="G15" s="148">
        <v>0</v>
      </c>
      <c r="H15" s="144" t="s">
        <v>110</v>
      </c>
      <c r="I15" s="148">
        <f t="shared" si="1"/>
        <v>40.930000000000007</v>
      </c>
      <c r="J15" s="150">
        <f t="shared" si="2"/>
        <v>5404725</v>
      </c>
      <c r="K15" s="136"/>
    </row>
    <row r="16" spans="1:11" ht="12" customHeight="1">
      <c r="A16" s="144">
        <v>5</v>
      </c>
      <c r="B16" s="135"/>
      <c r="C16" s="135" t="s">
        <v>111</v>
      </c>
      <c r="D16" s="149">
        <v>12457310.876153845</v>
      </c>
      <c r="E16" s="150">
        <f t="shared" si="0"/>
        <v>34130</v>
      </c>
      <c r="F16" s="148">
        <f t="shared" si="3"/>
        <v>40.930000000000007</v>
      </c>
      <c r="G16" s="148">
        <v>0</v>
      </c>
      <c r="H16" s="144" t="s">
        <v>110</v>
      </c>
      <c r="I16" s="148">
        <f t="shared" si="1"/>
        <v>40.930000000000007</v>
      </c>
      <c r="J16" s="150">
        <f t="shared" si="2"/>
        <v>1396941</v>
      </c>
      <c r="K16" s="136"/>
    </row>
    <row r="17" spans="1:11" ht="12" customHeight="1">
      <c r="A17" s="144">
        <v>6</v>
      </c>
      <c r="B17" s="135"/>
      <c r="C17" s="145" t="s">
        <v>112</v>
      </c>
      <c r="D17" s="149">
        <v>178828230.57999992</v>
      </c>
      <c r="E17" s="150">
        <f t="shared" si="0"/>
        <v>489940</v>
      </c>
      <c r="F17" s="148">
        <f t="shared" si="3"/>
        <v>40.930000000000007</v>
      </c>
      <c r="G17" s="148">
        <v>14.1</v>
      </c>
      <c r="H17" s="144" t="s">
        <v>113</v>
      </c>
      <c r="I17" s="148">
        <f t="shared" si="1"/>
        <v>26.830000000000005</v>
      </c>
      <c r="J17" s="150">
        <f t="shared" si="2"/>
        <v>13145090</v>
      </c>
      <c r="K17" s="136"/>
    </row>
    <row r="18" spans="1:11" ht="12" customHeight="1">
      <c r="A18" s="144">
        <v>7</v>
      </c>
      <c r="B18" s="135"/>
      <c r="C18" s="145" t="s">
        <v>114</v>
      </c>
      <c r="D18" s="149">
        <v>35591226.820000008</v>
      </c>
      <c r="E18" s="150">
        <f t="shared" si="0"/>
        <v>97510</v>
      </c>
      <c r="F18" s="148">
        <f t="shared" si="3"/>
        <v>40.930000000000007</v>
      </c>
      <c r="G18" s="148">
        <v>0</v>
      </c>
      <c r="H18" s="144" t="s">
        <v>110</v>
      </c>
      <c r="I18" s="148">
        <f t="shared" si="1"/>
        <v>40.930000000000007</v>
      </c>
      <c r="J18" s="150">
        <f t="shared" si="2"/>
        <v>3991084</v>
      </c>
      <c r="K18" s="136"/>
    </row>
    <row r="19" spans="1:11" ht="12" customHeight="1">
      <c r="A19" s="144">
        <v>8</v>
      </c>
      <c r="B19" s="135"/>
      <c r="C19" s="145" t="s">
        <v>115</v>
      </c>
      <c r="D19" s="149">
        <v>34408040.079999998</v>
      </c>
      <c r="E19" s="150">
        <f t="shared" si="0"/>
        <v>94269</v>
      </c>
      <c r="F19" s="148">
        <f t="shared" si="3"/>
        <v>40.930000000000007</v>
      </c>
      <c r="G19" s="148">
        <v>0</v>
      </c>
      <c r="H19" s="144" t="s">
        <v>110</v>
      </c>
      <c r="I19" s="148">
        <f t="shared" si="1"/>
        <v>40.930000000000007</v>
      </c>
      <c r="J19" s="150">
        <f t="shared" si="2"/>
        <v>3858430</v>
      </c>
      <c r="K19" s="136"/>
    </row>
    <row r="20" spans="1:11" ht="12" customHeight="1">
      <c r="A20" s="144">
        <v>9</v>
      </c>
      <c r="B20" s="135"/>
      <c r="C20" s="145" t="s">
        <v>116</v>
      </c>
      <c r="D20" s="149">
        <v>25899122.289999995</v>
      </c>
      <c r="E20" s="150">
        <f t="shared" si="0"/>
        <v>70956</v>
      </c>
      <c r="F20" s="148">
        <f t="shared" si="3"/>
        <v>40.930000000000007</v>
      </c>
      <c r="G20" s="148">
        <v>0</v>
      </c>
      <c r="H20" s="144" t="s">
        <v>110</v>
      </c>
      <c r="I20" s="148">
        <f t="shared" si="1"/>
        <v>40.930000000000007</v>
      </c>
      <c r="J20" s="150">
        <f t="shared" si="2"/>
        <v>2904229</v>
      </c>
      <c r="K20" s="136"/>
    </row>
    <row r="21" spans="1:11" ht="12" customHeight="1">
      <c r="A21" s="144">
        <v>10</v>
      </c>
      <c r="B21" s="135"/>
      <c r="C21" s="145" t="s">
        <v>117</v>
      </c>
      <c r="D21" s="149">
        <v>12871162.129999997</v>
      </c>
      <c r="E21" s="150">
        <f t="shared" si="0"/>
        <v>35263</v>
      </c>
      <c r="F21" s="148">
        <f t="shared" si="3"/>
        <v>40.930000000000007</v>
      </c>
      <c r="G21" s="148">
        <v>63.40897072497112</v>
      </c>
      <c r="H21" s="144" t="s">
        <v>118</v>
      </c>
      <c r="I21" s="148">
        <f t="shared" si="1"/>
        <v>-22.478970724971113</v>
      </c>
      <c r="J21" s="150">
        <f t="shared" si="2"/>
        <v>-792676</v>
      </c>
      <c r="K21" s="136"/>
    </row>
    <row r="22" spans="1:11" ht="12" customHeight="1">
      <c r="A22" s="144">
        <v>11</v>
      </c>
      <c r="B22" s="135"/>
      <c r="C22" s="151" t="s">
        <v>119</v>
      </c>
      <c r="D22" s="152"/>
      <c r="E22" s="150"/>
      <c r="F22" s="148"/>
      <c r="G22" s="148"/>
      <c r="H22" s="144" t="s">
        <v>12</v>
      </c>
      <c r="I22" s="148" t="s">
        <v>12</v>
      </c>
      <c r="J22" s="150"/>
      <c r="K22" s="136"/>
    </row>
    <row r="23" spans="1:11" ht="12" customHeight="1">
      <c r="A23" s="144">
        <v>12</v>
      </c>
      <c r="B23" s="135"/>
      <c r="C23" s="135" t="s">
        <v>120</v>
      </c>
      <c r="D23" s="149">
        <v>-4370891.5930769239</v>
      </c>
      <c r="E23" s="150">
        <f t="shared" ref="E23:E27" si="4">ROUND(D23/365,0)</f>
        <v>-11975</v>
      </c>
      <c r="F23" s="148">
        <f t="shared" ref="F23:F27" si="5">F$13</f>
        <v>40.930000000000007</v>
      </c>
      <c r="G23" s="148">
        <v>0</v>
      </c>
      <c r="H23" s="144" t="s">
        <v>110</v>
      </c>
      <c r="I23" s="148">
        <f t="shared" ref="I23:I27" si="6">F23-G23</f>
        <v>40.930000000000007</v>
      </c>
      <c r="J23" s="150">
        <f t="shared" ref="J23:J27" si="7">ROUND(I23*E23,0)</f>
        <v>-490137</v>
      </c>
      <c r="K23" s="153"/>
    </row>
    <row r="24" spans="1:11" ht="12" customHeight="1">
      <c r="A24" s="144">
        <v>13</v>
      </c>
      <c r="B24" s="135"/>
      <c r="C24" s="135" t="s">
        <v>121</v>
      </c>
      <c r="D24" s="149">
        <v>15904324.900000002</v>
      </c>
      <c r="E24" s="150">
        <f t="shared" si="4"/>
        <v>43573</v>
      </c>
      <c r="F24" s="148">
        <f t="shared" si="5"/>
        <v>40.930000000000007</v>
      </c>
      <c r="G24" s="148">
        <v>459.52543111256807</v>
      </c>
      <c r="H24" s="144" t="s">
        <v>122</v>
      </c>
      <c r="I24" s="148">
        <f t="shared" si="6"/>
        <v>-418.59543111256806</v>
      </c>
      <c r="J24" s="150">
        <f t="shared" si="7"/>
        <v>-18239459</v>
      </c>
      <c r="K24" s="136"/>
    </row>
    <row r="25" spans="1:11" ht="12" customHeight="1">
      <c r="A25" s="144">
        <v>14</v>
      </c>
      <c r="B25" s="135"/>
      <c r="C25" s="135" t="s">
        <v>123</v>
      </c>
      <c r="D25" s="149">
        <v>26254702.429999981</v>
      </c>
      <c r="E25" s="150">
        <f t="shared" si="4"/>
        <v>71931</v>
      </c>
      <c r="F25" s="148">
        <f t="shared" si="5"/>
        <v>40.930000000000007</v>
      </c>
      <c r="G25" s="148">
        <v>0</v>
      </c>
      <c r="H25" s="144" t="s">
        <v>110</v>
      </c>
      <c r="I25" s="148">
        <f t="shared" si="6"/>
        <v>40.930000000000007</v>
      </c>
      <c r="J25" s="150">
        <f t="shared" si="7"/>
        <v>2944136</v>
      </c>
      <c r="K25" s="136"/>
    </row>
    <row r="26" spans="1:11" ht="12" customHeight="1">
      <c r="A26" s="144">
        <v>15</v>
      </c>
      <c r="B26" s="135"/>
      <c r="C26" s="135" t="s">
        <v>124</v>
      </c>
      <c r="D26" s="149">
        <v>181279089.4269231</v>
      </c>
      <c r="E26" s="150">
        <f t="shared" si="4"/>
        <v>496655</v>
      </c>
      <c r="F26" s="148">
        <f t="shared" si="5"/>
        <v>40.930000000000007</v>
      </c>
      <c r="G26" s="147">
        <v>36.700000000000003</v>
      </c>
      <c r="H26" s="144" t="s">
        <v>125</v>
      </c>
      <c r="I26" s="148">
        <f t="shared" si="6"/>
        <v>4.230000000000004</v>
      </c>
      <c r="J26" s="150">
        <f t="shared" si="7"/>
        <v>2100851</v>
      </c>
      <c r="K26" s="136"/>
    </row>
    <row r="27" spans="1:11" ht="12" customHeight="1">
      <c r="A27" s="144">
        <v>16</v>
      </c>
      <c r="B27" s="135"/>
      <c r="C27" s="135" t="s">
        <v>126</v>
      </c>
      <c r="D27" s="149">
        <v>281102497.61999995</v>
      </c>
      <c r="E27" s="150">
        <f t="shared" si="4"/>
        <v>770144</v>
      </c>
      <c r="F27" s="148">
        <f t="shared" si="5"/>
        <v>40.930000000000007</v>
      </c>
      <c r="G27" s="148">
        <v>0</v>
      </c>
      <c r="H27" s="144" t="s">
        <v>110</v>
      </c>
      <c r="I27" s="148">
        <f t="shared" si="6"/>
        <v>40.930000000000007</v>
      </c>
      <c r="J27" s="150">
        <f t="shared" si="7"/>
        <v>31521994</v>
      </c>
      <c r="K27" s="136"/>
    </row>
    <row r="28" spans="1:11" ht="12" customHeight="1">
      <c r="A28" s="144">
        <v>17</v>
      </c>
      <c r="B28" s="135"/>
      <c r="C28" s="135"/>
      <c r="D28" s="149"/>
      <c r="E28" s="154"/>
      <c r="F28" s="155"/>
      <c r="G28" s="148"/>
      <c r="H28" s="144" t="s">
        <v>12</v>
      </c>
      <c r="I28" s="148" t="s">
        <v>12</v>
      </c>
      <c r="J28" s="154"/>
      <c r="K28" s="136"/>
    </row>
    <row r="29" spans="1:11" ht="12" customHeight="1">
      <c r="A29" s="144">
        <v>18</v>
      </c>
      <c r="B29" s="142" t="s">
        <v>127</v>
      </c>
      <c r="C29" s="135"/>
      <c r="D29" s="149"/>
      <c r="E29" s="154"/>
      <c r="F29" s="148"/>
      <c r="G29" s="148"/>
      <c r="H29" s="144" t="s">
        <v>12</v>
      </c>
      <c r="I29" s="148" t="s">
        <v>12</v>
      </c>
      <c r="J29" s="150"/>
      <c r="K29" s="136"/>
    </row>
    <row r="30" spans="1:11" ht="12" customHeight="1">
      <c r="A30" s="144">
        <v>19</v>
      </c>
      <c r="B30" s="135"/>
      <c r="C30" s="135" t="s">
        <v>128</v>
      </c>
      <c r="D30" s="149">
        <v>13874043.770000011</v>
      </c>
      <c r="E30" s="150">
        <f>ROUND(D30/365,0)</f>
        <v>38011</v>
      </c>
      <c r="F30" s="148">
        <f t="shared" ref="F30:F32" si="8">F$13</f>
        <v>40.930000000000007</v>
      </c>
      <c r="G30" s="148">
        <v>19.251226455090546</v>
      </c>
      <c r="H30" s="144" t="s">
        <v>129</v>
      </c>
      <c r="I30" s="148">
        <f>F30-G30</f>
        <v>21.678773544909461</v>
      </c>
      <c r="J30" s="150">
        <f>ROUND(I30*E30,0)</f>
        <v>824032</v>
      </c>
      <c r="K30" s="136"/>
    </row>
    <row r="31" spans="1:11" ht="12" customHeight="1">
      <c r="A31" s="144">
        <v>20</v>
      </c>
      <c r="B31" s="135"/>
      <c r="C31" s="145" t="s">
        <v>130</v>
      </c>
      <c r="D31" s="149">
        <v>93719213.969999999</v>
      </c>
      <c r="E31" s="150">
        <f>ROUND(D31/365,0)</f>
        <v>256765</v>
      </c>
      <c r="F31" s="148">
        <f t="shared" si="8"/>
        <v>40.930000000000007</v>
      </c>
      <c r="G31" s="156">
        <v>100.03435516419604</v>
      </c>
      <c r="H31" s="144" t="s">
        <v>131</v>
      </c>
      <c r="I31" s="148">
        <f>F31-G31</f>
        <v>-59.104355164196036</v>
      </c>
      <c r="J31" s="150">
        <f>ROUND(I31*E31,0)</f>
        <v>-15175930</v>
      </c>
      <c r="K31" s="136"/>
    </row>
    <row r="32" spans="1:11" ht="12" customHeight="1">
      <c r="A32" s="144">
        <v>21</v>
      </c>
      <c r="B32" s="135"/>
      <c r="C32" s="145" t="s">
        <v>132</v>
      </c>
      <c r="D32" s="149">
        <v>123369644.42999995</v>
      </c>
      <c r="E32" s="150">
        <f>ROUND(D32/365,0)</f>
        <v>337999</v>
      </c>
      <c r="F32" s="148">
        <f t="shared" si="8"/>
        <v>40.930000000000007</v>
      </c>
      <c r="G32" s="157">
        <v>31.958927744912302</v>
      </c>
      <c r="H32" s="144" t="s">
        <v>133</v>
      </c>
      <c r="I32" s="148">
        <f>F32-G32</f>
        <v>8.9710722550877051</v>
      </c>
      <c r="J32" s="150">
        <f>ROUND(I32*E32,0)</f>
        <v>3032213</v>
      </c>
      <c r="K32" s="136"/>
    </row>
    <row r="33" spans="1:11" ht="12" customHeight="1">
      <c r="A33" s="144">
        <v>22</v>
      </c>
      <c r="B33" s="135"/>
      <c r="C33" s="158" t="s">
        <v>134</v>
      </c>
      <c r="D33" s="149">
        <f>SUM(D13:D32)</f>
        <v>2059810046.7799993</v>
      </c>
      <c r="E33" s="154"/>
      <c r="F33" s="155"/>
      <c r="G33" s="155"/>
      <c r="H33" s="135"/>
      <c r="I33" s="148" t="s">
        <v>12</v>
      </c>
      <c r="J33" s="154"/>
      <c r="K33" s="136"/>
    </row>
    <row r="34" spans="1:11" ht="12" customHeight="1">
      <c r="A34" s="144">
        <v>23</v>
      </c>
      <c r="B34" s="159" t="s">
        <v>135</v>
      </c>
      <c r="C34" s="135"/>
      <c r="D34" s="149"/>
      <c r="E34" s="150"/>
      <c r="F34" s="148"/>
      <c r="G34" s="148"/>
      <c r="H34" s="144" t="s">
        <v>12</v>
      </c>
      <c r="I34" s="148" t="s">
        <v>12</v>
      </c>
      <c r="J34" s="150"/>
      <c r="K34" s="136"/>
    </row>
    <row r="35" spans="1:11" ht="12" customHeight="1">
      <c r="A35" s="144">
        <v>24</v>
      </c>
      <c r="B35" s="135"/>
      <c r="C35" s="135" t="s">
        <v>136</v>
      </c>
      <c r="D35" s="149">
        <v>-9898087.1699999925</v>
      </c>
      <c r="E35" s="150">
        <f t="shared" ref="E35:E36" si="9">ROUND(D35/365,0)</f>
        <v>-27118</v>
      </c>
      <c r="F35" s="148">
        <f t="shared" ref="F35:F36" si="10">F$13</f>
        <v>40.930000000000007</v>
      </c>
      <c r="G35" s="148">
        <v>37.5</v>
      </c>
      <c r="H35" s="144" t="s">
        <v>137</v>
      </c>
      <c r="I35" s="148">
        <f t="shared" ref="I35:I36" si="11">F35-G35</f>
        <v>3.4300000000000068</v>
      </c>
      <c r="J35" s="150">
        <f t="shared" ref="J35:J36" si="12">ROUND(I35*E35,0)</f>
        <v>-93015</v>
      </c>
      <c r="K35" s="136"/>
    </row>
    <row r="36" spans="1:11" ht="12" customHeight="1">
      <c r="A36" s="144">
        <v>25</v>
      </c>
      <c r="B36" s="135"/>
      <c r="C36" s="135" t="s">
        <v>138</v>
      </c>
      <c r="D36" s="149">
        <v>194351593.77000001</v>
      </c>
      <c r="E36" s="150">
        <f t="shared" si="9"/>
        <v>532470</v>
      </c>
      <c r="F36" s="148">
        <f t="shared" si="10"/>
        <v>40.930000000000007</v>
      </c>
      <c r="G36" s="148">
        <v>0</v>
      </c>
      <c r="H36" s="144" t="s">
        <v>110</v>
      </c>
      <c r="I36" s="148">
        <f t="shared" si="11"/>
        <v>40.930000000000007</v>
      </c>
      <c r="J36" s="150">
        <f t="shared" si="12"/>
        <v>21793997</v>
      </c>
      <c r="K36" s="136"/>
    </row>
    <row r="37" spans="1:11" ht="12" customHeight="1">
      <c r="A37" s="144">
        <v>26</v>
      </c>
      <c r="B37" s="135"/>
      <c r="C37" s="160" t="s">
        <v>139</v>
      </c>
      <c r="D37" s="149">
        <f>SUM(D35:D36)</f>
        <v>184453506.60000002</v>
      </c>
      <c r="E37" s="154"/>
      <c r="F37" s="155"/>
      <c r="G37" s="155"/>
      <c r="H37" s="135"/>
      <c r="I37" s="148" t="s">
        <v>12</v>
      </c>
      <c r="J37" s="154"/>
      <c r="K37" s="136"/>
    </row>
    <row r="38" spans="1:11" ht="12" customHeight="1">
      <c r="A38" s="144">
        <v>27</v>
      </c>
      <c r="B38" s="159" t="s">
        <v>140</v>
      </c>
      <c r="C38" s="135"/>
      <c r="D38" s="161"/>
      <c r="E38" s="154"/>
      <c r="F38" s="155"/>
      <c r="G38" s="148"/>
      <c r="H38" s="144" t="s">
        <v>12</v>
      </c>
      <c r="I38" s="148" t="s">
        <v>12</v>
      </c>
      <c r="J38" s="154"/>
      <c r="K38" s="136"/>
    </row>
    <row r="39" spans="1:11" ht="12" customHeight="1">
      <c r="A39" s="144">
        <v>28</v>
      </c>
      <c r="B39" s="135"/>
      <c r="C39" s="135" t="s">
        <v>141</v>
      </c>
      <c r="D39" s="149">
        <v>3456342.9499999993</v>
      </c>
      <c r="E39" s="150">
        <f t="shared" ref="E39:E43" si="13">ROUND(D39/365,0)</f>
        <v>9469</v>
      </c>
      <c r="F39" s="148">
        <f t="shared" ref="F39:F43" si="14">F$13</f>
        <v>40.930000000000007</v>
      </c>
      <c r="G39" s="148">
        <f>F39</f>
        <v>40.930000000000007</v>
      </c>
      <c r="H39" s="144" t="s">
        <v>142</v>
      </c>
      <c r="I39" s="148">
        <f t="shared" ref="I39:I43" si="15">F39-G39</f>
        <v>0</v>
      </c>
      <c r="J39" s="150">
        <f t="shared" ref="J39:J43" si="16">ROUND(I39*E39,0)</f>
        <v>0</v>
      </c>
      <c r="K39" s="136"/>
    </row>
    <row r="40" spans="1:11" ht="12" customHeight="1">
      <c r="A40" s="144">
        <v>29</v>
      </c>
      <c r="B40" s="135"/>
      <c r="C40" s="135" t="s">
        <v>78</v>
      </c>
      <c r="D40" s="149">
        <v>665643.42000000004</v>
      </c>
      <c r="E40" s="150">
        <f t="shared" si="13"/>
        <v>1824</v>
      </c>
      <c r="F40" s="148">
        <f t="shared" si="14"/>
        <v>40.930000000000007</v>
      </c>
      <c r="G40" s="148">
        <v>182.5</v>
      </c>
      <c r="H40" s="144" t="s">
        <v>143</v>
      </c>
      <c r="I40" s="148">
        <f t="shared" si="15"/>
        <v>-141.57</v>
      </c>
      <c r="J40" s="150">
        <f t="shared" si="16"/>
        <v>-258224</v>
      </c>
      <c r="K40" s="136"/>
    </row>
    <row r="41" spans="1:11" ht="12" customHeight="1">
      <c r="A41" s="144">
        <v>30</v>
      </c>
      <c r="B41" s="135"/>
      <c r="C41" s="135" t="s">
        <v>144</v>
      </c>
      <c r="D41" s="149">
        <v>144874613.15000001</v>
      </c>
      <c r="E41" s="150">
        <f t="shared" si="13"/>
        <v>396917</v>
      </c>
      <c r="F41" s="148">
        <f t="shared" si="14"/>
        <v>40.930000000000007</v>
      </c>
      <c r="G41" s="148">
        <v>91.25</v>
      </c>
      <c r="H41" s="144" t="s">
        <v>145</v>
      </c>
      <c r="I41" s="148">
        <f t="shared" si="15"/>
        <v>-50.319999999999993</v>
      </c>
      <c r="J41" s="150">
        <f t="shared" si="16"/>
        <v>-19972863</v>
      </c>
      <c r="K41" s="136"/>
    </row>
    <row r="42" spans="1:11" ht="12" customHeight="1">
      <c r="A42" s="144">
        <v>31</v>
      </c>
      <c r="B42" s="135"/>
      <c r="C42" s="135" t="s">
        <v>146</v>
      </c>
      <c r="D42" s="149">
        <v>-2374770.15</v>
      </c>
      <c r="E42" s="150">
        <f t="shared" si="13"/>
        <v>-6506</v>
      </c>
      <c r="F42" s="148">
        <f t="shared" si="14"/>
        <v>40.930000000000007</v>
      </c>
      <c r="G42" s="148">
        <f>F42</f>
        <v>40.930000000000007</v>
      </c>
      <c r="H42" s="144" t="s">
        <v>142</v>
      </c>
      <c r="I42" s="148">
        <f t="shared" si="15"/>
        <v>0</v>
      </c>
      <c r="J42" s="150">
        <f t="shared" si="16"/>
        <v>0</v>
      </c>
      <c r="K42" s="136"/>
    </row>
    <row r="43" spans="1:11" ht="12" customHeight="1">
      <c r="A43" s="144">
        <v>32</v>
      </c>
      <c r="B43" s="135"/>
      <c r="C43" s="135" t="s">
        <v>147</v>
      </c>
      <c r="D43" s="149">
        <v>-14974676.819999997</v>
      </c>
      <c r="E43" s="150">
        <f t="shared" si="13"/>
        <v>-41027</v>
      </c>
      <c r="F43" s="148">
        <f t="shared" si="14"/>
        <v>40.930000000000007</v>
      </c>
      <c r="G43" s="155">
        <f>F43</f>
        <v>40.930000000000007</v>
      </c>
      <c r="H43" s="144" t="s">
        <v>142</v>
      </c>
      <c r="I43" s="148">
        <f t="shared" si="15"/>
        <v>0</v>
      </c>
      <c r="J43" s="150">
        <f t="shared" si="16"/>
        <v>0</v>
      </c>
      <c r="K43" s="136"/>
    </row>
    <row r="44" spans="1:11" ht="12" customHeight="1">
      <c r="A44" s="144">
        <v>33</v>
      </c>
      <c r="B44" s="135"/>
      <c r="C44" s="162" t="s">
        <v>148</v>
      </c>
      <c r="D44" s="149">
        <f>SUM(D39:D43)</f>
        <v>131647152.55000001</v>
      </c>
      <c r="E44" s="154"/>
      <c r="F44" s="155"/>
      <c r="G44" s="148" t="s">
        <v>12</v>
      </c>
      <c r="H44" s="135"/>
      <c r="I44" s="148" t="s">
        <v>12</v>
      </c>
      <c r="J44" s="154"/>
      <c r="K44" s="136"/>
    </row>
    <row r="45" spans="1:11" ht="12" customHeight="1">
      <c r="A45" s="144">
        <v>34</v>
      </c>
      <c r="B45" s="135"/>
      <c r="C45" s="135" t="s">
        <v>149</v>
      </c>
      <c r="D45" s="149">
        <v>299475208.51000065</v>
      </c>
      <c r="E45" s="163">
        <f t="shared" ref="E45:E48" si="17">ROUND(D45/365,0)</f>
        <v>820480</v>
      </c>
      <c r="F45" s="148">
        <f t="shared" ref="F45" si="18">F$13</f>
        <v>40.930000000000007</v>
      </c>
      <c r="G45" s="148">
        <f>F45</f>
        <v>40.930000000000007</v>
      </c>
      <c r="H45" s="144" t="s">
        <v>142</v>
      </c>
      <c r="I45" s="148">
        <f>F45-G45</f>
        <v>0</v>
      </c>
      <c r="J45" s="164">
        <f>ROUND(I45*E45,0)</f>
        <v>0</v>
      </c>
      <c r="K45" s="136"/>
    </row>
    <row r="46" spans="1:11" ht="12" customHeight="1">
      <c r="A46" s="144">
        <v>35</v>
      </c>
      <c r="B46" s="135"/>
      <c r="C46" s="165" t="s">
        <v>150</v>
      </c>
      <c r="D46" s="149"/>
      <c r="E46" s="150">
        <f t="shared" si="17"/>
        <v>0</v>
      </c>
      <c r="F46" s="148" t="s">
        <v>12</v>
      </c>
      <c r="G46" s="148" t="s">
        <v>12</v>
      </c>
      <c r="H46" s="144" t="s">
        <v>12</v>
      </c>
      <c r="I46" s="148"/>
      <c r="J46" s="150">
        <f>SUM(J13:J45)</f>
        <v>41602265</v>
      </c>
      <c r="K46" s="136"/>
    </row>
    <row r="47" spans="1:11" ht="12" customHeight="1">
      <c r="A47" s="144">
        <v>36</v>
      </c>
      <c r="B47" s="135"/>
      <c r="C47" s="135" t="s">
        <v>151</v>
      </c>
      <c r="D47" s="149">
        <f>+'VA cwc (Juris) sh 2a'!F46</f>
        <v>707783.20000000019</v>
      </c>
      <c r="E47" s="150">
        <f t="shared" si="17"/>
        <v>1939</v>
      </c>
      <c r="F47" s="148">
        <f t="shared" ref="F47:F48" si="19">F$13</f>
        <v>40.930000000000007</v>
      </c>
      <c r="G47" s="147">
        <v>27.76</v>
      </c>
      <c r="H47" s="144" t="s">
        <v>152</v>
      </c>
      <c r="I47" s="148">
        <f>F47-G47</f>
        <v>13.170000000000005</v>
      </c>
      <c r="J47" s="150">
        <f>ROUND(I47*E47,0)</f>
        <v>25537</v>
      </c>
      <c r="K47" s="136"/>
    </row>
    <row r="48" spans="1:11" ht="12" customHeight="1">
      <c r="A48" s="144">
        <v>37</v>
      </c>
      <c r="B48" s="135"/>
      <c r="C48" s="135" t="s">
        <v>153</v>
      </c>
      <c r="D48" s="149">
        <f>+'VA cwc (Juris) sh 2a'!F47</f>
        <v>366594.04</v>
      </c>
      <c r="E48" s="150">
        <f t="shared" si="17"/>
        <v>1004</v>
      </c>
      <c r="F48" s="148">
        <f t="shared" si="19"/>
        <v>40.930000000000007</v>
      </c>
      <c r="G48" s="147">
        <v>32.714986310197503</v>
      </c>
      <c r="H48" s="144" t="s">
        <v>154</v>
      </c>
      <c r="I48" s="148">
        <f>F48-G48</f>
        <v>8.2150136898025039</v>
      </c>
      <c r="J48" s="150">
        <f>ROUND(I48*E48,0)</f>
        <v>8248</v>
      </c>
      <c r="K48" s="136"/>
    </row>
    <row r="49" spans="1:11" ht="12" customHeight="1">
      <c r="A49" s="144">
        <v>38</v>
      </c>
      <c r="B49" s="135"/>
      <c r="C49" s="135" t="s">
        <v>155</v>
      </c>
      <c r="D49" s="166"/>
      <c r="E49" s="135"/>
      <c r="F49" s="167"/>
      <c r="G49" s="167"/>
      <c r="H49" s="144" t="s">
        <v>156</v>
      </c>
      <c r="I49" s="167"/>
      <c r="J49" s="150">
        <v>-374367</v>
      </c>
      <c r="K49" s="136"/>
    </row>
    <row r="50" spans="1:11" ht="12" customHeight="1" thickBot="1">
      <c r="A50" s="144">
        <v>39</v>
      </c>
      <c r="B50" s="135"/>
      <c r="C50" s="135"/>
      <c r="D50" s="145"/>
      <c r="E50" s="135"/>
      <c r="F50" s="135"/>
      <c r="G50" s="167"/>
      <c r="H50" s="135"/>
      <c r="I50" s="168" t="s">
        <v>157</v>
      </c>
      <c r="J50" s="169">
        <f>SUM(J46:J49)</f>
        <v>41261683</v>
      </c>
      <c r="K50" s="136"/>
    </row>
    <row r="51" spans="1:11" ht="12" customHeight="1">
      <c r="A51" s="135"/>
      <c r="B51" s="135"/>
      <c r="C51" s="135"/>
      <c r="D51" s="145"/>
      <c r="E51" s="135"/>
      <c r="F51" s="135"/>
      <c r="G51" s="135"/>
      <c r="H51" s="135"/>
      <c r="I51" s="135"/>
      <c r="J51" s="145"/>
      <c r="K51" s="136"/>
    </row>
    <row r="52" spans="1:11" ht="12" customHeight="1">
      <c r="A52" s="135"/>
      <c r="B52" s="135"/>
      <c r="C52" s="135" t="s">
        <v>158</v>
      </c>
      <c r="D52" s="135"/>
      <c r="E52" s="135"/>
      <c r="F52" s="135"/>
      <c r="G52" s="135"/>
      <c r="H52" s="135"/>
      <c r="I52" s="135"/>
      <c r="J52" s="135"/>
      <c r="K52" s="136"/>
    </row>
    <row r="53" spans="1:11" ht="12" customHeight="1">
      <c r="A53" s="197" t="s">
        <v>159</v>
      </c>
      <c r="B53" s="197"/>
      <c r="C53" s="198" t="s">
        <v>160</v>
      </c>
      <c r="D53" s="198"/>
      <c r="E53" s="198"/>
      <c r="F53" s="198"/>
      <c r="G53" s="198"/>
      <c r="H53" s="198"/>
      <c r="I53" s="198"/>
      <c r="J53" s="198"/>
      <c r="K53" s="136"/>
    </row>
    <row r="54" spans="1:11" ht="12" customHeight="1">
      <c r="A54" s="197" t="s">
        <v>161</v>
      </c>
      <c r="B54" s="197"/>
      <c r="C54" s="198" t="s">
        <v>162</v>
      </c>
      <c r="D54" s="198"/>
      <c r="E54" s="198"/>
      <c r="F54" s="198"/>
      <c r="G54" s="198"/>
      <c r="H54" s="198"/>
      <c r="I54" s="198"/>
      <c r="J54" s="198"/>
      <c r="K54" s="136"/>
    </row>
    <row r="55" spans="1:11" ht="12" customHeight="1">
      <c r="A55" s="197" t="s">
        <v>163</v>
      </c>
      <c r="B55" s="197"/>
      <c r="C55" s="198" t="s">
        <v>164</v>
      </c>
      <c r="D55" s="198"/>
      <c r="E55" s="198"/>
      <c r="F55" s="198"/>
      <c r="G55" s="198"/>
      <c r="H55" s="198"/>
      <c r="I55" s="198"/>
      <c r="J55" s="198"/>
      <c r="K55" s="136"/>
    </row>
    <row r="56" spans="1:11" ht="12.75">
      <c r="A56" s="135"/>
      <c r="B56" s="135"/>
      <c r="C56" s="135"/>
      <c r="D56" s="135"/>
      <c r="E56" s="135"/>
      <c r="F56" s="135"/>
      <c r="G56" s="135"/>
      <c r="H56" s="135"/>
      <c r="I56" s="135"/>
      <c r="J56" s="135"/>
    </row>
    <row r="57" spans="1:11" ht="12.75">
      <c r="A57" s="135"/>
      <c r="B57" s="135"/>
      <c r="C57" s="135"/>
      <c r="D57" s="135"/>
      <c r="E57" s="135"/>
      <c r="F57" s="135"/>
      <c r="G57" s="135"/>
      <c r="H57" s="135"/>
      <c r="I57" s="135"/>
      <c r="J57" s="135"/>
    </row>
    <row r="58" spans="1:11" ht="12.75">
      <c r="A58" s="135"/>
      <c r="B58" s="135"/>
      <c r="C58" s="135"/>
      <c r="D58" s="135"/>
      <c r="E58" s="135"/>
      <c r="F58" s="135"/>
      <c r="G58" s="135"/>
      <c r="H58" s="135"/>
      <c r="I58" s="135"/>
      <c r="J58" s="170"/>
    </row>
    <row r="59" spans="1:11" ht="12.75">
      <c r="A59" s="135"/>
      <c r="B59" s="135"/>
      <c r="C59" s="135"/>
      <c r="D59" s="135"/>
      <c r="E59" s="135"/>
      <c r="F59" s="135"/>
      <c r="G59" s="135"/>
      <c r="H59" s="135"/>
      <c r="I59" s="135"/>
      <c r="J59" s="170"/>
    </row>
    <row r="60" spans="1:11" ht="12.75">
      <c r="A60" s="135"/>
      <c r="B60" s="135"/>
      <c r="C60" s="135"/>
      <c r="D60" s="135"/>
      <c r="E60" s="135"/>
      <c r="F60" s="135"/>
      <c r="G60" s="135"/>
      <c r="H60" s="135"/>
      <c r="I60" s="135"/>
      <c r="J60" s="170"/>
    </row>
    <row r="61" spans="1:11" ht="12.75">
      <c r="A61" s="135"/>
      <c r="B61" s="135"/>
      <c r="C61" s="135"/>
      <c r="D61" s="135"/>
      <c r="E61" s="135"/>
      <c r="F61" s="135"/>
      <c r="G61" s="135"/>
      <c r="H61" s="135"/>
      <c r="I61" s="135"/>
      <c r="J61" s="135"/>
    </row>
  </sheetData>
  <mergeCells count="11">
    <mergeCell ref="A54:B54"/>
    <mergeCell ref="C54:J54"/>
    <mergeCell ref="A55:B55"/>
    <mergeCell ref="C55:J55"/>
    <mergeCell ref="I1:J1"/>
    <mergeCell ref="A2:J2"/>
    <mergeCell ref="A3:J3"/>
    <mergeCell ref="A4:J4"/>
    <mergeCell ref="A5:J5"/>
    <mergeCell ref="A53:B53"/>
    <mergeCell ref="C53:J53"/>
  </mergeCells>
  <pageMargins left="1" right="0.25" top="0.75" bottom="0.1" header="0.25" footer="0.38"/>
  <pageSetup scale="65" orientation="portrait" horizontalDpi="300" verticalDpi="300" r:id="rId1"/>
  <headerFooter alignWithMargins="0">
    <oddHeader>&amp;LCASE NO. 2018-00281
ATTACHMENT 2
TO STAFF DR NO. 2-36&amp;RExhibit No. GKW3
Witness:  Waller
Schedule 27
Sheet 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00" workbookViewId="0"/>
  </sheetViews>
  <sheetFormatPr defaultColWidth="9.77734375" defaultRowHeight="11.25"/>
  <cols>
    <col min="1" max="1" width="3.5546875" style="137" bestFit="1" customWidth="1"/>
    <col min="2" max="2" width="1.77734375" style="137" customWidth="1"/>
    <col min="3" max="3" width="22.44140625" style="137" customWidth="1"/>
    <col min="4" max="4" width="9.44140625" style="137" customWidth="1"/>
    <col min="5" max="5" width="7.21875" style="137" bestFit="1" customWidth="1"/>
    <col min="6" max="6" width="11.6640625" style="137" bestFit="1" customWidth="1"/>
    <col min="7" max="7" width="9.5546875" style="137" customWidth="1"/>
    <col min="8" max="8" width="8.77734375" style="137" bestFit="1" customWidth="1"/>
    <col min="9" max="9" width="5.5546875" style="137" customWidth="1"/>
    <col min="10" max="10" width="7.109375" style="137" bestFit="1" customWidth="1"/>
    <col min="11" max="12" width="7.109375" style="137" customWidth="1"/>
    <col min="13" max="13" width="11.109375" style="137" customWidth="1"/>
    <col min="14" max="14" width="0.5546875" style="137" customWidth="1"/>
    <col min="15" max="16384" width="9.77734375" style="137"/>
  </cols>
  <sheetData>
    <row r="1" spans="1:14" ht="12.9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99"/>
      <c r="M1" s="199"/>
      <c r="N1" s="136"/>
    </row>
    <row r="2" spans="1:14" ht="12" customHeight="1">
      <c r="A2" s="200" t="s">
        <v>199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136"/>
    </row>
    <row r="3" spans="1:14" ht="12" customHeight="1">
      <c r="A3" s="204" t="s">
        <v>165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136"/>
    </row>
    <row r="4" spans="1:14" ht="12" customHeight="1">
      <c r="A4" s="205" t="str">
        <f>'VA cwc (Total Co) sh 2'!A4:J4</f>
        <v>TME:  September 30, 2015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136"/>
    </row>
    <row r="5" spans="1:14" ht="11.25" customHeight="1">
      <c r="A5" s="203" t="s">
        <v>198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136"/>
    </row>
    <row r="6" spans="1:14" ht="11.25" customHeigh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36"/>
    </row>
    <row r="7" spans="1:14" ht="12.95" customHeight="1">
      <c r="A7" s="139"/>
      <c r="B7" s="139"/>
      <c r="C7" s="139"/>
      <c r="D7" s="140" t="s">
        <v>166</v>
      </c>
      <c r="E7" s="140" t="s">
        <v>166</v>
      </c>
      <c r="F7" s="140" t="s">
        <v>2</v>
      </c>
      <c r="G7" s="140" t="s">
        <v>167</v>
      </c>
      <c r="H7" s="140" t="s">
        <v>168</v>
      </c>
      <c r="I7" s="140" t="s">
        <v>90</v>
      </c>
      <c r="J7" s="140" t="s">
        <v>39</v>
      </c>
      <c r="K7" s="139"/>
      <c r="L7" s="139"/>
      <c r="M7" s="140" t="s">
        <v>2</v>
      </c>
      <c r="N7" s="136"/>
    </row>
    <row r="8" spans="1:14" ht="12.95" customHeight="1">
      <c r="A8" s="140" t="s">
        <v>0</v>
      </c>
      <c r="B8" s="139"/>
      <c r="C8" s="139"/>
      <c r="D8" s="140" t="s">
        <v>18</v>
      </c>
      <c r="E8" s="140" t="s">
        <v>18</v>
      </c>
      <c r="F8" s="140" t="s">
        <v>91</v>
      </c>
      <c r="G8" s="140" t="s">
        <v>91</v>
      </c>
      <c r="H8" s="140" t="s">
        <v>92</v>
      </c>
      <c r="I8" s="140" t="s">
        <v>44</v>
      </c>
      <c r="J8" s="140" t="s">
        <v>93</v>
      </c>
      <c r="K8" s="139"/>
      <c r="L8" s="140" t="s">
        <v>40</v>
      </c>
      <c r="M8" s="140" t="s">
        <v>16</v>
      </c>
      <c r="N8" s="136"/>
    </row>
    <row r="9" spans="1:14" ht="12.95" customHeight="1">
      <c r="A9" s="141" t="s">
        <v>3</v>
      </c>
      <c r="B9" s="142"/>
      <c r="C9" s="141" t="s">
        <v>94</v>
      </c>
      <c r="D9" s="141" t="s">
        <v>169</v>
      </c>
      <c r="E9" s="141" t="s">
        <v>170</v>
      </c>
      <c r="F9" s="141" t="s">
        <v>39</v>
      </c>
      <c r="G9" s="141" t="s">
        <v>39</v>
      </c>
      <c r="H9" s="141" t="s">
        <v>5</v>
      </c>
      <c r="I9" s="141" t="s">
        <v>95</v>
      </c>
      <c r="J9" s="141" t="s">
        <v>95</v>
      </c>
      <c r="K9" s="141" t="s">
        <v>169</v>
      </c>
      <c r="L9" s="141" t="s">
        <v>95</v>
      </c>
      <c r="M9" s="141" t="s">
        <v>41</v>
      </c>
      <c r="N9" s="136"/>
    </row>
    <row r="10" spans="1:14" ht="12" customHeight="1">
      <c r="A10" s="140"/>
      <c r="B10" s="139"/>
      <c r="C10" s="140" t="s">
        <v>6</v>
      </c>
      <c r="D10" s="140" t="s">
        <v>7</v>
      </c>
      <c r="E10" s="140" t="s">
        <v>8</v>
      </c>
      <c r="F10" s="140" t="s">
        <v>99</v>
      </c>
      <c r="G10" s="143" t="s">
        <v>171</v>
      </c>
      <c r="H10" s="143" t="s">
        <v>172</v>
      </c>
      <c r="I10" s="143" t="s">
        <v>173</v>
      </c>
      <c r="J10" s="143" t="s">
        <v>174</v>
      </c>
      <c r="K10" s="143" t="s">
        <v>175</v>
      </c>
      <c r="L10" s="143" t="s">
        <v>176</v>
      </c>
      <c r="M10" s="143" t="s">
        <v>177</v>
      </c>
      <c r="N10" s="136"/>
    </row>
    <row r="11" spans="1:14" ht="12" customHeight="1">
      <c r="A11" s="140"/>
      <c r="B11" s="139"/>
      <c r="C11" s="139"/>
      <c r="D11" s="140" t="s">
        <v>12</v>
      </c>
      <c r="E11" s="140" t="s">
        <v>12</v>
      </c>
      <c r="F11" s="140"/>
      <c r="G11" s="140"/>
      <c r="H11" s="140"/>
      <c r="I11" s="140"/>
      <c r="J11" s="139"/>
      <c r="K11" s="139"/>
      <c r="L11" s="140"/>
      <c r="M11" s="140"/>
      <c r="N11" s="136"/>
    </row>
    <row r="12" spans="1:14" ht="12" customHeight="1">
      <c r="A12" s="144">
        <v>1</v>
      </c>
      <c r="B12" s="206" t="s">
        <v>104</v>
      </c>
      <c r="C12" s="206"/>
      <c r="D12" s="140" t="s">
        <v>12</v>
      </c>
      <c r="E12" s="140"/>
      <c r="F12" s="171" t="s">
        <v>12</v>
      </c>
      <c r="G12" s="171"/>
      <c r="H12" s="135"/>
      <c r="I12" s="140" t="s">
        <v>12</v>
      </c>
      <c r="J12" s="135"/>
      <c r="K12" s="135"/>
      <c r="L12" s="135"/>
      <c r="M12" s="135"/>
      <c r="N12" s="136"/>
    </row>
    <row r="13" spans="1:14" ht="12" customHeight="1">
      <c r="A13" s="144">
        <v>2</v>
      </c>
      <c r="B13" s="135"/>
      <c r="C13" s="145" t="s">
        <v>105</v>
      </c>
      <c r="D13" s="144" t="s">
        <v>178</v>
      </c>
      <c r="E13" s="172">
        <v>0.90269999999999995</v>
      </c>
      <c r="F13" s="146">
        <v>23490568.699999992</v>
      </c>
      <c r="G13" s="146">
        <f>E13*F13</f>
        <v>21204936.36548999</v>
      </c>
      <c r="H13" s="173">
        <f>ROUND((G13)/365,0)</f>
        <v>58096</v>
      </c>
      <c r="I13" s="147">
        <v>40.930000000000007</v>
      </c>
      <c r="J13" s="148">
        <v>39.633465956610316</v>
      </c>
      <c r="K13" s="144" t="str">
        <f>'VA cwc (Total Co) sh 2'!H13</f>
        <v>Sheet 4</v>
      </c>
      <c r="L13" s="148">
        <f>I13-J13</f>
        <v>1.2965340433896912</v>
      </c>
      <c r="M13" s="173">
        <f>ROUND(L13*H13,0)</f>
        <v>75323</v>
      </c>
      <c r="N13" s="136"/>
    </row>
    <row r="14" spans="1:14" ht="12" customHeight="1">
      <c r="A14" s="144">
        <v>3</v>
      </c>
      <c r="B14" s="135"/>
      <c r="C14" s="135" t="s">
        <v>107</v>
      </c>
      <c r="D14" s="144" t="s">
        <v>178</v>
      </c>
      <c r="E14" s="172">
        <v>0.90269999999999995</v>
      </c>
      <c r="F14" s="174">
        <v>0</v>
      </c>
      <c r="G14" s="174">
        <f t="shared" ref="G14:G21" si="0">E14*F14</f>
        <v>0</v>
      </c>
      <c r="H14" s="150">
        <f t="shared" ref="H14:H21" si="1">ROUND((G14)/365,0)</f>
        <v>0</v>
      </c>
      <c r="I14" s="148">
        <f>+I$13</f>
        <v>40.930000000000007</v>
      </c>
      <c r="J14" s="148">
        <f>+I14</f>
        <v>40.930000000000007</v>
      </c>
      <c r="K14" s="144" t="str">
        <f>'VA cwc (Total Co) sh 2'!H14</f>
        <v>Note 3</v>
      </c>
      <c r="L14" s="148">
        <f t="shared" ref="L14:L25" si="2">I14-J14</f>
        <v>0</v>
      </c>
      <c r="M14" s="150">
        <f t="shared" ref="M14:M21" si="3">ROUND(L14*H14,0)</f>
        <v>0</v>
      </c>
      <c r="N14" s="136"/>
    </row>
    <row r="15" spans="1:14" ht="12" customHeight="1">
      <c r="A15" s="144">
        <v>4</v>
      </c>
      <c r="B15" s="135"/>
      <c r="C15" s="135" t="s">
        <v>109</v>
      </c>
      <c r="D15" s="144" t="s">
        <v>179</v>
      </c>
      <c r="E15" s="172">
        <v>0.86980000000000002</v>
      </c>
      <c r="F15" s="174">
        <v>844856.70000000065</v>
      </c>
      <c r="G15" s="174">
        <f t="shared" si="0"/>
        <v>734856.35766000056</v>
      </c>
      <c r="H15" s="150">
        <f t="shared" si="1"/>
        <v>2013</v>
      </c>
      <c r="I15" s="148">
        <f t="shared" ref="I15:I21" si="4">+I$13</f>
        <v>40.930000000000007</v>
      </c>
      <c r="J15" s="148">
        <v>0</v>
      </c>
      <c r="K15" s="144" t="str">
        <f>'VA cwc (Total Co) sh 2'!H15</f>
        <v>Note 1</v>
      </c>
      <c r="L15" s="148">
        <f t="shared" si="2"/>
        <v>40.930000000000007</v>
      </c>
      <c r="M15" s="150">
        <f>ROUND(L15*H15,0)</f>
        <v>82392</v>
      </c>
      <c r="N15" s="136"/>
    </row>
    <row r="16" spans="1:14" ht="12" customHeight="1">
      <c r="A16" s="144">
        <v>5</v>
      </c>
      <c r="B16" s="135"/>
      <c r="C16" s="135" t="s">
        <v>111</v>
      </c>
      <c r="D16" s="144" t="s">
        <v>178</v>
      </c>
      <c r="E16" s="172">
        <v>0.90269999999999995</v>
      </c>
      <c r="F16" s="175">
        <v>5238.0738461538467</v>
      </c>
      <c r="G16" s="174">
        <f t="shared" si="0"/>
        <v>4728.4092609230775</v>
      </c>
      <c r="H16" s="150">
        <f t="shared" si="1"/>
        <v>13</v>
      </c>
      <c r="I16" s="148">
        <f t="shared" si="4"/>
        <v>40.930000000000007</v>
      </c>
      <c r="J16" s="148">
        <v>0</v>
      </c>
      <c r="K16" s="144" t="str">
        <f>'VA cwc (Total Co) sh 2'!H16</f>
        <v>Note 1</v>
      </c>
      <c r="L16" s="148">
        <f t="shared" si="2"/>
        <v>40.930000000000007</v>
      </c>
      <c r="M16" s="150">
        <f t="shared" si="3"/>
        <v>532</v>
      </c>
      <c r="N16" s="136"/>
    </row>
    <row r="17" spans="1:14" ht="12" customHeight="1">
      <c r="A17" s="144">
        <v>6</v>
      </c>
      <c r="B17" s="135"/>
      <c r="C17" s="145" t="s">
        <v>180</v>
      </c>
      <c r="D17" s="144" t="s">
        <v>178</v>
      </c>
      <c r="E17" s="172">
        <v>0.90269999999999995</v>
      </c>
      <c r="F17" s="174">
        <v>976857.52000000025</v>
      </c>
      <c r="G17" s="174">
        <f t="shared" si="0"/>
        <v>881809.28330400016</v>
      </c>
      <c r="H17" s="150">
        <f t="shared" si="1"/>
        <v>2416</v>
      </c>
      <c r="I17" s="148">
        <f t="shared" si="4"/>
        <v>40.930000000000007</v>
      </c>
      <c r="J17" s="148">
        <v>14.1</v>
      </c>
      <c r="K17" s="144" t="str">
        <f>'VA cwc (Total Co) sh 2'!H17</f>
        <v>Sheet 5</v>
      </c>
      <c r="L17" s="148">
        <f t="shared" si="2"/>
        <v>26.830000000000005</v>
      </c>
      <c r="M17" s="150">
        <f t="shared" si="3"/>
        <v>64821</v>
      </c>
      <c r="N17" s="136"/>
    </row>
    <row r="18" spans="1:14" ht="12" customHeight="1">
      <c r="A18" s="144">
        <v>7</v>
      </c>
      <c r="B18" s="135"/>
      <c r="C18" s="145" t="s">
        <v>114</v>
      </c>
      <c r="D18" s="144" t="s">
        <v>178</v>
      </c>
      <c r="E18" s="172">
        <v>0.90269999999999995</v>
      </c>
      <c r="F18" s="174">
        <v>226414.69000000006</v>
      </c>
      <c r="G18" s="174">
        <f t="shared" si="0"/>
        <v>204384.54066300005</v>
      </c>
      <c r="H18" s="150">
        <f t="shared" si="1"/>
        <v>560</v>
      </c>
      <c r="I18" s="148">
        <f t="shared" si="4"/>
        <v>40.930000000000007</v>
      </c>
      <c r="J18" s="148">
        <v>0</v>
      </c>
      <c r="K18" s="144" t="str">
        <f>'VA cwc (Total Co) sh 2'!H18</f>
        <v>Note 1</v>
      </c>
      <c r="L18" s="148">
        <f t="shared" si="2"/>
        <v>40.930000000000007</v>
      </c>
      <c r="M18" s="150">
        <f t="shared" si="3"/>
        <v>22921</v>
      </c>
      <c r="N18" s="136"/>
    </row>
    <row r="19" spans="1:14" ht="12" customHeight="1">
      <c r="A19" s="144">
        <v>8</v>
      </c>
      <c r="B19" s="135"/>
      <c r="C19" s="145" t="s">
        <v>181</v>
      </c>
      <c r="D19" s="144" t="s">
        <v>182</v>
      </c>
      <c r="E19" s="172">
        <v>0.89880000000000004</v>
      </c>
      <c r="F19" s="174">
        <v>144592.74079199994</v>
      </c>
      <c r="G19" s="174">
        <f t="shared" si="0"/>
        <v>129959.95542384955</v>
      </c>
      <c r="H19" s="150">
        <f t="shared" si="1"/>
        <v>356</v>
      </c>
      <c r="I19" s="148">
        <f t="shared" si="4"/>
        <v>40.930000000000007</v>
      </c>
      <c r="J19" s="148">
        <v>0</v>
      </c>
      <c r="K19" s="144" t="str">
        <f>'VA cwc (Total Co) sh 2'!H19</f>
        <v>Note 1</v>
      </c>
      <c r="L19" s="148">
        <f t="shared" si="2"/>
        <v>40.930000000000007</v>
      </c>
      <c r="M19" s="150">
        <f t="shared" si="3"/>
        <v>14571</v>
      </c>
      <c r="N19" s="136"/>
    </row>
    <row r="20" spans="1:14" ht="12" customHeight="1">
      <c r="A20" s="144">
        <v>9</v>
      </c>
      <c r="B20" s="135"/>
      <c r="C20" s="145" t="s">
        <v>183</v>
      </c>
      <c r="D20" s="144" t="s">
        <v>178</v>
      </c>
      <c r="E20" s="172">
        <v>0.90269999999999995</v>
      </c>
      <c r="F20" s="174">
        <v>84239.330000000016</v>
      </c>
      <c r="G20" s="174">
        <f t="shared" si="0"/>
        <v>76042.843191000007</v>
      </c>
      <c r="H20" s="150">
        <f t="shared" si="1"/>
        <v>208</v>
      </c>
      <c r="I20" s="148">
        <f t="shared" si="4"/>
        <v>40.930000000000007</v>
      </c>
      <c r="J20" s="148">
        <v>0</v>
      </c>
      <c r="K20" s="144" t="str">
        <f>'VA cwc (Total Co) sh 2'!H20</f>
        <v>Note 1</v>
      </c>
      <c r="L20" s="148">
        <f t="shared" si="2"/>
        <v>40.930000000000007</v>
      </c>
      <c r="M20" s="150">
        <f t="shared" si="3"/>
        <v>8513</v>
      </c>
      <c r="N20" s="136"/>
    </row>
    <row r="21" spans="1:14" ht="12" customHeight="1">
      <c r="A21" s="144">
        <v>10</v>
      </c>
      <c r="B21" s="135"/>
      <c r="C21" s="145" t="s">
        <v>184</v>
      </c>
      <c r="D21" s="144" t="s">
        <v>178</v>
      </c>
      <c r="E21" s="172">
        <v>0.90269999999999995</v>
      </c>
      <c r="F21" s="174">
        <v>121932.26000000001</v>
      </c>
      <c r="G21" s="174">
        <f t="shared" si="0"/>
        <v>110068.25110199999</v>
      </c>
      <c r="H21" s="150">
        <f t="shared" si="1"/>
        <v>302</v>
      </c>
      <c r="I21" s="148">
        <f t="shared" si="4"/>
        <v>40.930000000000007</v>
      </c>
      <c r="J21" s="148">
        <v>63.40897072497112</v>
      </c>
      <c r="K21" s="144" t="str">
        <f>'VA cwc (Total Co) sh 2'!H21</f>
        <v>Sheet 6</v>
      </c>
      <c r="L21" s="148">
        <f t="shared" si="2"/>
        <v>-22.478970724971113</v>
      </c>
      <c r="M21" s="150">
        <f t="shared" si="3"/>
        <v>-6789</v>
      </c>
      <c r="N21" s="136"/>
    </row>
    <row r="22" spans="1:14" ht="12" customHeight="1">
      <c r="A22" s="144">
        <v>11</v>
      </c>
      <c r="B22" s="135"/>
      <c r="C22" s="176" t="s">
        <v>119</v>
      </c>
      <c r="D22" s="135"/>
      <c r="E22" s="135"/>
      <c r="F22" s="177"/>
      <c r="G22" s="177"/>
      <c r="H22" s="150"/>
      <c r="I22" s="148"/>
      <c r="J22" s="148"/>
      <c r="K22" s="144" t="str">
        <f>'VA cwc (Total Co) sh 2'!H22</f>
        <v xml:space="preserve"> </v>
      </c>
      <c r="L22" s="148"/>
      <c r="M22" s="150"/>
      <c r="N22" s="136"/>
    </row>
    <row r="23" spans="1:14" ht="12" customHeight="1">
      <c r="A23" s="144">
        <v>12</v>
      </c>
      <c r="B23" s="135"/>
      <c r="C23" s="178" t="s">
        <v>120</v>
      </c>
      <c r="D23" s="144" t="s">
        <v>178</v>
      </c>
      <c r="E23" s="172">
        <v>0.90269999999999995</v>
      </c>
      <c r="F23" s="174">
        <v>-411103.18307692307</v>
      </c>
      <c r="G23" s="174">
        <f t="shared" ref="G23:G27" si="5">E23*F23</f>
        <v>-371102.84336353844</v>
      </c>
      <c r="H23" s="150">
        <f t="shared" ref="H23:H27" si="6">ROUND((G23)/365,0)</f>
        <v>-1017</v>
      </c>
      <c r="I23" s="148">
        <f t="shared" ref="I23:I27" si="7">+I$13</f>
        <v>40.930000000000007</v>
      </c>
      <c r="J23" s="148">
        <v>0</v>
      </c>
      <c r="K23" s="144" t="str">
        <f>'VA cwc (Total Co) sh 2'!H23</f>
        <v>Note 1</v>
      </c>
      <c r="L23" s="148">
        <f t="shared" si="2"/>
        <v>40.930000000000007</v>
      </c>
      <c r="M23" s="150">
        <f t="shared" ref="M23:M27" si="8">ROUND(L23*H23,0)</f>
        <v>-41626</v>
      </c>
      <c r="N23" s="136"/>
    </row>
    <row r="24" spans="1:14" ht="12" customHeight="1">
      <c r="A24" s="144">
        <v>13</v>
      </c>
      <c r="B24" s="135"/>
      <c r="C24" s="135" t="s">
        <v>121</v>
      </c>
      <c r="D24" s="144" t="s">
        <v>178</v>
      </c>
      <c r="E24" s="172">
        <v>0.90269999999999995</v>
      </c>
      <c r="F24" s="174">
        <v>115921.12</v>
      </c>
      <c r="G24" s="174">
        <f t="shared" si="5"/>
        <v>104641.99502399999</v>
      </c>
      <c r="H24" s="150">
        <f t="shared" si="6"/>
        <v>287</v>
      </c>
      <c r="I24" s="148">
        <f t="shared" si="7"/>
        <v>40.930000000000007</v>
      </c>
      <c r="J24" s="148">
        <v>459.52543111256807</v>
      </c>
      <c r="K24" s="144" t="str">
        <f>'VA cwc (Total Co) sh 2'!H24</f>
        <v>Sheet 7</v>
      </c>
      <c r="L24" s="148">
        <f t="shared" si="2"/>
        <v>-418.59543111256806</v>
      </c>
      <c r="M24" s="150">
        <f t="shared" si="8"/>
        <v>-120137</v>
      </c>
      <c r="N24" s="136"/>
    </row>
    <row r="25" spans="1:14" ht="12" customHeight="1">
      <c r="A25" s="144">
        <v>14</v>
      </c>
      <c r="B25" s="135"/>
      <c r="C25" s="135" t="s">
        <v>123</v>
      </c>
      <c r="D25" s="144" t="s">
        <v>178</v>
      </c>
      <c r="E25" s="172">
        <v>0.90269999999999995</v>
      </c>
      <c r="F25" s="174">
        <v>3418.29</v>
      </c>
      <c r="G25" s="174">
        <f t="shared" si="5"/>
        <v>3085.6903829999997</v>
      </c>
      <c r="H25" s="150">
        <f t="shared" si="6"/>
        <v>8</v>
      </c>
      <c r="I25" s="148">
        <f t="shared" si="7"/>
        <v>40.930000000000007</v>
      </c>
      <c r="J25" s="148">
        <v>0</v>
      </c>
      <c r="K25" s="144" t="str">
        <f>'VA cwc (Total Co) sh 2'!H25</f>
        <v>Note 1</v>
      </c>
      <c r="L25" s="148">
        <f t="shared" si="2"/>
        <v>40.930000000000007</v>
      </c>
      <c r="M25" s="150">
        <f t="shared" si="8"/>
        <v>327</v>
      </c>
      <c r="N25" s="136"/>
    </row>
    <row r="26" spans="1:14" ht="12" customHeight="1">
      <c r="A26" s="144">
        <v>15</v>
      </c>
      <c r="B26" s="135"/>
      <c r="C26" s="135" t="s">
        <v>124</v>
      </c>
      <c r="D26" s="144" t="s">
        <v>178</v>
      </c>
      <c r="E26" s="172">
        <v>0.90269999999999995</v>
      </c>
      <c r="F26" s="174">
        <v>804088.87843876937</v>
      </c>
      <c r="G26" s="174">
        <f t="shared" si="5"/>
        <v>725851.0305666771</v>
      </c>
      <c r="H26" s="150">
        <f t="shared" si="6"/>
        <v>1989</v>
      </c>
      <c r="I26" s="148">
        <f t="shared" si="7"/>
        <v>40.930000000000007</v>
      </c>
      <c r="J26" s="147">
        <v>36.700000000000003</v>
      </c>
      <c r="K26" s="144" t="str">
        <f>'VA cwc (Total Co) sh 2'!H26</f>
        <v>Sheet 8</v>
      </c>
      <c r="L26" s="148">
        <f>I26-J26</f>
        <v>4.230000000000004</v>
      </c>
      <c r="M26" s="150">
        <f t="shared" si="8"/>
        <v>8413</v>
      </c>
      <c r="N26" s="136"/>
    </row>
    <row r="27" spans="1:14" ht="12" customHeight="1">
      <c r="A27" s="144">
        <v>16</v>
      </c>
      <c r="B27" s="135"/>
      <c r="C27" s="135" t="s">
        <v>126</v>
      </c>
      <c r="D27" s="144" t="s">
        <v>178</v>
      </c>
      <c r="E27" s="172">
        <v>0.90269999999999995</v>
      </c>
      <c r="F27" s="174">
        <v>2300769.27</v>
      </c>
      <c r="G27" s="174">
        <f t="shared" si="5"/>
        <v>2076904.4200289999</v>
      </c>
      <c r="H27" s="150">
        <f t="shared" si="6"/>
        <v>5690</v>
      </c>
      <c r="I27" s="148">
        <f t="shared" si="7"/>
        <v>40.930000000000007</v>
      </c>
      <c r="J27" s="148">
        <v>0</v>
      </c>
      <c r="K27" s="144" t="str">
        <f>'VA cwc (Total Co) sh 2'!H27</f>
        <v>Note 1</v>
      </c>
      <c r="L27" s="148">
        <f>I27-J27</f>
        <v>40.930000000000007</v>
      </c>
      <c r="M27" s="150">
        <f t="shared" si="8"/>
        <v>232892</v>
      </c>
      <c r="N27" s="136"/>
    </row>
    <row r="28" spans="1:14" ht="12" customHeight="1">
      <c r="A28" s="144">
        <v>17</v>
      </c>
      <c r="B28" s="135"/>
      <c r="C28" s="135"/>
      <c r="D28" s="135"/>
      <c r="E28" s="179"/>
      <c r="F28" s="174"/>
      <c r="G28" s="174"/>
      <c r="H28" s="154"/>
      <c r="I28" s="155"/>
      <c r="J28" s="148"/>
      <c r="K28" s="144" t="str">
        <f>'VA cwc (Total Co) sh 2'!H28</f>
        <v xml:space="preserve"> </v>
      </c>
      <c r="L28" s="155"/>
      <c r="M28" s="154"/>
      <c r="N28" s="136"/>
    </row>
    <row r="29" spans="1:14" ht="12" customHeight="1">
      <c r="A29" s="144">
        <v>18</v>
      </c>
      <c r="B29" s="142" t="s">
        <v>185</v>
      </c>
      <c r="C29" s="139"/>
      <c r="D29" s="135"/>
      <c r="E29" s="179"/>
      <c r="F29" s="174"/>
      <c r="G29" s="174"/>
      <c r="H29" s="154"/>
      <c r="I29" s="148"/>
      <c r="J29" s="148"/>
      <c r="K29" s="144" t="str">
        <f>'VA cwc (Total Co) sh 2'!H29</f>
        <v xml:space="preserve"> </v>
      </c>
      <c r="L29" s="148"/>
      <c r="M29" s="150"/>
      <c r="N29" s="136"/>
    </row>
    <row r="30" spans="1:14" ht="12" customHeight="1">
      <c r="A30" s="144">
        <v>19</v>
      </c>
      <c r="B30" s="135"/>
      <c r="C30" s="180" t="s">
        <v>128</v>
      </c>
      <c r="D30" s="144" t="s">
        <v>178</v>
      </c>
      <c r="E30" s="172">
        <v>0.90269999999999995</v>
      </c>
      <c r="F30" s="174">
        <v>130024.75415771228</v>
      </c>
      <c r="G30" s="174">
        <f t="shared" ref="G30:G32" si="9">E30*F30</f>
        <v>117373.34557816686</v>
      </c>
      <c r="H30" s="150">
        <f t="shared" ref="H30:H32" si="10">ROUND((G30)/365,0)</f>
        <v>322</v>
      </c>
      <c r="I30" s="148">
        <f t="shared" ref="I30:I32" si="11">+I$13</f>
        <v>40.930000000000007</v>
      </c>
      <c r="J30" s="148">
        <v>19.251226455090546</v>
      </c>
      <c r="K30" s="144" t="str">
        <f>'VA cwc (Total Co) sh 2'!H30</f>
        <v>Sheet 9</v>
      </c>
      <c r="L30" s="148">
        <f>I30-J30</f>
        <v>21.678773544909461</v>
      </c>
      <c r="M30" s="150">
        <f>ROUND(L30*H30,0)</f>
        <v>6981</v>
      </c>
      <c r="N30" s="136"/>
    </row>
    <row r="31" spans="1:14" ht="12" customHeight="1">
      <c r="A31" s="144">
        <v>20</v>
      </c>
      <c r="B31" s="135"/>
      <c r="C31" s="181" t="s">
        <v>130</v>
      </c>
      <c r="D31" s="144" t="s">
        <v>178</v>
      </c>
      <c r="E31" s="172">
        <v>0.90269999999999995</v>
      </c>
      <c r="F31" s="174">
        <v>456799.59100484353</v>
      </c>
      <c r="G31" s="174">
        <f t="shared" si="9"/>
        <v>412352.99080007221</v>
      </c>
      <c r="H31" s="150">
        <f t="shared" si="10"/>
        <v>1130</v>
      </c>
      <c r="I31" s="148">
        <f t="shared" si="11"/>
        <v>40.930000000000007</v>
      </c>
      <c r="J31" s="147">
        <v>100.03435516419604</v>
      </c>
      <c r="K31" s="144" t="str">
        <f>'VA cwc (Total Co) sh 2'!H31</f>
        <v>Sheet 10</v>
      </c>
      <c r="L31" s="148">
        <f>I31-J31</f>
        <v>-59.104355164196036</v>
      </c>
      <c r="M31" s="150">
        <f>ROUND(L31*H31,0)</f>
        <v>-66788</v>
      </c>
      <c r="N31" s="136"/>
    </row>
    <row r="32" spans="1:14" ht="12" customHeight="1">
      <c r="A32" s="144">
        <v>21</v>
      </c>
      <c r="B32" s="135"/>
      <c r="C32" s="181" t="s">
        <v>132</v>
      </c>
      <c r="D32" s="144" t="s">
        <v>178</v>
      </c>
      <c r="E32" s="172">
        <v>0.90269999999999995</v>
      </c>
      <c r="F32" s="174">
        <v>92691.984837444208</v>
      </c>
      <c r="G32" s="174">
        <f t="shared" si="9"/>
        <v>83673.054712760888</v>
      </c>
      <c r="H32" s="150">
        <f t="shared" si="10"/>
        <v>229</v>
      </c>
      <c r="I32" s="148">
        <f t="shared" si="11"/>
        <v>40.930000000000007</v>
      </c>
      <c r="J32" s="147">
        <v>31.958927744912302</v>
      </c>
      <c r="K32" s="144" t="str">
        <f>'VA cwc (Total Co) sh 2'!H32</f>
        <v>Sheet 11</v>
      </c>
      <c r="L32" s="148">
        <f>I32-J32</f>
        <v>8.9710722550877051</v>
      </c>
      <c r="M32" s="150">
        <f>ROUND(L32*H32,0)</f>
        <v>2054</v>
      </c>
      <c r="N32" s="136"/>
    </row>
    <row r="33" spans="1:14" ht="12" customHeight="1">
      <c r="A33" s="144">
        <v>22</v>
      </c>
      <c r="B33" s="135"/>
      <c r="C33" s="182" t="s">
        <v>186</v>
      </c>
      <c r="D33" s="144" t="s">
        <v>178</v>
      </c>
      <c r="E33" s="172">
        <v>0.90269999999999995</v>
      </c>
      <c r="F33" s="174">
        <f>SUM(F13:F32)</f>
        <v>29387310.719999991</v>
      </c>
      <c r="G33" s="174"/>
      <c r="H33" s="174">
        <f>SUM(H13:H32)</f>
        <v>72602</v>
      </c>
      <c r="I33" s="155"/>
      <c r="J33" s="155"/>
      <c r="K33" s="144"/>
      <c r="L33" s="155"/>
      <c r="M33" s="154"/>
      <c r="N33" s="136"/>
    </row>
    <row r="34" spans="1:14" ht="12" customHeight="1">
      <c r="A34" s="144">
        <v>23</v>
      </c>
      <c r="B34" s="159" t="s">
        <v>135</v>
      </c>
      <c r="C34" s="135"/>
      <c r="D34" s="135"/>
      <c r="E34" s="179"/>
      <c r="F34" s="174"/>
      <c r="G34" s="174"/>
      <c r="H34" s="150"/>
      <c r="I34" s="148"/>
      <c r="J34" s="148"/>
      <c r="K34" s="144" t="str">
        <f>'VA cwc (Total Co) sh 2'!H34</f>
        <v xml:space="preserve"> </v>
      </c>
      <c r="L34" s="148"/>
      <c r="M34" s="150"/>
      <c r="N34" s="136"/>
    </row>
    <row r="35" spans="1:14" ht="12" customHeight="1">
      <c r="A35" s="144">
        <v>24</v>
      </c>
      <c r="B35" s="135"/>
      <c r="C35" s="135" t="s">
        <v>136</v>
      </c>
      <c r="D35" s="144" t="s">
        <v>187</v>
      </c>
      <c r="E35" s="172">
        <v>0.88629999999999998</v>
      </c>
      <c r="F35" s="174">
        <v>2830952.07</v>
      </c>
      <c r="G35" s="174">
        <f t="shared" ref="G35:G37" si="12">E35*F35</f>
        <v>2509072.8196409997</v>
      </c>
      <c r="H35" s="150">
        <f t="shared" ref="H35:H36" si="13">ROUND((G35)/365,0)</f>
        <v>6874</v>
      </c>
      <c r="I35" s="148">
        <f t="shared" ref="I35:I36" si="14">+I$13</f>
        <v>40.930000000000007</v>
      </c>
      <c r="J35" s="148">
        <v>37.5</v>
      </c>
      <c r="K35" s="144" t="str">
        <f>'VA cwc (Total Co) sh 2'!H35</f>
        <v>Sheet 12</v>
      </c>
      <c r="L35" s="148">
        <f>I35-J35</f>
        <v>3.4300000000000068</v>
      </c>
      <c r="M35" s="150">
        <f>ROUND(L35*H35,0)</f>
        <v>23578</v>
      </c>
      <c r="N35" s="136"/>
    </row>
    <row r="36" spans="1:14" ht="12" customHeight="1">
      <c r="A36" s="144">
        <v>25</v>
      </c>
      <c r="B36" s="135"/>
      <c r="C36" s="135" t="s">
        <v>138</v>
      </c>
      <c r="D36" s="144" t="s">
        <v>187</v>
      </c>
      <c r="E36" s="172">
        <v>0.88629999999999998</v>
      </c>
      <c r="F36" s="174">
        <v>-430208.64999999991</v>
      </c>
      <c r="G36" s="174">
        <f t="shared" si="12"/>
        <v>-381293.92649499991</v>
      </c>
      <c r="H36" s="150">
        <f t="shared" si="13"/>
        <v>-1045</v>
      </c>
      <c r="I36" s="148">
        <f t="shared" si="14"/>
        <v>40.930000000000007</v>
      </c>
      <c r="J36" s="148">
        <v>0</v>
      </c>
      <c r="K36" s="144" t="str">
        <f>'VA cwc (Total Co) sh 2'!H36</f>
        <v>Note 1</v>
      </c>
      <c r="L36" s="148">
        <f>I36-J36</f>
        <v>40.930000000000007</v>
      </c>
      <c r="M36" s="150">
        <f>ROUND(L36*H36,0)</f>
        <v>-42772</v>
      </c>
      <c r="N36" s="136"/>
    </row>
    <row r="37" spans="1:14" ht="12" customHeight="1">
      <c r="A37" s="144">
        <v>26</v>
      </c>
      <c r="B37" s="135"/>
      <c r="C37" s="182" t="s">
        <v>139</v>
      </c>
      <c r="D37" s="135"/>
      <c r="E37" s="179"/>
      <c r="F37" s="183">
        <f>SUM(F35:F36)</f>
        <v>2400743.42</v>
      </c>
      <c r="G37" s="174">
        <f t="shared" si="12"/>
        <v>0</v>
      </c>
      <c r="H37" s="174">
        <f>SUM(H35:H36)</f>
        <v>5829</v>
      </c>
      <c r="I37" s="155"/>
      <c r="J37" s="155"/>
      <c r="K37" s="144"/>
      <c r="L37" s="155"/>
      <c r="M37" s="154"/>
      <c r="N37" s="136"/>
    </row>
    <row r="38" spans="1:14" ht="12" customHeight="1">
      <c r="A38" s="144">
        <v>27</v>
      </c>
      <c r="B38" s="159" t="s">
        <v>140</v>
      </c>
      <c r="C38" s="135"/>
      <c r="D38" s="135"/>
      <c r="E38" s="179"/>
      <c r="F38" s="154" t="s">
        <v>12</v>
      </c>
      <c r="G38" s="154"/>
      <c r="H38" s="154"/>
      <c r="I38" s="155"/>
      <c r="J38" s="148"/>
      <c r="K38" s="144" t="str">
        <f>'VA cwc (Total Co) sh 2'!H38</f>
        <v xml:space="preserve"> </v>
      </c>
      <c r="L38" s="155"/>
      <c r="M38" s="154"/>
      <c r="N38" s="136"/>
    </row>
    <row r="39" spans="1:14" ht="12" customHeight="1">
      <c r="A39" s="144">
        <v>28</v>
      </c>
      <c r="B39" s="135"/>
      <c r="C39" s="135" t="s">
        <v>141</v>
      </c>
      <c r="D39" s="144"/>
      <c r="E39" s="172">
        <v>1</v>
      </c>
      <c r="F39" s="174">
        <v>16913.04</v>
      </c>
      <c r="G39" s="174">
        <f t="shared" ref="G39:G42" si="15">E39*F39</f>
        <v>16913.04</v>
      </c>
      <c r="H39" s="150">
        <f t="shared" ref="H39:H42" si="16">ROUND((G39)/365,0)</f>
        <v>46</v>
      </c>
      <c r="I39" s="148">
        <f t="shared" ref="I39:I42" si="17">+I$13</f>
        <v>40.930000000000007</v>
      </c>
      <c r="J39" s="148">
        <f>+I39</f>
        <v>40.930000000000007</v>
      </c>
      <c r="K39" s="144" t="str">
        <f>'VA cwc (Total Co) sh 2'!H39</f>
        <v>Note 2</v>
      </c>
      <c r="L39" s="148">
        <f t="shared" ref="L39:L42" si="18">I39-J39</f>
        <v>0</v>
      </c>
      <c r="M39" s="150">
        <f t="shared" ref="M39:M42" si="19">ROUND(L39*H39,0)</f>
        <v>0</v>
      </c>
      <c r="N39" s="136"/>
    </row>
    <row r="40" spans="1:14" ht="12" customHeight="1">
      <c r="A40" s="144">
        <v>29</v>
      </c>
      <c r="B40" s="135"/>
      <c r="C40" s="135" t="s">
        <v>78</v>
      </c>
      <c r="D40" s="144" t="s">
        <v>188</v>
      </c>
      <c r="E40" s="172">
        <v>0.96819999999999995</v>
      </c>
      <c r="F40" s="174">
        <v>558.74999999999989</v>
      </c>
      <c r="G40" s="174">
        <f t="shared" si="15"/>
        <v>540.98174999999981</v>
      </c>
      <c r="H40" s="150">
        <f t="shared" si="16"/>
        <v>1</v>
      </c>
      <c r="I40" s="148">
        <f t="shared" si="17"/>
        <v>40.930000000000007</v>
      </c>
      <c r="J40" s="148">
        <v>182.5</v>
      </c>
      <c r="K40" s="144" t="str">
        <f>'VA cwc (Total Co) sh 2'!H40</f>
        <v>Sheet 13</v>
      </c>
      <c r="L40" s="148">
        <f t="shared" si="18"/>
        <v>-141.57</v>
      </c>
      <c r="M40" s="150">
        <f t="shared" si="19"/>
        <v>-142</v>
      </c>
      <c r="N40" s="136"/>
    </row>
    <row r="41" spans="1:14" ht="12" customHeight="1">
      <c r="A41" s="144">
        <v>30</v>
      </c>
      <c r="B41" s="135"/>
      <c r="C41" s="135" t="s">
        <v>144</v>
      </c>
      <c r="D41" s="144" t="s">
        <v>178</v>
      </c>
      <c r="E41" s="172">
        <v>0.90269999999999995</v>
      </c>
      <c r="F41" s="174">
        <v>1032753.2000000002</v>
      </c>
      <c r="G41" s="174">
        <f t="shared" si="15"/>
        <v>932266.31364000007</v>
      </c>
      <c r="H41" s="150">
        <f t="shared" si="16"/>
        <v>2554</v>
      </c>
      <c r="I41" s="148">
        <f t="shared" si="17"/>
        <v>40.930000000000007</v>
      </c>
      <c r="J41" s="148">
        <v>91.25</v>
      </c>
      <c r="K41" s="144" t="str">
        <f>'VA cwc (Total Co) sh 2'!H41</f>
        <v>Sheet 14</v>
      </c>
      <c r="L41" s="148">
        <f t="shared" si="18"/>
        <v>-50.319999999999993</v>
      </c>
      <c r="M41" s="150">
        <f t="shared" si="19"/>
        <v>-128517</v>
      </c>
      <c r="N41" s="136"/>
    </row>
    <row r="42" spans="1:14" ht="12" customHeight="1">
      <c r="A42" s="144">
        <v>31</v>
      </c>
      <c r="B42" s="135"/>
      <c r="C42" s="135" t="s">
        <v>146</v>
      </c>
      <c r="D42" s="144" t="s">
        <v>178</v>
      </c>
      <c r="E42" s="172">
        <v>0.90269999999999995</v>
      </c>
      <c r="F42" s="174">
        <v>205.7</v>
      </c>
      <c r="G42" s="174">
        <f t="shared" si="15"/>
        <v>185.68538999999998</v>
      </c>
      <c r="H42" s="150">
        <f t="shared" si="16"/>
        <v>1</v>
      </c>
      <c r="I42" s="148">
        <f t="shared" si="17"/>
        <v>40.930000000000007</v>
      </c>
      <c r="J42" s="148">
        <f>I42</f>
        <v>40.930000000000007</v>
      </c>
      <c r="K42" s="144" t="str">
        <f>'VA cwc (Total Co) sh 2'!H42</f>
        <v>Note 2</v>
      </c>
      <c r="L42" s="148">
        <f t="shared" si="18"/>
        <v>0</v>
      </c>
      <c r="M42" s="150">
        <f t="shared" si="19"/>
        <v>0</v>
      </c>
      <c r="N42" s="136"/>
    </row>
    <row r="43" spans="1:14" ht="12" customHeight="1">
      <c r="A43" s="144">
        <v>33</v>
      </c>
      <c r="B43" s="135"/>
      <c r="C43" s="168" t="s">
        <v>148</v>
      </c>
      <c r="D43" s="135" t="s">
        <v>12</v>
      </c>
      <c r="E43" s="179"/>
      <c r="F43" s="150">
        <f>SUM(F39:F42)</f>
        <v>1050430.6900000002</v>
      </c>
      <c r="G43" s="150"/>
      <c r="H43" s="150">
        <f>SUM(H39:H42)</f>
        <v>2602</v>
      </c>
      <c r="I43" s="155"/>
      <c r="J43" s="155"/>
      <c r="K43" s="144"/>
      <c r="L43" s="155"/>
      <c r="M43" s="154"/>
      <c r="N43" s="136"/>
    </row>
    <row r="44" spans="1:14" ht="16.5" customHeight="1">
      <c r="A44" s="144">
        <v>34</v>
      </c>
      <c r="B44" s="135"/>
      <c r="C44" s="135" t="s">
        <v>149</v>
      </c>
      <c r="D44" s="144" t="s">
        <v>189</v>
      </c>
      <c r="E44" s="179"/>
      <c r="F44" s="150">
        <v>4677084.9738468025</v>
      </c>
      <c r="G44" s="174"/>
      <c r="H44" s="184">
        <f>ROUND((F44)/365,0)</f>
        <v>12814</v>
      </c>
      <c r="I44" s="148">
        <f t="shared" ref="I44" si="20">+I$13</f>
        <v>40.930000000000007</v>
      </c>
      <c r="J44" s="148">
        <f>+I44</f>
        <v>40.930000000000007</v>
      </c>
      <c r="K44" s="144" t="str">
        <f>'VA cwc (Total Co) sh 2'!H45</f>
        <v>Note 2</v>
      </c>
      <c r="L44" s="148">
        <f>I44-J44</f>
        <v>0</v>
      </c>
      <c r="M44" s="164">
        <f>ROUND(L44*H44,0)</f>
        <v>0</v>
      </c>
      <c r="N44" s="136"/>
    </row>
    <row r="45" spans="1:14" ht="12" customHeight="1">
      <c r="A45" s="144">
        <v>35</v>
      </c>
      <c r="B45" s="135"/>
      <c r="C45" s="185" t="s">
        <v>150</v>
      </c>
      <c r="D45" s="135"/>
      <c r="E45" s="179"/>
      <c r="F45" s="150">
        <f>F44+F43+F37+F33+F44</f>
        <v>42192654.777693592</v>
      </c>
      <c r="G45" s="174"/>
      <c r="H45" s="174">
        <f>H44+H43+H37+H33</f>
        <v>93847</v>
      </c>
      <c r="I45" s="148" t="s">
        <v>12</v>
      </c>
      <c r="J45" s="148" t="s">
        <v>12</v>
      </c>
      <c r="K45" s="144" t="str">
        <f>'VA cwc (Total Co) sh 2'!H46</f>
        <v xml:space="preserve"> </v>
      </c>
      <c r="L45" s="148"/>
      <c r="M45" s="150">
        <f>SUM(M13:M44)</f>
        <v>136547</v>
      </c>
      <c r="N45" s="136"/>
    </row>
    <row r="46" spans="1:14" ht="12" customHeight="1">
      <c r="A46" s="144">
        <v>36</v>
      </c>
      <c r="B46" s="135"/>
      <c r="C46" s="135" t="s">
        <v>151</v>
      </c>
      <c r="D46" s="144" t="s">
        <v>178</v>
      </c>
      <c r="E46" s="172">
        <v>0.90269999999999995</v>
      </c>
      <c r="F46" s="174">
        <v>707783.20000000019</v>
      </c>
      <c r="G46" s="174"/>
      <c r="H46" s="150">
        <f>ROUND((F46)/365,0)</f>
        <v>1939</v>
      </c>
      <c r="I46" s="148">
        <f t="shared" ref="I46:I47" si="21">+I$13</f>
        <v>40.930000000000007</v>
      </c>
      <c r="J46" s="147">
        <v>27.76</v>
      </c>
      <c r="K46" s="144" t="str">
        <f>'VA cwc (Total Co) sh 2'!H47</f>
        <v>Sheet 15</v>
      </c>
      <c r="L46" s="148">
        <f>I46-J46</f>
        <v>13.170000000000005</v>
      </c>
      <c r="M46" s="150">
        <f>ROUND(L46*H46,0)</f>
        <v>25537</v>
      </c>
      <c r="N46" s="136"/>
    </row>
    <row r="47" spans="1:14" ht="12" customHeight="1">
      <c r="A47" s="144">
        <v>37</v>
      </c>
      <c r="B47" s="135"/>
      <c r="C47" s="135" t="s">
        <v>153</v>
      </c>
      <c r="D47" s="144" t="s">
        <v>178</v>
      </c>
      <c r="E47" s="172">
        <v>0.90269999999999995</v>
      </c>
      <c r="F47" s="174">
        <v>366594.04</v>
      </c>
      <c r="G47" s="174"/>
      <c r="H47" s="150">
        <f>ROUND((F47)/365,0)</f>
        <v>1004</v>
      </c>
      <c r="I47" s="148">
        <f t="shared" si="21"/>
        <v>40.930000000000007</v>
      </c>
      <c r="J47" s="147">
        <v>32.714986310197503</v>
      </c>
      <c r="K47" s="144" t="str">
        <f>'VA cwc (Total Co) sh 2'!H48</f>
        <v>Sheet  16</v>
      </c>
      <c r="L47" s="148">
        <f>I47-J47</f>
        <v>8.2150136898025039</v>
      </c>
      <c r="M47" s="150">
        <f>ROUND(L47*H47,0)</f>
        <v>8248</v>
      </c>
      <c r="N47" s="136"/>
    </row>
    <row r="48" spans="1:14" ht="12" customHeight="1">
      <c r="A48" s="144">
        <v>38</v>
      </c>
      <c r="B48" s="135"/>
      <c r="C48" s="186" t="s">
        <v>155</v>
      </c>
      <c r="D48" s="144" t="s">
        <v>190</v>
      </c>
      <c r="E48" s="179"/>
      <c r="F48" s="166"/>
      <c r="G48" s="166"/>
      <c r="H48" s="135"/>
      <c r="I48" s="167"/>
      <c r="J48" s="167"/>
      <c r="K48" s="144" t="str">
        <f>'VA cwc (Total Co) sh 2'!H49</f>
        <v>Schedule 28</v>
      </c>
      <c r="L48" s="167"/>
      <c r="M48" s="150">
        <v>-338127</v>
      </c>
      <c r="N48" s="136"/>
    </row>
    <row r="49" spans="1:14" ht="12.95" customHeight="1" thickBot="1">
      <c r="A49" s="144">
        <v>39</v>
      </c>
      <c r="B49" s="135"/>
      <c r="C49" s="135"/>
      <c r="D49" s="135"/>
      <c r="E49" s="135"/>
      <c r="F49" s="145"/>
      <c r="G49" s="145"/>
      <c r="H49" s="135"/>
      <c r="I49" s="135"/>
      <c r="J49" s="135"/>
      <c r="K49" s="135"/>
      <c r="L49" s="158" t="s">
        <v>157</v>
      </c>
      <c r="M49" s="187">
        <f>SUM(M45:M48)</f>
        <v>-167795</v>
      </c>
      <c r="N49" s="136"/>
    </row>
    <row r="50" spans="1:14" ht="12" customHeight="1">
      <c r="A50" s="135"/>
      <c r="B50" s="135"/>
      <c r="C50" s="135"/>
      <c r="D50" s="135"/>
      <c r="E50" s="135"/>
      <c r="F50" s="145"/>
      <c r="G50" s="145"/>
      <c r="H50" s="135"/>
      <c r="I50" s="135"/>
      <c r="J50" s="167"/>
      <c r="K50" s="135"/>
      <c r="L50" s="135"/>
      <c r="M50" s="188"/>
      <c r="N50" s="136"/>
    </row>
    <row r="51" spans="1:14" ht="12" customHeight="1">
      <c r="A51" s="197" t="s">
        <v>159</v>
      </c>
      <c r="B51" s="197"/>
      <c r="C51" s="193" t="s">
        <v>160</v>
      </c>
      <c r="D51" s="193"/>
      <c r="E51" s="193"/>
      <c r="F51" s="193"/>
      <c r="G51" s="193"/>
      <c r="H51" s="193"/>
      <c r="I51" s="193"/>
      <c r="J51" s="193"/>
      <c r="K51" s="193"/>
      <c r="L51" s="194" t="s">
        <v>193</v>
      </c>
      <c r="M51" s="191">
        <v>0.125</v>
      </c>
      <c r="N51" s="136"/>
    </row>
    <row r="52" spans="1:14" ht="12" customHeight="1">
      <c r="A52" s="197" t="s">
        <v>161</v>
      </c>
      <c r="B52" s="197"/>
      <c r="C52" s="193" t="s">
        <v>191</v>
      </c>
      <c r="D52" s="193"/>
      <c r="E52" s="193"/>
      <c r="F52" s="193"/>
      <c r="G52" s="193"/>
      <c r="H52" s="193"/>
      <c r="I52" s="193"/>
      <c r="J52" s="193"/>
      <c r="K52" s="193"/>
      <c r="L52" s="158" t="s">
        <v>194</v>
      </c>
      <c r="M52" s="189">
        <f>SUM(G15:G26)</f>
        <v>2604325.5132149118</v>
      </c>
      <c r="N52" s="136"/>
    </row>
    <row r="53" spans="1:14" ht="12" customHeight="1">
      <c r="A53" s="197" t="s">
        <v>163</v>
      </c>
      <c r="B53" s="197"/>
      <c r="C53" s="135" t="s">
        <v>192</v>
      </c>
      <c r="D53" s="135"/>
      <c r="E53" s="135"/>
      <c r="F53" s="145"/>
      <c r="G53" s="145"/>
      <c r="H53" s="135"/>
      <c r="I53" s="135"/>
      <c r="J53" s="135"/>
      <c r="K53" s="135"/>
      <c r="L53" s="158" t="s">
        <v>195</v>
      </c>
      <c r="M53" s="189">
        <f>M51*M52</f>
        <v>325540.68915186397</v>
      </c>
      <c r="N53" s="136"/>
    </row>
    <row r="54" spans="1:14" ht="11.1" customHeight="1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58" t="s">
        <v>196</v>
      </c>
      <c r="M54" s="192">
        <f>M49-M53</f>
        <v>-493335.68915186397</v>
      </c>
      <c r="N54" s="136"/>
    </row>
    <row r="55" spans="1:14" ht="12.7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</row>
    <row r="56" spans="1:14" ht="12.7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</row>
    <row r="59" spans="1:14">
      <c r="E59" s="190"/>
    </row>
    <row r="60" spans="1:14">
      <c r="E60" s="190"/>
    </row>
    <row r="61" spans="1:14">
      <c r="E61" s="190"/>
    </row>
    <row r="62" spans="1:14">
      <c r="E62" s="190"/>
    </row>
    <row r="63" spans="1:14">
      <c r="E63" s="190"/>
    </row>
    <row r="64" spans="1:14">
      <c r="E64" s="190"/>
    </row>
    <row r="65" spans="5:5">
      <c r="E65" s="190"/>
    </row>
    <row r="66" spans="5:5">
      <c r="E66" s="190"/>
    </row>
    <row r="67" spans="5:5">
      <c r="E67" s="190"/>
    </row>
    <row r="68" spans="5:5">
      <c r="E68" s="190"/>
    </row>
    <row r="69" spans="5:5">
      <c r="E69" s="190"/>
    </row>
    <row r="70" spans="5:5">
      <c r="E70" s="190"/>
    </row>
    <row r="71" spans="5:5">
      <c r="E71" s="190"/>
    </row>
    <row r="72" spans="5:5">
      <c r="E72" s="190"/>
    </row>
    <row r="73" spans="5:5">
      <c r="E73" s="190"/>
    </row>
    <row r="74" spans="5:5">
      <c r="E74" s="190"/>
    </row>
    <row r="75" spans="5:5">
      <c r="E75" s="190"/>
    </row>
    <row r="76" spans="5:5">
      <c r="E76" s="190"/>
    </row>
    <row r="77" spans="5:5">
      <c r="E77" s="190"/>
    </row>
    <row r="78" spans="5:5">
      <c r="E78" s="190"/>
    </row>
    <row r="79" spans="5:5">
      <c r="E79" s="190"/>
    </row>
    <row r="80" spans="5:5">
      <c r="E80" s="190"/>
    </row>
    <row r="81" spans="5:5">
      <c r="E81" s="190"/>
    </row>
    <row r="82" spans="5:5">
      <c r="E82" s="190"/>
    </row>
    <row r="83" spans="5:5">
      <c r="E83" s="190"/>
    </row>
    <row r="84" spans="5:5">
      <c r="E84" s="190"/>
    </row>
    <row r="85" spans="5:5">
      <c r="E85" s="190"/>
    </row>
  </sheetData>
  <mergeCells count="9">
    <mergeCell ref="A51:B51"/>
    <mergeCell ref="A52:B52"/>
    <mergeCell ref="A53:B53"/>
    <mergeCell ref="L1:M1"/>
    <mergeCell ref="A2:M2"/>
    <mergeCell ref="A3:M3"/>
    <mergeCell ref="A4:M4"/>
    <mergeCell ref="A5:M5"/>
    <mergeCell ref="B12:C12"/>
  </mergeCells>
  <pageMargins left="0.75" right="0.25" top="0.75" bottom="0.1" header="0.25" footer="0.38"/>
  <pageSetup scale="65" orientation="portrait" horizontalDpi="300" verticalDpi="300" r:id="rId1"/>
  <headerFooter alignWithMargins="0">
    <oddHeader>&amp;LCASE NO. 2018-00281
ATTACHMENT 2
TO STAFF DR NO. 2-36&amp;RExhibit No. GKW3
Witness:  Waller
Schedule 27
Sheet 2a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 CWC</vt:lpstr>
      <vt:lpstr>TN-CWC1A</vt:lpstr>
      <vt:lpstr>TN-CWC1B</vt:lpstr>
      <vt:lpstr>VA cwc (Total Co) sh 2</vt:lpstr>
      <vt:lpstr>VA cwc (Juris) sh 2a</vt:lpstr>
      <vt:lpstr>\P</vt:lpstr>
      <vt:lpstr>_EXH1</vt:lpstr>
      <vt:lpstr>'CO CWC'!Print_Area</vt:lpstr>
      <vt:lpstr>'TN-CWC1A'!Print_Area</vt:lpstr>
      <vt:lpstr>'TN-CWC1B'!Print_Area</vt:lpstr>
      <vt:lpstr>'VA cwc (Juris) sh 2a'!Print_Area</vt:lpstr>
      <vt:lpstr>'VA cwc (Total Co) sh 2'!Print_Area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 Christian</dc:creator>
  <cp:lastModifiedBy>Eric J Wilen</cp:lastModifiedBy>
  <cp:lastPrinted>2018-11-27T15:41:02Z</cp:lastPrinted>
  <dcterms:created xsi:type="dcterms:W3CDTF">2018-11-26T22:23:32Z</dcterms:created>
  <dcterms:modified xsi:type="dcterms:W3CDTF">2018-11-27T15:41:49Z</dcterms:modified>
</cp:coreProperties>
</file>