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435"/>
  </bookViews>
  <sheets>
    <sheet name="C.1" sheetId="1" r:id="rId1"/>
    <sheet name="C.2" sheetId="2" r:id="rId2"/>
    <sheet name="C.2.1 B" sheetId="3" r:id="rId3"/>
    <sheet name="C.2.2 B 02" sheetId="5" r:id="rId4"/>
    <sheet name="C.2.2 B 09" sheetId="4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'C.1'!$A$1:$J$31</definedName>
    <definedName name="_xlnm.Print_Area" localSheetId="1">'C.2'!$A$1:$O$34</definedName>
    <definedName name="_xlnm.Print_Area" localSheetId="2">'C.2.1 B'!$A$1:$D$183</definedName>
    <definedName name="_xlnm.Print_Area" localSheetId="3">'C.2.2 B 02'!$A$14:$P$49</definedName>
    <definedName name="_xlnm.Print_Area" localSheetId="4">'C.2.2 B 09'!$A$12:$P$117</definedName>
    <definedName name="_xlnm.Print_Area" localSheetId="5">'C.2.2 B 12'!$A$12:$P$37</definedName>
    <definedName name="_xlnm.Print_Area" localSheetId="6">'C.2.2 B 91'!$A$14:$P$62</definedName>
    <definedName name="_xlnm.Print_Area" localSheetId="7">E!$A$1:$H$37</definedName>
    <definedName name="_xlnm.Print_Titles" localSheetId="2">'C.2.1 B'!$1:$12</definedName>
    <definedName name="_xlnm.Print_Titles" localSheetId="3">'C.2.2 B 02'!$1:$11</definedName>
    <definedName name="_xlnm.Print_Titles" localSheetId="4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7" l="1"/>
  <c r="K57" i="7"/>
  <c r="K58" i="7" s="1"/>
  <c r="L57" i="7"/>
  <c r="L58" i="7" s="1"/>
  <c r="M57" i="7"/>
  <c r="J58" i="7"/>
  <c r="M58" i="7"/>
  <c r="J32" i="6"/>
  <c r="K32" i="6"/>
  <c r="L32" i="6"/>
  <c r="L33" i="6" s="1"/>
  <c r="M32" i="6"/>
  <c r="J33" i="6"/>
  <c r="K33" i="6"/>
  <c r="M33" i="6"/>
  <c r="J44" i="5"/>
  <c r="K44" i="5"/>
  <c r="L44" i="5"/>
  <c r="M44" i="5"/>
  <c r="M45" i="5" s="1"/>
  <c r="J45" i="5"/>
  <c r="K45" i="5"/>
  <c r="L45" i="5"/>
  <c r="E21" i="8" l="1"/>
  <c r="A50" i="7" l="1"/>
  <c r="A51" i="7"/>
  <c r="A52" i="7"/>
  <c r="A53" i="7"/>
  <c r="A54" i="7" s="1"/>
  <c r="A55" i="7" s="1"/>
  <c r="A56" i="7" s="1"/>
  <c r="A57" i="7" s="1"/>
  <c r="A58" i="7" s="1"/>
  <c r="A59" i="7" s="1"/>
  <c r="A37" i="5"/>
  <c r="G32" i="8" l="1"/>
  <c r="G17" i="8" s="1"/>
  <c r="E32" i="8"/>
  <c r="E17" i="8" s="1"/>
  <c r="L68" i="7"/>
  <c r="L66" i="7"/>
  <c r="I66" i="7"/>
  <c r="I68" i="7" s="1"/>
  <c r="H66" i="7"/>
  <c r="H68" i="7" s="1"/>
  <c r="G66" i="7"/>
  <c r="G68" i="7" s="1"/>
  <c r="F66" i="7"/>
  <c r="F68" i="7" s="1"/>
  <c r="E66" i="7"/>
  <c r="E68" i="7" s="1"/>
  <c r="D66" i="7"/>
  <c r="D68" i="7" s="1"/>
  <c r="I58" i="7"/>
  <c r="I57" i="7"/>
  <c r="D57" i="7"/>
  <c r="D58" i="7" s="1"/>
  <c r="C57" i="7"/>
  <c r="B57" i="7"/>
  <c r="L55" i="7"/>
  <c r="H55" i="7"/>
  <c r="H57" i="7" s="1"/>
  <c r="H58" i="7" s="1"/>
  <c r="D55" i="7"/>
  <c r="I53" i="7"/>
  <c r="H53" i="7"/>
  <c r="G53" i="7"/>
  <c r="F53" i="7"/>
  <c r="E53" i="7"/>
  <c r="P53" i="7" s="1"/>
  <c r="D53" i="7"/>
  <c r="P52" i="7"/>
  <c r="P51" i="7"/>
  <c r="P49" i="7"/>
  <c r="P48" i="7"/>
  <c r="P47" i="7"/>
  <c r="P46" i="7"/>
  <c r="O45" i="7"/>
  <c r="O57" i="7" s="1"/>
  <c r="O59" i="7" s="1"/>
  <c r="N45" i="7"/>
  <c r="N57" i="7" s="1"/>
  <c r="N59" i="7" s="1"/>
  <c r="P44" i="7"/>
  <c r="P43" i="7"/>
  <c r="P42" i="7"/>
  <c r="I41" i="7"/>
  <c r="H41" i="7"/>
  <c r="G41" i="7"/>
  <c r="F41" i="7"/>
  <c r="P41" i="7" s="1"/>
  <c r="E41" i="7"/>
  <c r="D41" i="7"/>
  <c r="P40" i="7"/>
  <c r="P39" i="7"/>
  <c r="P37" i="7"/>
  <c r="I36" i="7"/>
  <c r="H36" i="7"/>
  <c r="G36" i="7"/>
  <c r="F36" i="7"/>
  <c r="E36" i="7"/>
  <c r="D36" i="7"/>
  <c r="P36" i="7" s="1"/>
  <c r="P35" i="7"/>
  <c r="P34" i="7"/>
  <c r="I33" i="7"/>
  <c r="H33" i="7"/>
  <c r="G33" i="7"/>
  <c r="F33" i="7"/>
  <c r="E33" i="7"/>
  <c r="D33" i="7"/>
  <c r="P32" i="7"/>
  <c r="I31" i="7"/>
  <c r="H31" i="7"/>
  <c r="G31" i="7"/>
  <c r="F31" i="7"/>
  <c r="E31" i="7"/>
  <c r="D31" i="7"/>
  <c r="P31" i="7" s="1"/>
  <c r="P30" i="7"/>
  <c r="P29" i="7"/>
  <c r="P28" i="7"/>
  <c r="P27" i="7"/>
  <c r="P26" i="7"/>
  <c r="P25" i="7"/>
  <c r="P24" i="7"/>
  <c r="I23" i="7"/>
  <c r="H23" i="7"/>
  <c r="G23" i="7"/>
  <c r="F23" i="7"/>
  <c r="E23" i="7"/>
  <c r="D23" i="7"/>
  <c r="P22" i="7"/>
  <c r="I21" i="7"/>
  <c r="H21" i="7"/>
  <c r="G21" i="7"/>
  <c r="G55" i="7" s="1"/>
  <c r="G57" i="7" s="1"/>
  <c r="G58" i="7" s="1"/>
  <c r="F21" i="7"/>
  <c r="F55" i="7" s="1"/>
  <c r="F57" i="7" s="1"/>
  <c r="F58" i="7" s="1"/>
  <c r="E21" i="7"/>
  <c r="D21" i="7"/>
  <c r="P20" i="7"/>
  <c r="P19" i="7"/>
  <c r="P18" i="7"/>
  <c r="P17" i="7"/>
  <c r="P16" i="7"/>
  <c r="P15" i="7"/>
  <c r="A15" i="7"/>
  <c r="A16" i="7" s="1"/>
  <c r="A17" i="7" s="1"/>
  <c r="A18" i="7" s="1"/>
  <c r="A19" i="7" s="1"/>
  <c r="A20" i="7" s="1"/>
  <c r="A21" i="7" s="1"/>
  <c r="A22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H33" i="6"/>
  <c r="D33" i="6"/>
  <c r="I32" i="6"/>
  <c r="I33" i="6" s="1"/>
  <c r="H32" i="6"/>
  <c r="G32" i="6"/>
  <c r="G33" i="6" s="1"/>
  <c r="F32" i="6"/>
  <c r="F33" i="6" s="1"/>
  <c r="E32" i="6"/>
  <c r="E33" i="6" s="1"/>
  <c r="D32" i="6"/>
  <c r="C32" i="6"/>
  <c r="B32" i="6"/>
  <c r="O30" i="6"/>
  <c r="K30" i="6"/>
  <c r="G30" i="6"/>
  <c r="P28" i="6"/>
  <c r="P27" i="6"/>
  <c r="P26" i="6"/>
  <c r="P25" i="6"/>
  <c r="P24" i="6"/>
  <c r="P23" i="6"/>
  <c r="O22" i="6"/>
  <c r="O32" i="6" s="1"/>
  <c r="O34" i="6" s="1"/>
  <c r="N22" i="6"/>
  <c r="N30" i="6" s="1"/>
  <c r="P21" i="6"/>
  <c r="P20" i="6"/>
  <c r="P19" i="6"/>
  <c r="I18" i="6"/>
  <c r="H18" i="6"/>
  <c r="G18" i="6"/>
  <c r="F18" i="6"/>
  <c r="P18" i="6" s="1"/>
  <c r="E18" i="6"/>
  <c r="D18" i="6"/>
  <c r="P17" i="6"/>
  <c r="I16" i="6"/>
  <c r="I30" i="6" s="1"/>
  <c r="H16" i="6"/>
  <c r="H30" i="6" s="1"/>
  <c r="G16" i="6"/>
  <c r="F16" i="6"/>
  <c r="E16" i="6"/>
  <c r="E30" i="6" s="1"/>
  <c r="D16" i="6"/>
  <c r="P15" i="6"/>
  <c r="P14" i="6"/>
  <c r="P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P8" i="6"/>
  <c r="I44" i="5"/>
  <c r="I45" i="5" s="1"/>
  <c r="H44" i="5"/>
  <c r="G44" i="5"/>
  <c r="G60" i="5" s="1"/>
  <c r="G61" i="5" s="1"/>
  <c r="F44" i="5"/>
  <c r="F60" i="5" s="1"/>
  <c r="F61" i="5" s="1"/>
  <c r="E44" i="5"/>
  <c r="E45" i="5" s="1"/>
  <c r="D44" i="5"/>
  <c r="C44" i="5"/>
  <c r="B44" i="5"/>
  <c r="P41" i="5"/>
  <c r="P40" i="5"/>
  <c r="P39" i="5"/>
  <c r="I38" i="5"/>
  <c r="H38" i="5"/>
  <c r="G38" i="5"/>
  <c r="F38" i="5"/>
  <c r="E38" i="5"/>
  <c r="D38" i="5"/>
  <c r="P36" i="5"/>
  <c r="P35" i="5"/>
  <c r="P34" i="5"/>
  <c r="P33" i="5"/>
  <c r="O32" i="5"/>
  <c r="O44" i="5" s="1"/>
  <c r="N32" i="5"/>
  <c r="N44" i="5" s="1"/>
  <c r="N60" i="5" s="1"/>
  <c r="N61" i="5" s="1"/>
  <c r="L42" i="5"/>
  <c r="K42" i="5"/>
  <c r="P31" i="5"/>
  <c r="P30" i="5"/>
  <c r="P29" i="5"/>
  <c r="P28" i="5"/>
  <c r="I27" i="5"/>
  <c r="H27" i="5"/>
  <c r="G27" i="5"/>
  <c r="F27" i="5"/>
  <c r="E27" i="5"/>
  <c r="D27" i="5"/>
  <c r="P26" i="5"/>
  <c r="I25" i="5"/>
  <c r="H25" i="5"/>
  <c r="G25" i="5"/>
  <c r="F25" i="5"/>
  <c r="E25" i="5"/>
  <c r="D25" i="5"/>
  <c r="I24" i="5"/>
  <c r="H24" i="5"/>
  <c r="G24" i="5"/>
  <c r="F24" i="5"/>
  <c r="E24" i="5"/>
  <c r="D24" i="5"/>
  <c r="P23" i="5"/>
  <c r="I22" i="5"/>
  <c r="H22" i="5"/>
  <c r="G22" i="5"/>
  <c r="F22" i="5"/>
  <c r="E22" i="5"/>
  <c r="D22" i="5"/>
  <c r="I21" i="5"/>
  <c r="H21" i="5"/>
  <c r="G21" i="5"/>
  <c r="F21" i="5"/>
  <c r="E21" i="5"/>
  <c r="D21" i="5"/>
  <c r="P20" i="5"/>
  <c r="P19" i="5"/>
  <c r="P18" i="5"/>
  <c r="I16" i="5"/>
  <c r="H16" i="5"/>
  <c r="G16" i="5"/>
  <c r="F16" i="5"/>
  <c r="F42" i="5" s="1"/>
  <c r="E16" i="5"/>
  <c r="D16" i="5"/>
  <c r="P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8" i="5" s="1"/>
  <c r="A39" i="5" s="1"/>
  <c r="A40" i="5" s="1"/>
  <c r="A41" i="5" s="1"/>
  <c r="A42" i="5" s="1"/>
  <c r="A43" i="5" s="1"/>
  <c r="A44" i="5" s="1"/>
  <c r="A45" i="5" s="1"/>
  <c r="A46" i="5" s="1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P8" i="5"/>
  <c r="F113" i="4"/>
  <c r="P111" i="4"/>
  <c r="P110" i="4"/>
  <c r="P109" i="4"/>
  <c r="P108" i="4"/>
  <c r="D165" i="3" s="1"/>
  <c r="P107" i="4"/>
  <c r="P106" i="4"/>
  <c r="P105" i="4"/>
  <c r="P104" i="4"/>
  <c r="D161" i="3" s="1"/>
  <c r="P103" i="4"/>
  <c r="P101" i="4"/>
  <c r="P100" i="4"/>
  <c r="P99" i="4"/>
  <c r="D152" i="3" s="1"/>
  <c r="P98" i="4"/>
  <c r="P97" i="4"/>
  <c r="I96" i="4"/>
  <c r="H96" i="4"/>
  <c r="G96" i="4"/>
  <c r="F96" i="4"/>
  <c r="E96" i="4"/>
  <c r="P96" i="4" s="1"/>
  <c r="D146" i="3" s="1"/>
  <c r="D96" i="4"/>
  <c r="P95" i="4"/>
  <c r="P94" i="4"/>
  <c r="P93" i="4"/>
  <c r="P92" i="4"/>
  <c r="D137" i="3" s="1"/>
  <c r="I91" i="4"/>
  <c r="H91" i="4"/>
  <c r="G91" i="4"/>
  <c r="F91" i="4"/>
  <c r="E91" i="4"/>
  <c r="P91" i="4" s="1"/>
  <c r="D136" i="3" s="1"/>
  <c r="D91" i="4"/>
  <c r="P90" i="4"/>
  <c r="I89" i="4"/>
  <c r="H89" i="4"/>
  <c r="G89" i="4"/>
  <c r="F89" i="4"/>
  <c r="E89" i="4"/>
  <c r="D89" i="4"/>
  <c r="P88" i="4"/>
  <c r="P87" i="4"/>
  <c r="P86" i="4"/>
  <c r="D127" i="3" s="1"/>
  <c r="P85" i="4"/>
  <c r="P84" i="4"/>
  <c r="P83" i="4"/>
  <c r="P82" i="4"/>
  <c r="D123" i="3" s="1"/>
  <c r="P81" i="4"/>
  <c r="P80" i="4"/>
  <c r="P79" i="4"/>
  <c r="P78" i="4"/>
  <c r="D116" i="3" s="1"/>
  <c r="P77" i="4"/>
  <c r="P76" i="4"/>
  <c r="P75" i="4"/>
  <c r="P74" i="4"/>
  <c r="D112" i="3" s="1"/>
  <c r="I73" i="4"/>
  <c r="H73" i="4"/>
  <c r="G73" i="4"/>
  <c r="F73" i="4"/>
  <c r="E73" i="4"/>
  <c r="D73" i="4"/>
  <c r="P73" i="4" s="1"/>
  <c r="D111" i="3" s="1"/>
  <c r="P72" i="4"/>
  <c r="P71" i="4"/>
  <c r="D109" i="3" s="1"/>
  <c r="P70" i="4"/>
  <c r="I69" i="4"/>
  <c r="H69" i="4"/>
  <c r="G69" i="4"/>
  <c r="F69" i="4"/>
  <c r="E69" i="4"/>
  <c r="D69" i="4"/>
  <c r="I68" i="4"/>
  <c r="H68" i="4"/>
  <c r="G68" i="4"/>
  <c r="F68" i="4"/>
  <c r="E68" i="4"/>
  <c r="D68" i="4"/>
  <c r="P68" i="4" s="1"/>
  <c r="P67" i="4"/>
  <c r="P66" i="4"/>
  <c r="P65" i="4"/>
  <c r="D71" i="3" s="1"/>
  <c r="P64" i="4"/>
  <c r="I63" i="4"/>
  <c r="H63" i="4"/>
  <c r="G63" i="4"/>
  <c r="F63" i="4"/>
  <c r="E63" i="4"/>
  <c r="D63" i="4"/>
  <c r="P62" i="4"/>
  <c r="D68" i="3" s="1"/>
  <c r="P61" i="4"/>
  <c r="I60" i="4"/>
  <c r="H60" i="4"/>
  <c r="G60" i="4"/>
  <c r="F60" i="4"/>
  <c r="E60" i="4"/>
  <c r="D60" i="4"/>
  <c r="I59" i="4"/>
  <c r="H59" i="4"/>
  <c r="G59" i="4"/>
  <c r="F59" i="4"/>
  <c r="P59" i="4" s="1"/>
  <c r="D62" i="3" s="1"/>
  <c r="E59" i="4"/>
  <c r="D59" i="4"/>
  <c r="I58" i="4"/>
  <c r="H58" i="4"/>
  <c r="G58" i="4"/>
  <c r="G123" i="4" s="1"/>
  <c r="G125" i="4" s="1"/>
  <c r="F58" i="4"/>
  <c r="E58" i="4"/>
  <c r="D58" i="4"/>
  <c r="P57" i="4"/>
  <c r="D60" i="3" s="1"/>
  <c r="P56" i="4"/>
  <c r="P55" i="4"/>
  <c r="I54" i="4"/>
  <c r="H54" i="4"/>
  <c r="G54" i="4"/>
  <c r="F54" i="4"/>
  <c r="E54" i="4"/>
  <c r="D54" i="4"/>
  <c r="P54" i="4" s="1"/>
  <c r="P53" i="4"/>
  <c r="P52" i="4"/>
  <c r="P51" i="4"/>
  <c r="P50" i="4"/>
  <c r="D49" i="3" s="1"/>
  <c r="P49" i="4"/>
  <c r="P48" i="4"/>
  <c r="I47" i="4"/>
  <c r="H47" i="4"/>
  <c r="G47" i="4"/>
  <c r="F47" i="4"/>
  <c r="E47" i="4"/>
  <c r="D47" i="4"/>
  <c r="P46" i="4"/>
  <c r="P45" i="4"/>
  <c r="P44" i="4"/>
  <c r="P43" i="4"/>
  <c r="D99" i="3" s="1"/>
  <c r="P42" i="4"/>
  <c r="P41" i="4"/>
  <c r="P40" i="4"/>
  <c r="D96" i="3" s="1"/>
  <c r="P39" i="4"/>
  <c r="D94" i="3" s="1"/>
  <c r="P38" i="4"/>
  <c r="P37" i="4"/>
  <c r="P36" i="4"/>
  <c r="D91" i="3" s="1"/>
  <c r="P35" i="4"/>
  <c r="D90" i="3" s="1"/>
  <c r="P34" i="4"/>
  <c r="P33" i="4"/>
  <c r="I32" i="4"/>
  <c r="H32" i="4"/>
  <c r="G32" i="4"/>
  <c r="F32" i="4"/>
  <c r="E32" i="4"/>
  <c r="D32" i="4"/>
  <c r="P32" i="4" s="1"/>
  <c r="D86" i="3" s="1"/>
  <c r="I31" i="4"/>
  <c r="H31" i="4"/>
  <c r="G31" i="4"/>
  <c r="F31" i="4"/>
  <c r="E31" i="4"/>
  <c r="D31" i="4"/>
  <c r="P31" i="4" s="1"/>
  <c r="D38" i="3" s="1"/>
  <c r="I30" i="4"/>
  <c r="H30" i="4"/>
  <c r="H123" i="4" s="1"/>
  <c r="H125" i="4" s="1"/>
  <c r="G30" i="4"/>
  <c r="F30" i="4"/>
  <c r="F123" i="4" s="1"/>
  <c r="F125" i="4" s="1"/>
  <c r="E30" i="4"/>
  <c r="D30" i="4"/>
  <c r="D123" i="4" s="1"/>
  <c r="D125" i="4" s="1"/>
  <c r="P29" i="4"/>
  <c r="I28" i="4"/>
  <c r="H28" i="4"/>
  <c r="H113" i="4" s="1"/>
  <c r="G28" i="4"/>
  <c r="F28" i="4"/>
  <c r="E28" i="4"/>
  <c r="D28" i="4"/>
  <c r="D113" i="4" s="1"/>
  <c r="P27" i="4"/>
  <c r="D28" i="3" s="1"/>
  <c r="P26" i="4"/>
  <c r="P25" i="4"/>
  <c r="D26" i="3" s="1"/>
  <c r="P24" i="4"/>
  <c r="P23" i="4"/>
  <c r="D21" i="3" s="1"/>
  <c r="P22" i="4"/>
  <c r="P21" i="4"/>
  <c r="D19" i="3" s="1"/>
  <c r="P20" i="4"/>
  <c r="P19" i="4"/>
  <c r="D17" i="3" s="1"/>
  <c r="P18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P17" i="4"/>
  <c r="P14" i="4"/>
  <c r="A13" i="4"/>
  <c r="A14" i="4" s="1"/>
  <c r="A15" i="4" s="1"/>
  <c r="A16" i="4" s="1"/>
  <c r="A17" i="4" s="1"/>
  <c r="I12" i="4"/>
  <c r="G12" i="4"/>
  <c r="F12" i="4"/>
  <c r="E12" i="4"/>
  <c r="D12" i="4"/>
  <c r="P8" i="4"/>
  <c r="A8" i="4"/>
  <c r="A7" i="4"/>
  <c r="A6" i="4"/>
  <c r="A6" i="5" s="1"/>
  <c r="D176" i="3"/>
  <c r="D26" i="2" s="1"/>
  <c r="D20" i="1" s="1"/>
  <c r="D171" i="3"/>
  <c r="D172" i="3" s="1"/>
  <c r="D167" i="3"/>
  <c r="D166" i="3"/>
  <c r="D164" i="3"/>
  <c r="D163" i="3"/>
  <c r="D162" i="3"/>
  <c r="D160" i="3"/>
  <c r="D158" i="3"/>
  <c r="D157" i="3"/>
  <c r="D151" i="3"/>
  <c r="D150" i="3"/>
  <c r="D145" i="3"/>
  <c r="D139" i="3"/>
  <c r="D138" i="3"/>
  <c r="D131" i="3"/>
  <c r="D129" i="3"/>
  <c r="D128" i="3"/>
  <c r="D126" i="3"/>
  <c r="D125" i="3"/>
  <c r="D124" i="3"/>
  <c r="D119" i="3"/>
  <c r="D118" i="3"/>
  <c r="D117" i="3"/>
  <c r="D115" i="3"/>
  <c r="D114" i="3"/>
  <c r="D113" i="3"/>
  <c r="D110" i="3"/>
  <c r="D108" i="3"/>
  <c r="D104" i="3"/>
  <c r="D102" i="3"/>
  <c r="D100" i="3"/>
  <c r="D98" i="3"/>
  <c r="D97" i="3"/>
  <c r="D93" i="3"/>
  <c r="D92" i="3"/>
  <c r="D88" i="3"/>
  <c r="D87" i="3"/>
  <c r="D80" i="3"/>
  <c r="D79" i="3"/>
  <c r="D72" i="3"/>
  <c r="D70" i="3"/>
  <c r="D64" i="3"/>
  <c r="D58" i="3"/>
  <c r="D54" i="3"/>
  <c r="D53" i="3"/>
  <c r="D52" i="3"/>
  <c r="D51" i="3"/>
  <c r="D50" i="3"/>
  <c r="D48" i="3"/>
  <c r="D47" i="3"/>
  <c r="D43" i="3"/>
  <c r="D30" i="3"/>
  <c r="D27" i="3"/>
  <c r="D22" i="3"/>
  <c r="D20" i="3"/>
  <c r="D18" i="3"/>
  <c r="D16" i="3"/>
  <c r="D15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D8" i="3"/>
  <c r="H33" i="2"/>
  <c r="H31" i="2"/>
  <c r="O27" i="2"/>
  <c r="O25" i="2"/>
  <c r="O24" i="2"/>
  <c r="O23" i="2"/>
  <c r="K31" i="2"/>
  <c r="O21" i="2"/>
  <c r="O20" i="2"/>
  <c r="O19" i="2"/>
  <c r="O18" i="2"/>
  <c r="O17" i="2"/>
  <c r="O14" i="2"/>
  <c r="O9" i="2"/>
  <c r="A9" i="2"/>
  <c r="A8" i="2"/>
  <c r="A7" i="2"/>
  <c r="J21" i="1"/>
  <c r="F21" i="1"/>
  <c r="J20" i="1"/>
  <c r="F20" i="1"/>
  <c r="F18" i="1"/>
  <c r="F15" i="1"/>
  <c r="P22" i="5" l="1"/>
  <c r="P24" i="5"/>
  <c r="P27" i="5"/>
  <c r="F45" i="5"/>
  <c r="D42" i="5"/>
  <c r="H42" i="5"/>
  <c r="E60" i="5"/>
  <c r="E61" i="5" s="1"/>
  <c r="P16" i="5"/>
  <c r="I42" i="5"/>
  <c r="P25" i="5"/>
  <c r="I60" i="5"/>
  <c r="I61" i="5" s="1"/>
  <c r="P16" i="4"/>
  <c r="D178" i="3" s="1"/>
  <c r="D27" i="2" s="1"/>
  <c r="D21" i="1" s="1"/>
  <c r="D154" i="3"/>
  <c r="D24" i="2" s="1"/>
  <c r="F24" i="2" s="1"/>
  <c r="D120" i="3"/>
  <c r="F26" i="2"/>
  <c r="D105" i="3"/>
  <c r="D17" i="2" s="1"/>
  <c r="F17" i="2" s="1"/>
  <c r="F27" i="2"/>
  <c r="D140" i="3"/>
  <c r="D22" i="2" s="1"/>
  <c r="H23" i="1"/>
  <c r="H24" i="1" s="1"/>
  <c r="H26" i="1" s="1"/>
  <c r="J18" i="1"/>
  <c r="J15" i="1"/>
  <c r="D23" i="3"/>
  <c r="K33" i="2"/>
  <c r="F19" i="1"/>
  <c r="J19" i="1" s="1"/>
  <c r="M26" i="2"/>
  <c r="M42" i="5"/>
  <c r="P21" i="7"/>
  <c r="F22" i="2"/>
  <c r="D147" i="3"/>
  <c r="D23" i="2" s="1"/>
  <c r="F23" i="2" s="1"/>
  <c r="E123" i="4"/>
  <c r="E125" i="4" s="1"/>
  <c r="I123" i="4"/>
  <c r="I125" i="4" s="1"/>
  <c r="P63" i="4"/>
  <c r="D69" i="3" s="1"/>
  <c r="D75" i="3" s="1"/>
  <c r="P69" i="4"/>
  <c r="D81" i="3" s="1"/>
  <c r="P89" i="4"/>
  <c r="D130" i="3" s="1"/>
  <c r="D133" i="3" s="1"/>
  <c r="F17" i="8"/>
  <c r="D83" i="3"/>
  <c r="O22" i="2"/>
  <c r="G15" i="8" s="1"/>
  <c r="A6" i="6"/>
  <c r="A6" i="7"/>
  <c r="G113" i="4"/>
  <c r="P47" i="4"/>
  <c r="D45" i="3" s="1"/>
  <c r="D55" i="3" s="1"/>
  <c r="P58" i="4"/>
  <c r="D61" i="3" s="1"/>
  <c r="P60" i="4"/>
  <c r="D63" i="3" s="1"/>
  <c r="A7" i="7"/>
  <c r="A7" i="5"/>
  <c r="P30" i="4"/>
  <c r="P32" i="5"/>
  <c r="E42" i="5"/>
  <c r="L60" i="5"/>
  <c r="L61" i="5" s="1"/>
  <c r="L123" i="4"/>
  <c r="L125" i="4" s="1"/>
  <c r="A7" i="6"/>
  <c r="P16" i="6"/>
  <c r="D30" i="6"/>
  <c r="A8" i="7"/>
  <c r="A8" i="5"/>
  <c r="A8" i="6"/>
  <c r="E113" i="4"/>
  <c r="I113" i="4"/>
  <c r="K60" i="5"/>
  <c r="K61" i="5" s="1"/>
  <c r="K123" i="4"/>
  <c r="K125" i="4" s="1"/>
  <c r="O60" i="5"/>
  <c r="O61" i="5" s="1"/>
  <c r="O46" i="5"/>
  <c r="O102" i="4" s="1"/>
  <c r="O123" i="4" s="1"/>
  <c r="O125" i="4" s="1"/>
  <c r="P38" i="5"/>
  <c r="J30" i="6"/>
  <c r="P22" i="6"/>
  <c r="P23" i="7"/>
  <c r="P59" i="7"/>
  <c r="P28" i="4"/>
  <c r="D29" i="3" s="1"/>
  <c r="D31" i="3" s="1"/>
  <c r="G42" i="5"/>
  <c r="P21" i="5"/>
  <c r="D60" i="5"/>
  <c r="D61" i="5" s="1"/>
  <c r="D45" i="5"/>
  <c r="H60" i="5"/>
  <c r="H61" i="5" s="1"/>
  <c r="H45" i="5"/>
  <c r="N46" i="5"/>
  <c r="F30" i="6"/>
  <c r="N32" i="6"/>
  <c r="N34" i="6" s="1"/>
  <c r="E55" i="7"/>
  <c r="E57" i="7" s="1"/>
  <c r="E58" i="7" s="1"/>
  <c r="I55" i="7"/>
  <c r="P33" i="7"/>
  <c r="K66" i="7"/>
  <c r="K68" i="7" s="1"/>
  <c r="K55" i="7"/>
  <c r="O66" i="7"/>
  <c r="O68" i="7" s="1"/>
  <c r="O55" i="7"/>
  <c r="J42" i="5"/>
  <c r="N42" i="5"/>
  <c r="G45" i="5"/>
  <c r="L30" i="6"/>
  <c r="P45" i="7"/>
  <c r="M55" i="7"/>
  <c r="M66" i="7"/>
  <c r="M68" i="7" s="1"/>
  <c r="O42" i="5"/>
  <c r="M30" i="6"/>
  <c r="J55" i="7"/>
  <c r="N55" i="7"/>
  <c r="J66" i="7"/>
  <c r="J68" i="7" s="1"/>
  <c r="N66" i="7"/>
  <c r="N68" i="7" s="1"/>
  <c r="P55" i="7" l="1"/>
  <c r="P30" i="6"/>
  <c r="P42" i="5"/>
  <c r="D21" i="2"/>
  <c r="F21" i="2" s="1"/>
  <c r="D20" i="2"/>
  <c r="F20" i="2" s="1"/>
  <c r="D65" i="3"/>
  <c r="D18" i="1"/>
  <c r="G19" i="8"/>
  <c r="G23" i="8" s="1"/>
  <c r="J60" i="5"/>
  <c r="J61" i="5" s="1"/>
  <c r="P44" i="5"/>
  <c r="M123" i="4"/>
  <c r="M125" i="4" s="1"/>
  <c r="M60" i="5"/>
  <c r="M61" i="5" s="1"/>
  <c r="P34" i="6"/>
  <c r="D19" i="2"/>
  <c r="F19" i="2" s="1"/>
  <c r="K113" i="4"/>
  <c r="D37" i="3"/>
  <c r="D39" i="3" s="1"/>
  <c r="P57" i="7"/>
  <c r="N102" i="4"/>
  <c r="N123" i="4" s="1"/>
  <c r="N125" i="4" s="1"/>
  <c r="P58" i="7"/>
  <c r="P64" i="5"/>
  <c r="P32" i="6"/>
  <c r="L113" i="4"/>
  <c r="D33" i="3"/>
  <c r="D14" i="2" l="1"/>
  <c r="P33" i="6"/>
  <c r="O28" i="2"/>
  <c r="F23" i="1"/>
  <c r="M113" i="4"/>
  <c r="N15" i="4"/>
  <c r="D18" i="2"/>
  <c r="P46" i="5"/>
  <c r="P45" i="5" s="1"/>
  <c r="F18" i="2" l="1"/>
  <c r="N113" i="4"/>
  <c r="O15" i="4"/>
  <c r="O113" i="4" s="1"/>
  <c r="J23" i="1"/>
  <c r="J24" i="1" s="1"/>
  <c r="J26" i="1" s="1"/>
  <c r="J30" i="1" s="1"/>
  <c r="F24" i="1"/>
  <c r="F26" i="1" s="1"/>
  <c r="F30" i="1" s="1"/>
  <c r="D15" i="1"/>
  <c r="F14" i="2"/>
  <c r="J123" i="4"/>
  <c r="J125" i="4" s="1"/>
  <c r="P102" i="4"/>
  <c r="J113" i="4"/>
  <c r="P15" i="4"/>
  <c r="D177" i="3" s="1"/>
  <c r="M28" i="2"/>
  <c r="M31" i="2" s="1"/>
  <c r="M33" i="2" s="1"/>
  <c r="O31" i="2"/>
  <c r="O33" i="2" s="1"/>
  <c r="D159" i="3" l="1"/>
  <c r="D168" i="3" s="1"/>
  <c r="P119" i="4"/>
  <c r="F174" i="3" s="1"/>
  <c r="P122" i="4"/>
  <c r="D25" i="2" l="1"/>
  <c r="D174" i="3"/>
  <c r="G174" i="3" l="1"/>
  <c r="F25" i="2"/>
  <c r="D19" i="1"/>
  <c r="E15" i="8"/>
  <c r="E19" i="8" l="1"/>
  <c r="E23" i="8" s="1"/>
  <c r="N12" i="4" s="1"/>
  <c r="F15" i="8"/>
  <c r="F19" i="8" s="1"/>
  <c r="O12" i="4" l="1"/>
  <c r="D179" i="3"/>
  <c r="D23" i="1"/>
  <c r="D24" i="1" s="1"/>
  <c r="D26" i="1" s="1"/>
  <c r="D30" i="1" s="1"/>
  <c r="F23" i="8"/>
  <c r="D28" i="2" l="1"/>
  <c r="D181" i="3"/>
  <c r="D183" i="3" s="1"/>
  <c r="P12" i="4"/>
  <c r="P113" i="4" s="1"/>
  <c r="F28" i="2" l="1"/>
  <c r="F31" i="2" s="1"/>
  <c r="F33" i="2" s="1"/>
  <c r="D31" i="2"/>
  <c r="D33" i="2" s="1"/>
</calcChain>
</file>

<file path=xl/sharedStrings.xml><?xml version="1.0" encoding="utf-8"?>
<sst xmlns="http://schemas.openxmlformats.org/spreadsheetml/2006/main" count="645" uniqueCount="368">
  <si>
    <t>Operating Income Summary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</si>
  <si>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</si>
  <si>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</si>
  <si>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</si>
  <si>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</si>
  <si>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</si>
  <si>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Densman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</si>
  <si>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</si>
  <si>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</si>
  <si>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</si>
  <si>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</si>
  <si>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</si>
  <si>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</si>
  <si>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</si>
  <si>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</si>
  <si>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</si>
  <si>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</si>
  <si>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</si>
  <si>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</si>
  <si>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</si>
  <si>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</si>
  <si>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</si>
  <si>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</si>
  <si>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</si>
  <si>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</si>
  <si>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</si>
  <si>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</si>
  <si>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</si>
  <si>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</si>
  <si>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</si>
  <si>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</si>
  <si>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</si>
  <si>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</si>
  <si>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</si>
  <si>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</si>
  <si>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</si>
  <si>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</si>
  <si>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</si>
  <si>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</si>
  <si>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</si>
  <si>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</si>
  <si>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</si>
  <si>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</si>
  <si>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</si>
  <si>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</si>
  <si>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</si>
  <si>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</si>
  <si>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</si>
  <si>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</si>
  <si>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</si>
  <si>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</si>
  <si>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</si>
  <si>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</si>
  <si>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</si>
  <si>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</si>
  <si>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</si>
  <si>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</si>
  <si>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</si>
  <si>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F-10, F-11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</si>
  <si>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</si>
  <si>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</si>
  <si>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</si>
  <si>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</si>
  <si>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</si>
  <si>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</si>
  <si>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</si>
  <si>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</si>
  <si>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</si>
  <si>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</si>
  <si>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</si>
  <si>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</si>
  <si>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</si>
  <si>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</si>
  <si>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</si>
  <si>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</si>
  <si>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</si>
  <si>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</si>
  <si>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</si>
  <si>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</si>
  <si>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</si>
  <si>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</si>
  <si>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</si>
  <si>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</si>
  <si>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</si>
  <si>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</si>
  <si>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</si>
  <si>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</si>
  <si>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</si>
  <si>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</si>
  <si>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>Provision for Rate Refunds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</si>
  <si>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</si>
  <si>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</si>
  <si>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</si>
  <si>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</si>
  <si>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</si>
  <si>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</si>
  <si>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</si>
  <si>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</si>
  <si>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</si>
  <si>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</si>
  <si>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</si>
  <si>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</si>
  <si>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</si>
  <si>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</si>
  <si>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</si>
  <si>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</si>
  <si>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</si>
  <si>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</si>
  <si>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</si>
  <si>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</si>
  <si>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</si>
  <si>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</si>
  <si>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</si>
  <si>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</si>
  <si>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</si>
  <si>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</si>
  <si>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</si>
  <si>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</si>
  <si>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</si>
  <si>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</si>
  <si>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</si>
  <si>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</si>
  <si>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</si>
  <si>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</si>
  <si>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</si>
  <si>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</si>
  <si>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</si>
  <si>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</si>
  <si>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</si>
  <si>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</si>
  <si>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</si>
  <si>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</si>
  <si>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</si>
  <si>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</si>
  <si>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</si>
  <si>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</si>
  <si>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</si>
  <si>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</si>
  <si>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</si>
  <si>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</si>
  <si>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</si>
  <si>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</si>
  <si>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</si>
  <si>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</si>
  <si>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</si>
  <si>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</si>
  <si>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</si>
  <si>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</si>
  <si>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</si>
  <si>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</si>
  <si>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</si>
  <si>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</si>
  <si>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</si>
  <si>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</si>
  <si>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</si>
  <si>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</si>
  <si>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</si>
  <si>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</si>
  <si>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</si>
  <si>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</si>
  <si>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</si>
  <si>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</si>
  <si>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</si>
  <si>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</si>
  <si>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</si>
  <si>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</si>
  <si>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</si>
  <si>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</si>
  <si>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</si>
  <si>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</si>
  <si>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</si>
  <si>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</si>
  <si>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</si>
  <si>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</si>
  <si>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</si>
  <si>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</si>
  <si>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</si>
  <si>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</si>
  <si>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</si>
  <si>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</si>
  <si>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</si>
  <si>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</si>
  <si>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</si>
  <si>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</si>
  <si>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</si>
  <si>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</si>
  <si>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</si>
  <si>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</si>
  <si>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</si>
  <si>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</si>
  <si>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</si>
  <si>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</si>
  <si>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</si>
  <si>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</si>
  <si>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</si>
  <si>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</si>
  <si>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</si>
  <si>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</si>
  <si>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</si>
  <si>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</si>
  <si>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</si>
  <si>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</si>
  <si>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</si>
  <si>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</si>
  <si>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</si>
  <si>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</si>
  <si>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 xml:space="preserve">Depreciation </t>
  </si>
  <si>
    <t>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</si>
  <si>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</si>
  <si>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</si>
  <si>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</si>
  <si>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</si>
  <si>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</si>
  <si>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</si>
  <si>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</si>
  <si>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</si>
  <si>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</si>
  <si>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</si>
  <si>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</si>
  <si>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</si>
  <si>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</si>
  <si>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</si>
  <si>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</si>
  <si>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 xml:space="preserve"> 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</si>
  <si>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</si>
  <si>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</si>
  <si>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</si>
  <si>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</si>
  <si>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</si>
  <si>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</si>
  <si>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</si>
  <si>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</si>
  <si>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</si>
  <si>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</si>
  <si>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</si>
  <si>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</si>
  <si>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</si>
  <si>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</si>
  <si>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</si>
  <si>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</si>
  <si>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</si>
  <si>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</si>
  <si>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</si>
  <si>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</si>
  <si>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</si>
  <si>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</si>
  <si>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</si>
  <si>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</si>
  <si>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</si>
  <si>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</si>
  <si>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</si>
  <si>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</si>
  <si>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</si>
  <si>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</si>
  <si>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</si>
  <si>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</si>
  <si>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</si>
  <si>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</si>
  <si>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</si>
  <si>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</si>
  <si>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</si>
  <si>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</si>
  <si>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</si>
  <si>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</si>
  <si>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</si>
  <si>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</si>
  <si>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</si>
  <si>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</si>
  <si>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</si>
  <si>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</si>
  <si>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</si>
  <si>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</si>
  <si>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</si>
  <si>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</si>
  <si>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</si>
  <si>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</si>
  <si>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</si>
  <si>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</si>
  <si>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</si>
  <si>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</si>
  <si>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</si>
  <si>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</si>
  <si>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</si>
  <si>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</si>
  <si>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</si>
  <si>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</si>
  <si>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</si>
  <si>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</si>
  <si>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</si>
  <si>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</si>
  <si>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</si>
  <si>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</si>
  <si>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</si>
  <si>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</si>
  <si>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</si>
  <si>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</si>
  <si>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</si>
  <si>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</si>
  <si>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</si>
  <si>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</si>
  <si>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</si>
  <si>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</si>
  <si>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</si>
  <si>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</si>
  <si>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</si>
  <si>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</si>
  <si>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</si>
  <si>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</si>
  <si>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</si>
  <si>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</si>
  <si>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</si>
  <si>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</si>
  <si>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</si>
  <si>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</si>
  <si>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</si>
  <si>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</si>
  <si>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</si>
  <si>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Jan18-Jun18.xlsx</t>
  </si>
  <si>
    <t>OM for KY-2018.xlsx</t>
  </si>
  <si>
    <t>Div 009 Direct O&amp;M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</si>
  <si>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</si>
  <si>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Mains Expenses</t>
  </si>
  <si>
    <t>Sales-Miscellaneous sales expenses</t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</si>
  <si>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</si>
  <si>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</si>
  <si>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</si>
  <si>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</si>
  <si>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</si>
  <si>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t>SSU Direct O&amp;M</t>
  </si>
  <si>
    <t>O&amp;M Comparison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</si>
  <si>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</si>
  <si>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C.2.2 Jurirep 9220.xlsx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</si>
  <si>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</si>
  <si>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</si>
  <si>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</si>
  <si>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C2.2 Jurirep Acct 9220.xlsx</t>
  </si>
  <si>
    <t>Computation of State &amp; Federal Income Tax</t>
  </si>
  <si>
    <t>FR 16(8)(e)</t>
  </si>
  <si>
    <t>Schedule   E</t>
  </si>
  <si>
    <t>Witness:  Waller, Story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</si>
  <si>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</si>
  <si>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</si>
  <si>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</si>
  <si>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</si>
  <si>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</si>
  <si>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</si>
  <si>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</si>
  <si>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</si>
  <si>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</si>
  <si>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</si>
  <si>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</si>
  <si>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</si>
  <si>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</si>
  <si>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</si>
  <si>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</si>
  <si>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</si>
  <si>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</si>
  <si>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</si>
  <si>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</si>
  <si>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>State Tax Rate</t>
  </si>
  <si>
    <t>Federal Tax Rate</t>
  </si>
  <si>
    <t>Atmos Energy Corporation, Kentucky/Mid-States Division</t>
  </si>
  <si>
    <t>Kentucky Jurisdiction Case No. 2018-00281</t>
  </si>
  <si>
    <t>Forecasted Test Period: Twelve Months Ended March 31, 2020</t>
  </si>
  <si>
    <t>Base Period: Twelve Months Ended December 31, 2018</t>
  </si>
  <si>
    <t>Storage-Rents</t>
  </si>
  <si>
    <t>NSC-Employee pensions</t>
  </si>
  <si>
    <t xml:space="preserve"> 2018 * * Composite Tax Rate Calculation:  5.00% + 21%(100% - 5.00%)  =  24.95%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</si>
</sst>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</numFmts>
  <fonts count="23">
    <font>
      <sz val="12"/>
      <name val="Helvetica-Narrow"/>
      <family val="2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/>
  </cellStyleXfs>
  <cellXfs count="278">
    <xf numFmtId="37" fontId="0" fillId="0" borderId="0" xfId="0"/>
    <xf numFmtId="37" fontId="1" fillId="0" borderId="0" xfId="0" applyFont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Fill="1" applyBorder="1" applyAlignment="1" applyProtection="1">
      <alignment horizontal="right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2" fillId="0" borderId="0" xfId="0" applyFont="1"/>
    <xf numFmtId="37" fontId="1" fillId="0" borderId="1" xfId="0" applyFont="1" applyBorder="1" applyAlignment="1" applyProtection="1">
      <alignment horizontal="center"/>
    </xf>
    <xf numFmtId="37" fontId="3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1" fillId="0" borderId="0" xfId="0" applyFont="1" applyFill="1"/>
    <xf numFmtId="37" fontId="4" fillId="0" borderId="0" xfId="0" applyFont="1"/>
    <xf numFmtId="164" fontId="1" fillId="0" borderId="0" xfId="2" applyNumberFormat="1" applyFont="1" applyFill="1" applyProtection="1"/>
    <xf numFmtId="37" fontId="1" fillId="0" borderId="0" xfId="0" applyNumberFormat="1" applyFont="1" applyProtection="1"/>
    <xf numFmtId="164" fontId="1" fillId="0" borderId="0" xfId="2" applyNumberFormat="1" applyFont="1" applyProtection="1"/>
    <xf numFmtId="165" fontId="2" fillId="0" borderId="0" xfId="3" applyNumberFormat="1" applyFont="1" applyProtection="1"/>
    <xf numFmtId="166" fontId="4" fillId="0" borderId="0" xfId="1" applyNumberFormat="1" applyFont="1" applyFill="1" applyProtection="1"/>
    <xf numFmtId="37" fontId="4" fillId="0" borderId="0" xfId="0" applyNumberFormat="1" applyFont="1" applyProtection="1"/>
    <xf numFmtId="166" fontId="2" fillId="0" borderId="0" xfId="1" applyNumberFormat="1" applyFont="1" applyFill="1" applyProtection="1"/>
    <xf numFmtId="37" fontId="1" fillId="0" borderId="0" xfId="0" applyNumberFormat="1" applyFont="1" applyFill="1" applyProtection="1"/>
    <xf numFmtId="37" fontId="2" fillId="0" borderId="0" xfId="0" applyNumberFormat="1" applyFont="1" applyProtection="1"/>
    <xf numFmtId="37" fontId="4" fillId="0" borderId="0" xfId="0" applyNumberFormat="1" applyFont="1" applyFill="1" applyProtection="1"/>
    <xf numFmtId="37" fontId="2" fillId="0" borderId="0" xfId="0" applyFont="1" applyFill="1"/>
    <xf numFmtId="37" fontId="2" fillId="0" borderId="0" xfId="0" applyNumberFormat="1" applyFont="1" applyFill="1" applyProtection="1"/>
    <xf numFmtId="37" fontId="1" fillId="0" borderId="0" xfId="0" applyFont="1" applyAlignment="1" applyProtection="1">
      <alignment horizontal="left" indent="1"/>
    </xf>
    <xf numFmtId="166" fontId="1" fillId="0" borderId="0" xfId="1" applyNumberFormat="1" applyFont="1" applyFill="1" applyProtection="1"/>
    <xf numFmtId="166" fontId="1" fillId="0" borderId="0" xfId="1" applyNumberFormat="1" applyFont="1" applyFill="1"/>
    <xf numFmtId="166" fontId="2" fillId="0" borderId="0" xfId="1" applyNumberFormat="1" applyFont="1" applyFill="1"/>
    <xf numFmtId="167" fontId="6" fillId="0" borderId="0" xfId="0" applyNumberFormat="1" applyFont="1" applyFill="1" applyProtection="1"/>
    <xf numFmtId="166" fontId="1" fillId="0" borderId="0" xfId="1" applyNumberFormat="1" applyFont="1" applyProtection="1"/>
    <xf numFmtId="167" fontId="1" fillId="0" borderId="0" xfId="0" applyNumberFormat="1" applyFont="1" applyProtection="1"/>
    <xf numFmtId="166" fontId="1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Protection="1"/>
    <xf numFmtId="166" fontId="1" fillId="0" borderId="1" xfId="1" applyNumberFormat="1" applyFont="1" applyFill="1" applyBorder="1" applyProtection="1"/>
    <xf numFmtId="166" fontId="1" fillId="0" borderId="2" xfId="1" applyNumberFormat="1" applyFont="1" applyBorder="1" applyProtection="1"/>
    <xf numFmtId="164" fontId="1" fillId="0" borderId="3" xfId="2" applyNumberFormat="1" applyFont="1" applyBorder="1" applyProtection="1"/>
    <xf numFmtId="164" fontId="1" fillId="0" borderId="3" xfId="2" applyNumberFormat="1" applyFont="1" applyFill="1" applyBorder="1" applyProtection="1"/>
    <xf numFmtId="10" fontId="1" fillId="0" borderId="0" xfId="0" applyNumberFormat="1" applyFont="1" applyBorder="1" applyProtection="1"/>
    <xf numFmtId="10" fontId="1" fillId="0" borderId="0" xfId="0" applyNumberFormat="1" applyFont="1" applyProtection="1"/>
    <xf numFmtId="10" fontId="2" fillId="0" borderId="0" xfId="0" applyNumberFormat="1" applyFont="1" applyBorder="1" applyProtection="1"/>
    <xf numFmtId="37" fontId="7" fillId="0" borderId="0" xfId="0" applyFont="1" applyAlignment="1">
      <alignment horizontal="right"/>
    </xf>
    <xf numFmtId="37" fontId="7" fillId="0" borderId="0" xfId="0" applyFont="1"/>
    <xf numFmtId="37" fontId="1" fillId="0" borderId="0" xfId="0" applyFont="1" applyProtection="1">
      <protection locked="0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Alignment="1" applyProtection="1">
      <alignment horizontal="right"/>
      <protection locked="0"/>
    </xf>
    <xf numFmtId="37" fontId="1" fillId="0" borderId="2" xfId="0" applyFont="1" applyBorder="1" applyAlignment="1" applyProtection="1">
      <alignment horizontal="left"/>
    </xf>
    <xf numFmtId="37" fontId="1" fillId="0" borderId="1" xfId="0" applyFont="1" applyBorder="1" applyAlignment="1" applyProtection="1">
      <alignment horizontal="left"/>
      <protection locked="0"/>
    </xf>
    <xf numFmtId="37" fontId="1" fillId="0" borderId="2" xfId="0" applyFont="1" applyBorder="1"/>
    <xf numFmtId="37" fontId="1" fillId="0" borderId="1" xfId="0" applyFont="1" applyBorder="1" applyAlignment="1" applyProtection="1">
      <alignment horizontal="right"/>
      <protection locked="0"/>
    </xf>
    <xf numFmtId="37" fontId="3" fillId="0" borderId="0" xfId="0" applyFont="1" applyProtection="1">
      <protection locked="0"/>
    </xf>
    <xf numFmtId="37" fontId="1" fillId="0" borderId="0" xfId="0" applyFont="1" applyAlignment="1" applyProtection="1">
      <alignment horizontal="center"/>
      <protection locked="0"/>
    </xf>
    <xf numFmtId="37" fontId="1" fillId="0" borderId="1" xfId="0" applyFont="1" applyBorder="1" applyAlignment="1" applyProtection="1">
      <alignment horizontal="center"/>
      <protection locked="0"/>
    </xf>
    <xf numFmtId="37" fontId="1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1" fillId="0" borderId="2" xfId="0" applyFont="1" applyBorder="1" applyAlignment="1">
      <alignment horizontal="center"/>
    </xf>
    <xf numFmtId="37" fontId="3" fillId="0" borderId="0" xfId="0" applyFont="1"/>
    <xf numFmtId="37" fontId="1" fillId="0" borderId="0" xfId="0" applyFont="1" applyFill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4" fontId="1" fillId="0" borderId="0" xfId="2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  <protection locked="0"/>
    </xf>
    <xf numFmtId="37" fontId="1" fillId="0" borderId="0" xfId="0" applyNumberFormat="1" applyFont="1" applyFill="1" applyProtection="1">
      <protection locked="0"/>
    </xf>
    <xf numFmtId="37" fontId="1" fillId="0" borderId="0" xfId="0" applyNumberFormat="1" applyFont="1" applyProtection="1">
      <protection locked="0"/>
    </xf>
    <xf numFmtId="168" fontId="1" fillId="0" borderId="0" xfId="0" applyNumberFormat="1" applyFont="1" applyAlignment="1">
      <alignment horizontal="center"/>
    </xf>
    <xf numFmtId="37" fontId="1" fillId="0" borderId="0" xfId="0" applyNumberFormat="1" applyFont="1" applyFill="1"/>
    <xf numFmtId="166" fontId="1" fillId="0" borderId="0" xfId="1" applyNumberFormat="1" applyFont="1" applyFill="1" applyProtection="1">
      <protection locked="0"/>
    </xf>
    <xf numFmtId="166" fontId="1" fillId="0" borderId="0" xfId="1" quotePrefix="1" applyNumberFormat="1" applyFont="1" applyFill="1" applyProtection="1"/>
    <xf numFmtId="37" fontId="8" fillId="0" borderId="0" xfId="0" applyFont="1"/>
    <xf numFmtId="37" fontId="1" fillId="0" borderId="0" xfId="0" applyFont="1" applyAlignment="1" applyProtection="1">
      <alignment horizontal="left" indent="1"/>
      <protection locked="0"/>
    </xf>
    <xf numFmtId="37" fontId="1" fillId="0" borderId="0" xfId="0" applyFont="1" applyFill="1" applyAlignment="1">
      <alignment horizontal="center"/>
    </xf>
    <xf numFmtId="166" fontId="1" fillId="0" borderId="0" xfId="1" quotePrefix="1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</xf>
    <xf numFmtId="169" fontId="8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1" fillId="0" borderId="0" xfId="0" applyFont="1" applyFill="1" applyAlignment="1" applyProtection="1">
      <alignment horizontal="left" indent="1"/>
      <protection locked="0"/>
    </xf>
    <xf numFmtId="10" fontId="8" fillId="0" borderId="0" xfId="0" applyNumberFormat="1" applyFont="1" applyProtection="1"/>
    <xf numFmtId="37" fontId="1" fillId="0" borderId="1" xfId="0" applyNumberFormat="1" applyFont="1" applyBorder="1" applyProtection="1"/>
    <xf numFmtId="37" fontId="1" fillId="0" borderId="1" xfId="0" applyNumberFormat="1" applyFont="1" applyBorder="1" applyProtection="1">
      <protection locked="0"/>
    </xf>
    <xf numFmtId="37" fontId="1" fillId="0" borderId="2" xfId="0" applyNumberFormat="1" applyFont="1" applyBorder="1" applyProtection="1">
      <protection locked="0"/>
    </xf>
    <xf numFmtId="37" fontId="1" fillId="0" borderId="2" xfId="0" applyNumberFormat="1" applyFont="1" applyBorder="1" applyProtection="1"/>
    <xf numFmtId="37" fontId="1" fillId="0" borderId="0" xfId="0" applyNumberFormat="1" applyFont="1"/>
    <xf numFmtId="169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1" fillId="0" borderId="0" xfId="0" quotePrefix="1" applyNumberFormat="1" applyFont="1" applyProtection="1"/>
    <xf numFmtId="37" fontId="4" fillId="0" borderId="0" xfId="0" applyFont="1" applyAlignment="1">
      <alignment horizontal="right"/>
    </xf>
    <xf numFmtId="37" fontId="4" fillId="0" borderId="0" xfId="0" quotePrefix="1" applyNumberFormat="1" applyFont="1" applyProtection="1"/>
    <xf numFmtId="37" fontId="9" fillId="0" borderId="0" xfId="0" quotePrefix="1" applyFont="1"/>
    <xf numFmtId="37" fontId="10" fillId="0" borderId="0" xfId="0" quotePrefix="1" applyFont="1"/>
    <xf numFmtId="37" fontId="1" fillId="0" borderId="0" xfId="0" applyFont="1" applyBorder="1"/>
    <xf numFmtId="37" fontId="4" fillId="0" borderId="0" xfId="0" applyNumberFormat="1" applyFont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Continuous"/>
      <protection locked="0"/>
    </xf>
    <xf numFmtId="37" fontId="11" fillId="0" borderId="0" xfId="0" applyFont="1" applyAlignment="1">
      <alignment horizontal="centerContinuous"/>
    </xf>
    <xf numFmtId="37" fontId="11" fillId="0" borderId="0" xfId="0" applyFont="1" applyAlignment="1" applyProtection="1">
      <alignment horizontal="left"/>
    </xf>
    <xf numFmtId="37" fontId="11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  <protection locked="0"/>
    </xf>
    <xf numFmtId="37" fontId="11" fillId="0" borderId="1" xfId="0" applyFont="1" applyBorder="1" applyAlignment="1" applyProtection="1">
      <alignment horizontal="left"/>
    </xf>
    <xf numFmtId="37" fontId="11" fillId="0" borderId="1" xfId="0" applyFont="1" applyBorder="1"/>
    <xf numFmtId="37" fontId="11" fillId="0" borderId="2" xfId="0" applyFont="1" applyBorder="1" applyAlignment="1">
      <alignment horizontal="right"/>
    </xf>
    <xf numFmtId="37" fontId="11" fillId="0" borderId="0" xfId="0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/>
      <protection locked="0"/>
    </xf>
    <xf numFmtId="37" fontId="11" fillId="0" borderId="1" xfId="0" applyFont="1" applyBorder="1" applyAlignment="1" applyProtection="1">
      <alignment horizontal="left"/>
      <protection locked="0"/>
    </xf>
    <xf numFmtId="37" fontId="11" fillId="0" borderId="1" xfId="0" applyFont="1" applyBorder="1" applyAlignment="1" applyProtection="1">
      <alignment horizontal="center"/>
      <protection locked="0"/>
    </xf>
    <xf numFmtId="37" fontId="11" fillId="0" borderId="0" xfId="0" applyFont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37" fontId="11" fillId="0" borderId="0" xfId="0" applyFont="1" applyFill="1"/>
    <xf numFmtId="170" fontId="11" fillId="0" borderId="0" xfId="0" applyNumberFormat="1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 indent="2"/>
      <protection locked="0"/>
    </xf>
    <xf numFmtId="164" fontId="11" fillId="0" borderId="0" xfId="2" applyNumberFormat="1" applyFont="1" applyFill="1" applyProtection="1"/>
    <xf numFmtId="10" fontId="11" fillId="0" borderId="0" xfId="3" applyNumberFormat="1" applyFont="1"/>
    <xf numFmtId="170" fontId="11" fillId="0" borderId="0" xfId="0" applyNumberFormat="1" applyFont="1" applyFill="1" applyAlignment="1" applyProtection="1">
      <alignment horizontal="center"/>
      <protection locked="0"/>
    </xf>
    <xf numFmtId="37" fontId="11" fillId="0" borderId="0" xfId="0" applyFont="1" applyFill="1" applyAlignment="1" applyProtection="1">
      <alignment horizontal="left" indent="2"/>
      <protection locked="0"/>
    </xf>
    <xf numFmtId="166" fontId="11" fillId="0" borderId="0" xfId="1" applyNumberFormat="1" applyFont="1" applyFill="1" applyProtection="1"/>
    <xf numFmtId="166" fontId="11" fillId="0" borderId="2" xfId="1" applyNumberFormat="1" applyFont="1" applyFill="1" applyBorder="1" applyProtection="1"/>
    <xf numFmtId="37" fontId="11" fillId="0" borderId="0" xfId="0" applyFont="1" applyAlignment="1">
      <alignment horizontal="center"/>
    </xf>
    <xf numFmtId="166" fontId="11" fillId="0" borderId="0" xfId="1" applyNumberFormat="1" applyFont="1" applyFill="1" applyProtection="1">
      <protection locked="0"/>
    </xf>
    <xf numFmtId="170" fontId="11" fillId="0" borderId="0" xfId="0" applyNumberFormat="1" applyFont="1" applyBorder="1" applyAlignment="1" applyProtection="1">
      <alignment horizontal="center"/>
      <protection locked="0"/>
    </xf>
    <xf numFmtId="37" fontId="11" fillId="0" borderId="0" xfId="0" applyFont="1" applyBorder="1" applyAlignment="1" applyProtection="1">
      <alignment horizontal="left" indent="2"/>
      <protection locked="0"/>
    </xf>
    <xf numFmtId="37" fontId="13" fillId="0" borderId="0" xfId="0" applyFont="1"/>
    <xf numFmtId="164" fontId="11" fillId="0" borderId="4" xfId="2" applyNumberFormat="1" applyFont="1" applyFill="1" applyBorder="1" applyProtection="1"/>
    <xf numFmtId="37" fontId="13" fillId="0" borderId="0" xfId="0" applyFont="1" applyFill="1"/>
    <xf numFmtId="37" fontId="14" fillId="0" borderId="0" xfId="0" applyNumberFormat="1" applyFont="1" applyFill="1" applyProtection="1"/>
    <xf numFmtId="37" fontId="12" fillId="0" borderId="0" xfId="0" applyFont="1" applyAlignment="1" applyProtection="1">
      <alignment horizontal="left" indent="1"/>
      <protection locked="0"/>
    </xf>
    <xf numFmtId="166" fontId="11" fillId="0" borderId="0" xfId="1" applyNumberFormat="1" applyFont="1" applyFill="1"/>
    <xf numFmtId="170" fontId="11" fillId="0" borderId="0" xfId="0" applyNumberFormat="1" applyFont="1" applyAlignment="1" applyProtection="1">
      <alignment horizontal="center"/>
    </xf>
    <xf numFmtId="166" fontId="11" fillId="0" borderId="0" xfId="1" applyNumberFormat="1" applyFont="1" applyFill="1" applyBorder="1" applyProtection="1"/>
    <xf numFmtId="37" fontId="11" fillId="0" borderId="0" xfId="0" applyFont="1" applyAlignment="1" applyProtection="1">
      <alignment horizontal="left" indent="1"/>
      <protection locked="0"/>
    </xf>
    <xf numFmtId="164" fontId="11" fillId="0" borderId="2" xfId="2" applyNumberFormat="1" applyFont="1" applyFill="1" applyBorder="1" applyProtection="1"/>
    <xf numFmtId="164" fontId="11" fillId="0" borderId="0" xfId="2" applyNumberFormat="1" applyFont="1" applyFill="1" applyBorder="1" applyProtection="1"/>
    <xf numFmtId="170" fontId="11" fillId="0" borderId="0" xfId="0" applyNumberFormat="1" applyFont="1" applyAlignment="1">
      <alignment horizontal="center"/>
    </xf>
    <xf numFmtId="37" fontId="11" fillId="0" borderId="0" xfId="0" applyFont="1" applyAlignment="1" applyProtection="1">
      <alignment horizontal="left" indent="2"/>
    </xf>
    <xf numFmtId="37" fontId="11" fillId="0" borderId="0" xfId="0" quotePrefix="1" applyFont="1" applyAlignment="1">
      <alignment horizontal="center"/>
    </xf>
    <xf numFmtId="37" fontId="15" fillId="0" borderId="0" xfId="0" applyFont="1"/>
    <xf numFmtId="0" fontId="1" fillId="0" borderId="0" xfId="0" applyNumberFormat="1" applyFont="1" applyAlignment="1">
      <alignment horizontal="center"/>
    </xf>
    <xf numFmtId="37" fontId="0" fillId="0" borderId="0" xfId="0" applyFont="1"/>
    <xf numFmtId="37" fontId="12" fillId="0" borderId="0" xfId="0" applyFont="1" applyBorder="1" applyAlignment="1" applyProtection="1">
      <alignment horizontal="left" indent="1"/>
      <protection locked="0"/>
    </xf>
    <xf numFmtId="37" fontId="11" fillId="0" borderId="0" xfId="0" applyNumberFormat="1" applyFont="1" applyFill="1" applyProtection="1"/>
    <xf numFmtId="169" fontId="11" fillId="0" borderId="0" xfId="3" applyNumberFormat="1" applyFont="1"/>
    <xf numFmtId="171" fontId="11" fillId="0" borderId="0" xfId="0" applyNumberFormat="1" applyFont="1" applyAlignment="1" applyProtection="1">
      <alignment horizontal="center"/>
      <protection locked="0"/>
    </xf>
    <xf numFmtId="164" fontId="11" fillId="0" borderId="0" xfId="2" applyNumberFormat="1" applyFont="1" applyFill="1" applyProtection="1">
      <protection locked="0"/>
    </xf>
    <xf numFmtId="164" fontId="14" fillId="0" borderId="0" xfId="2" applyNumberFormat="1" applyFont="1" applyFill="1" applyProtection="1"/>
    <xf numFmtId="37" fontId="11" fillId="0" borderId="0" xfId="0" applyFont="1" applyAlignment="1" applyProtection="1">
      <protection locked="0"/>
    </xf>
    <xf numFmtId="37" fontId="11" fillId="0" borderId="0" xfId="0" applyFont="1" applyAlignment="1"/>
    <xf numFmtId="164" fontId="11" fillId="0" borderId="5" xfId="2" applyNumberFormat="1" applyFont="1" applyFill="1" applyBorder="1" applyProtection="1"/>
    <xf numFmtId="37" fontId="11" fillId="0" borderId="0" xfId="0" applyFont="1" applyAlignment="1" applyProtection="1"/>
    <xf numFmtId="37" fontId="1" fillId="0" borderId="0" xfId="0" applyFont="1" applyFill="1" applyBorder="1"/>
    <xf numFmtId="37" fontId="0" fillId="0" borderId="0" xfId="0" applyFill="1"/>
    <xf numFmtId="37" fontId="16" fillId="0" borderId="0" xfId="0" applyFont="1" applyFill="1" applyAlignment="1">
      <alignment horizontal="lef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right"/>
    </xf>
    <xf numFmtId="37" fontId="8" fillId="0" borderId="0" xfId="0" applyFont="1" applyFill="1"/>
    <xf numFmtId="37" fontId="1" fillId="0" borderId="0" xfId="0" applyFont="1" applyFill="1" applyAlignment="1" applyProtection="1">
      <alignment horizontal="right"/>
      <protection locked="0"/>
    </xf>
    <xf numFmtId="37" fontId="1" fillId="0" borderId="2" xfId="0" applyFont="1" applyFill="1" applyBorder="1" applyAlignment="1" applyProtection="1">
      <alignment horizontal="left"/>
    </xf>
    <xf numFmtId="37" fontId="1" fillId="0" borderId="2" xfId="0" applyFont="1" applyFill="1" applyBorder="1"/>
    <xf numFmtId="37" fontId="1" fillId="0" borderId="1" xfId="0" applyFont="1" applyFill="1" applyBorder="1"/>
    <xf numFmtId="37" fontId="1" fillId="0" borderId="1" xfId="0" applyFont="1" applyFill="1" applyBorder="1" applyAlignment="1" applyProtection="1">
      <alignment horizontal="right"/>
      <protection locked="0"/>
    </xf>
    <xf numFmtId="37" fontId="1" fillId="0" borderId="6" xfId="0" applyFont="1" applyFill="1" applyBorder="1" applyAlignment="1">
      <alignment horizontal="center"/>
    </xf>
    <xf numFmtId="37" fontId="1" fillId="0" borderId="4" xfId="0" applyFont="1" applyFill="1" applyBorder="1" applyAlignment="1">
      <alignment horizontal="center"/>
    </xf>
    <xf numFmtId="37" fontId="1" fillId="0" borderId="4" xfId="0" applyFont="1" applyFill="1" applyBorder="1" applyAlignment="1" applyProtection="1">
      <alignment horizontal="center"/>
      <protection locked="0"/>
    </xf>
    <xf numFmtId="37" fontId="8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1" fillId="0" borderId="7" xfId="0" applyFont="1" applyFill="1" applyBorder="1" applyAlignment="1">
      <alignment horizontal="center"/>
    </xf>
    <xf numFmtId="37" fontId="1" fillId="0" borderId="2" xfId="0" applyFont="1" applyFill="1" applyBorder="1" applyAlignment="1">
      <alignment horizontal="center"/>
    </xf>
    <xf numFmtId="37" fontId="1" fillId="0" borderId="2" xfId="0" applyFont="1" applyFill="1" applyBorder="1" applyAlignment="1" applyProtection="1">
      <alignment horizontal="center"/>
      <protection locked="0"/>
    </xf>
    <xf numFmtId="172" fontId="0" fillId="0" borderId="2" xfId="0" applyNumberFormat="1" applyFill="1" applyBorder="1" applyAlignment="1">
      <alignment horizontal="center"/>
    </xf>
    <xf numFmtId="37" fontId="1" fillId="0" borderId="8" xfId="0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7" fillId="0" borderId="0" xfId="0" applyFont="1"/>
    <xf numFmtId="37" fontId="11" fillId="0" borderId="0" xfId="0" applyFont="1" applyFill="1" applyAlignment="1">
      <alignment horizontal="right"/>
    </xf>
    <xf numFmtId="37" fontId="17" fillId="0" borderId="0" xfId="0" applyFont="1" applyFill="1"/>
    <xf numFmtId="170" fontId="1" fillId="0" borderId="0" xfId="0" applyNumberFormat="1" applyFont="1" applyFill="1" applyAlignment="1">
      <alignment horizontal="left"/>
    </xf>
    <xf numFmtId="37" fontId="18" fillId="0" borderId="0" xfId="0" applyFont="1" applyFill="1"/>
    <xf numFmtId="37" fontId="18" fillId="0" borderId="0" xfId="0" applyFont="1"/>
    <xf numFmtId="37" fontId="16" fillId="0" borderId="0" xfId="0" applyFont="1"/>
    <xf numFmtId="37" fontId="19" fillId="0" borderId="0" xfId="0" applyFont="1"/>
    <xf numFmtId="170" fontId="16" fillId="0" borderId="0" xfId="0" applyNumberFormat="1" applyFont="1" applyAlignment="1" applyProtection="1">
      <alignment horizontal="left"/>
      <protection locked="0"/>
    </xf>
    <xf numFmtId="0" fontId="16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left"/>
      <protection locked="0"/>
    </xf>
    <xf numFmtId="37" fontId="11" fillId="0" borderId="0" xfId="0" applyNumberFormat="1" applyFont="1" applyFill="1" applyBorder="1" applyProtection="1">
      <protection locked="0"/>
    </xf>
    <xf numFmtId="37" fontId="1" fillId="0" borderId="0" xfId="0" quotePrefix="1" applyFont="1" applyFill="1"/>
    <xf numFmtId="37" fontId="15" fillId="0" borderId="0" xfId="0" applyNumberFormat="1" applyFont="1" applyFill="1" applyBorder="1" applyProtection="1">
      <protection locked="0"/>
    </xf>
    <xf numFmtId="43" fontId="20" fillId="0" borderId="0" xfId="1" applyFont="1"/>
    <xf numFmtId="43" fontId="20" fillId="0" borderId="0" xfId="1" applyFont="1" applyFill="1"/>
    <xf numFmtId="5" fontId="1" fillId="0" borderId="3" xfId="0" applyNumberFormat="1" applyFont="1" applyBorder="1"/>
    <xf numFmtId="166" fontId="1" fillId="0" borderId="3" xfId="0" applyNumberFormat="1" applyFont="1" applyBorder="1"/>
    <xf numFmtId="5" fontId="1" fillId="0" borderId="0" xfId="0" applyNumberFormat="1" applyFont="1" applyBorder="1"/>
    <xf numFmtId="37" fontId="1" fillId="2" borderId="0" xfId="0" applyFont="1" applyFill="1"/>
    <xf numFmtId="10" fontId="1" fillId="0" borderId="0" xfId="3" applyNumberFormat="1" applyFont="1"/>
    <xf numFmtId="37" fontId="1" fillId="3" borderId="0" xfId="0" applyFont="1" applyFill="1"/>
    <xf numFmtId="37" fontId="0" fillId="3" borderId="0" xfId="0" applyFill="1"/>
    <xf numFmtId="37" fontId="8" fillId="0" borderId="0" xfId="0" applyFont="1" applyBorder="1"/>
    <xf numFmtId="39" fontId="0" fillId="0" borderId="0" xfId="0" applyNumberFormat="1"/>
    <xf numFmtId="37" fontId="1" fillId="0" borderId="0" xfId="0" applyFont="1" applyFill="1" applyAlignment="1">
      <alignment horizontal="centerContinuous"/>
    </xf>
    <xf numFmtId="37" fontId="3" fillId="0" borderId="0" xfId="0" applyFont="1" applyFill="1" applyAlignment="1">
      <alignment horizontal="centerContinuous"/>
    </xf>
    <xf numFmtId="37" fontId="21" fillId="0" borderId="0" xfId="0" applyFont="1" applyFill="1"/>
    <xf numFmtId="37" fontId="8" fillId="0" borderId="0" xfId="0" applyFont="1" applyFill="1" applyAlignment="1">
      <alignment horizontal="left"/>
    </xf>
    <xf numFmtId="37" fontId="1" fillId="0" borderId="1" xfId="0" applyFont="1" applyFill="1" applyBorder="1" applyAlignment="1" applyProtection="1">
      <alignment horizontal="left"/>
    </xf>
    <xf numFmtId="37" fontId="1" fillId="0" borderId="0" xfId="0" applyFont="1" applyFill="1" applyAlignment="1" applyProtection="1">
      <alignment horizontal="center"/>
      <protection locked="0"/>
    </xf>
    <xf numFmtId="37" fontId="1" fillId="4" borderId="0" xfId="0" applyFont="1" applyFill="1" applyAlignment="1" applyProtection="1">
      <alignment horizontal="center"/>
      <protection locked="0"/>
    </xf>
    <xf numFmtId="37" fontId="1" fillId="0" borderId="9" xfId="0" applyFont="1" applyFill="1" applyBorder="1" applyAlignment="1" applyProtection="1">
      <alignment horizontal="center"/>
      <protection locked="0"/>
    </xf>
    <xf numFmtId="17" fontId="1" fillId="0" borderId="8" xfId="0" applyNumberFormat="1" applyFont="1" applyFill="1" applyBorder="1" applyAlignment="1">
      <alignment horizontal="center"/>
    </xf>
    <xf numFmtId="17" fontId="1" fillId="4" borderId="8" xfId="0" applyNumberFormat="1" applyFont="1" applyFill="1" applyBorder="1" applyAlignment="1">
      <alignment horizontal="center"/>
    </xf>
    <xf numFmtId="37" fontId="1" fillId="4" borderId="0" xfId="0" applyFont="1" applyFill="1" applyAlignment="1" applyProtection="1">
      <alignment horizontal="center"/>
    </xf>
    <xf numFmtId="37" fontId="11" fillId="4" borderId="0" xfId="0" applyFont="1" applyFill="1" applyAlignment="1">
      <alignment horizontal="right"/>
    </xf>
    <xf numFmtId="166" fontId="1" fillId="0" borderId="0" xfId="0" applyNumberFormat="1" applyFont="1" applyFill="1"/>
    <xf numFmtId="0" fontId="20" fillId="0" borderId="0" xfId="4" applyFont="1" applyFill="1"/>
    <xf numFmtId="5" fontId="1" fillId="0" borderId="3" xfId="0" applyNumberFormat="1" applyFont="1" applyFill="1" applyBorder="1"/>
    <xf numFmtId="166" fontId="1" fillId="0" borderId="0" xfId="1" applyNumberFormat="1" applyFont="1" applyFill="1" applyAlignment="1">
      <alignment horizontal="center"/>
    </xf>
    <xf numFmtId="37" fontId="1" fillId="0" borderId="0" xfId="0" applyFont="1" applyFill="1" applyAlignment="1">
      <alignment horizontal="left" indent="1"/>
    </xf>
    <xf numFmtId="10" fontId="1" fillId="0" borderId="2" xfId="3" applyNumberFormat="1" applyFont="1" applyFill="1" applyBorder="1"/>
    <xf numFmtId="37" fontId="8" fillId="0" borderId="0" xfId="0" applyFont="1" applyFill="1" applyBorder="1"/>
    <xf numFmtId="37" fontId="1" fillId="0" borderId="0" xfId="0" applyFont="1" applyFill="1" applyBorder="1" applyAlignment="1">
      <alignment horizontal="right"/>
    </xf>
    <xf numFmtId="43" fontId="1" fillId="0" borderId="0" xfId="1" applyFont="1" applyFill="1"/>
    <xf numFmtId="37" fontId="0" fillId="0" borderId="0" xfId="0" applyFont="1" applyFill="1" applyAlignment="1">
      <alignment horizontal="center"/>
    </xf>
    <xf numFmtId="10" fontId="1" fillId="0" borderId="0" xfId="3" applyNumberFormat="1" applyFont="1" applyFill="1"/>
    <xf numFmtId="37" fontId="1" fillId="0" borderId="0" xfId="0" applyFont="1" applyFill="1" applyBorder="1" applyAlignment="1">
      <alignment horizontal="center"/>
    </xf>
    <xf numFmtId="5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166" fontId="1" fillId="0" borderId="0" xfId="1" applyNumberFormat="1" applyFont="1" applyFill="1" applyAlignment="1">
      <alignment horizontal="left"/>
    </xf>
    <xf numFmtId="5" fontId="22" fillId="0" borderId="0" xfId="1" applyNumberFormat="1" applyFont="1" applyFill="1" applyBorder="1"/>
    <xf numFmtId="170" fontId="1" fillId="0" borderId="0" xfId="0" applyNumberFormat="1" applyFont="1" applyFill="1" applyAlignment="1" applyProtection="1">
      <alignment horizontal="left"/>
      <protection locked="0"/>
    </xf>
    <xf numFmtId="37" fontId="0" fillId="0" borderId="0" xfId="0" quotePrefix="1" applyFont="1" applyFill="1"/>
    <xf numFmtId="0" fontId="1" fillId="0" borderId="0" xfId="0" quotePrefix="1" applyNumberFormat="1" applyFont="1" applyFill="1" applyAlignment="1">
      <alignment horizontal="center"/>
    </xf>
    <xf numFmtId="169" fontId="22" fillId="0" borderId="0" xfId="3" applyNumberFormat="1" applyFont="1" applyFill="1"/>
    <xf numFmtId="37" fontId="1" fillId="0" borderId="0" xfId="0" applyFont="1" applyAlignment="1">
      <alignment horizontal="centerContinuous"/>
    </xf>
    <xf numFmtId="37" fontId="1" fillId="0" borderId="0" xfId="0" applyFont="1" applyAlignment="1"/>
    <xf numFmtId="37" fontId="1" fillId="0" borderId="0" xfId="0" applyFont="1" applyAlignment="1" applyProtection="1"/>
    <xf numFmtId="37" fontId="1" fillId="0" borderId="0" xfId="0" applyFont="1" applyBorder="1" applyAlignment="1" applyProtection="1"/>
    <xf numFmtId="37" fontId="1" fillId="0" borderId="0" xfId="0" applyFont="1" applyBorder="1" applyAlignment="1"/>
    <xf numFmtId="37" fontId="1" fillId="0" borderId="1" xfId="0" applyFont="1" applyBorder="1" applyAlignment="1"/>
    <xf numFmtId="37" fontId="1" fillId="0" borderId="2" xfId="0" applyFont="1" applyBorder="1" applyAlignment="1"/>
    <xf numFmtId="37" fontId="1" fillId="0" borderId="0" xfId="0" applyFont="1" applyBorder="1" applyAlignment="1" applyProtection="1">
      <alignment horizontal="center"/>
    </xf>
    <xf numFmtId="37" fontId="1" fillId="0" borderId="1" xfId="0" applyFont="1" applyBorder="1" applyAlignment="1" applyProtection="1"/>
    <xf numFmtId="164" fontId="1" fillId="0" borderId="0" xfId="2" applyNumberFormat="1" applyFont="1" applyAlignment="1" applyProtection="1">
      <alignment horizontal="right"/>
    </xf>
    <xf numFmtId="37" fontId="1" fillId="0" borderId="0" xfId="0" applyNumberFormat="1" applyFont="1" applyAlignment="1" applyProtection="1">
      <alignment horizontal="right"/>
    </xf>
    <xf numFmtId="37" fontId="1" fillId="0" borderId="2" xfId="0" applyNumberFormat="1" applyFont="1" applyBorder="1" applyAlignment="1" applyProtection="1">
      <alignment horizontal="right"/>
    </xf>
    <xf numFmtId="169" fontId="1" fillId="0" borderId="2" xfId="3" applyNumberFormat="1" applyFont="1" applyBorder="1" applyAlignment="1" applyProtection="1">
      <alignment horizontal="right"/>
    </xf>
    <xf numFmtId="37" fontId="19" fillId="0" borderId="0" xfId="0" applyFont="1" applyAlignment="1">
      <alignment horizontal="left" indent="1"/>
    </xf>
    <xf numFmtId="164" fontId="1" fillId="0" borderId="5" xfId="2" applyNumberFormat="1" applyFont="1" applyBorder="1" applyAlignment="1" applyProtection="1">
      <alignment horizontal="right"/>
    </xf>
    <xf numFmtId="164" fontId="19" fillId="0" borderId="5" xfId="2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19" fillId="0" borderId="0" xfId="0" applyNumberFormat="1" applyFont="1" applyBorder="1" applyAlignment="1" applyProtection="1">
      <alignment horizontal="right"/>
    </xf>
    <xf numFmtId="37" fontId="12" fillId="0" borderId="0" xfId="0" applyFont="1" applyAlignment="1"/>
    <xf numFmtId="37" fontId="1" fillId="0" borderId="0" xfId="0" applyFont="1" applyAlignment="1">
      <alignment horizontal="left" indent="2"/>
    </xf>
    <xf numFmtId="164" fontId="1" fillId="0" borderId="0" xfId="2" applyNumberFormat="1" applyFont="1" applyFill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10" fontId="1" fillId="0" borderId="2" xfId="3" applyNumberFormat="1" applyFont="1" applyBorder="1"/>
    <xf numFmtId="37" fontId="8" fillId="0" borderId="0" xfId="0" applyFont="1" applyAlignment="1"/>
    <xf numFmtId="37" fontId="1" fillId="0" borderId="0" xfId="0" applyFont="1" applyAlignment="1">
      <alignment horizontal="left" indent="3"/>
    </xf>
    <xf numFmtId="164" fontId="1" fillId="0" borderId="5" xfId="2" applyNumberFormat="1" applyFont="1" applyBorder="1"/>
    <xf numFmtId="37" fontId="12" fillId="0" borderId="0" xfId="0" applyFont="1" applyFill="1"/>
    <xf numFmtId="39" fontId="8" fillId="0" borderId="0" xfId="0" applyNumberFormat="1" applyFont="1"/>
    <xf numFmtId="37" fontId="1" fillId="0" borderId="0" xfId="0" applyFont="1" applyFill="1" applyAlignment="1">
      <alignment horizontal="left" indent="2"/>
    </xf>
    <xf numFmtId="37" fontId="1" fillId="0" borderId="0" xfId="0" applyFont="1" applyFill="1" applyAlignment="1"/>
    <xf numFmtId="10" fontId="1" fillId="0" borderId="0" xfId="3" applyNumberFormat="1" applyFont="1" applyFill="1" applyAlignment="1"/>
    <xf numFmtId="10" fontId="1" fillId="0" borderId="0" xfId="3" applyNumberFormat="1" applyFont="1" applyAlignment="1"/>
    <xf numFmtId="173" fontId="1" fillId="0" borderId="0" xfId="0" applyNumberFormat="1" applyFont="1" applyAlignment="1"/>
    <xf numFmtId="166" fontId="11" fillId="5" borderId="0" xfId="1" applyNumberFormat="1" applyFont="1" applyFill="1"/>
    <xf numFmtId="37" fontId="11" fillId="5" borderId="0" xfId="0" applyFont="1" applyFill="1"/>
    <xf numFmtId="37" fontId="11" fillId="5" borderId="0" xfId="0" applyFont="1" applyFill="1" applyAlignment="1">
      <alignment horizontal="right"/>
    </xf>
    <xf numFmtId="166" fontId="1" fillId="5" borderId="0" xfId="0" applyNumberFormat="1" applyFont="1" applyFill="1"/>
    <xf numFmtId="43" fontId="20" fillId="5" borderId="0" xfId="1" applyFont="1" applyFill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>
      <alignment horizontal="center"/>
    </xf>
    <xf numFmtId="37" fontId="11" fillId="0" borderId="0" xfId="0" applyFont="1" applyFill="1" applyAlignment="1" applyProtection="1">
      <alignment horizontal="center"/>
      <protection locked="0"/>
    </xf>
    <xf numFmtId="37" fontId="1" fillId="0" borderId="0" xfId="0" applyFont="1" applyFill="1" applyAlignment="1">
      <alignment horizontal="center"/>
    </xf>
    <xf numFmtId="37" fontId="11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.2.2 B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80" zoomScaleNormal="90" zoomScaleSheetLayoutView="80" workbookViewId="0">
      <selection activeCell="P9" sqref="P9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3.21875" style="1" customWidth="1"/>
    <col min="5" max="5" width="2.33203125" style="1" customWidth="1"/>
    <col min="6" max="6" width="13.21875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73" t="s">
        <v>361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24">
      <c r="A2" s="273" t="s">
        <v>362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24">
      <c r="A3" s="273" t="s">
        <v>0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24">
      <c r="A4" s="273" t="s">
        <v>363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1</v>
      </c>
      <c r="I7" s="3"/>
      <c r="J7" s="4" t="s">
        <v>2</v>
      </c>
    </row>
    <row r="8" spans="1:24">
      <c r="A8" s="3" t="s">
        <v>3</v>
      </c>
      <c r="H8" s="3"/>
      <c r="I8" s="3"/>
      <c r="J8" s="5" t="s">
        <v>4</v>
      </c>
    </row>
    <row r="9" spans="1:24">
      <c r="A9" s="6" t="s">
        <v>5</v>
      </c>
      <c r="B9" s="7"/>
      <c r="C9" s="7"/>
      <c r="D9" s="7"/>
      <c r="E9" s="7"/>
      <c r="F9" s="7"/>
      <c r="G9" s="7"/>
      <c r="H9" s="6"/>
      <c r="I9" s="6"/>
      <c r="J9" s="8" t="s">
        <v>6</v>
      </c>
    </row>
    <row r="10" spans="1:24">
      <c r="D10" s="9" t="s">
        <v>7</v>
      </c>
      <c r="F10" s="10" t="s">
        <v>8</v>
      </c>
      <c r="J10" s="10" t="s">
        <v>8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9</v>
      </c>
      <c r="D11" s="10" t="s">
        <v>10</v>
      </c>
      <c r="F11" s="10" t="s">
        <v>10</v>
      </c>
      <c r="H11" s="10" t="s">
        <v>11</v>
      </c>
      <c r="J11" s="10" t="s">
        <v>10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12</v>
      </c>
      <c r="B12" s="7"/>
      <c r="C12" s="6" t="s">
        <v>13</v>
      </c>
      <c r="D12" s="12" t="s">
        <v>14</v>
      </c>
      <c r="E12" s="7"/>
      <c r="F12" s="12" t="s">
        <v>14</v>
      </c>
      <c r="G12" s="7"/>
      <c r="H12" s="12" t="s">
        <v>15</v>
      </c>
      <c r="I12" s="7"/>
      <c r="J12" s="12" t="s">
        <v>16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17</v>
      </c>
      <c r="D15" s="19">
        <f>+'C.2'!D14</f>
        <v>175422521.27593973</v>
      </c>
      <c r="E15" s="17"/>
      <c r="F15" s="19">
        <f>'C.2'!O14</f>
        <v>169717865.83695579</v>
      </c>
      <c r="G15" s="20"/>
      <c r="H15" s="21">
        <v>15919310</v>
      </c>
      <c r="I15" s="20"/>
      <c r="J15" s="21">
        <f>+F15+H15</f>
        <v>185637175.83695579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18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19</v>
      </c>
      <c r="D18" s="32">
        <f>+'C.2'!D17</f>
        <v>85009312.948032156</v>
      </c>
      <c r="E18" s="33"/>
      <c r="F18" s="32">
        <f>'C.2'!O17</f>
        <v>78382354.15325588</v>
      </c>
      <c r="G18" s="32"/>
      <c r="H18" s="32"/>
      <c r="I18" s="32"/>
      <c r="J18" s="32">
        <f>+F18+H18</f>
        <v>78382354.15325588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20</v>
      </c>
      <c r="D19" s="32">
        <f>SUM('C.2'!D18:D25)</f>
        <v>29725259.146466482</v>
      </c>
      <c r="E19" s="33"/>
      <c r="F19" s="32">
        <f>SUM('C.2'!O18:O25)</f>
        <v>27224981.353791106</v>
      </c>
      <c r="G19" s="32"/>
      <c r="H19" s="32">
        <v>79596.55</v>
      </c>
      <c r="I19" s="32"/>
      <c r="J19" s="32">
        <f>+F19+H19</f>
        <v>27304577.903791107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21</v>
      </c>
      <c r="D20" s="32">
        <f>+'C.2'!D26</f>
        <v>20745263.992198579</v>
      </c>
      <c r="E20" s="33"/>
      <c r="F20" s="32">
        <f>+'C.2'!O26</f>
        <v>22541773.891691476</v>
      </c>
      <c r="G20" s="36"/>
      <c r="H20" s="32"/>
      <c r="I20" s="36"/>
      <c r="J20" s="36">
        <f>+F20+H20</f>
        <v>22541773.891691476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22</v>
      </c>
      <c r="D21" s="32">
        <f>+'C.2'!D27</f>
        <v>6444103.6765705375</v>
      </c>
      <c r="E21" s="33"/>
      <c r="F21" s="32">
        <f>+'C.2'!O27</f>
        <v>7511836.9326441754</v>
      </c>
      <c r="G21" s="36"/>
      <c r="H21" s="32">
        <v>31838.62</v>
      </c>
      <c r="I21" s="36"/>
      <c r="J21" s="36">
        <f>+F21+H21</f>
        <v>7543675.5526441755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23</v>
      </c>
      <c r="D23" s="41">
        <f>+E!E23</f>
        <v>6403775.9743297407</v>
      </c>
      <c r="E23" s="38"/>
      <c r="F23" s="41">
        <f>E!G23</f>
        <v>6159951.6034848206</v>
      </c>
      <c r="G23" s="36"/>
      <c r="H23" s="41">
        <f>((+H15-H19-H21)*0.06)+((+H15-H19-H21-((+H15-H19-H21)*0.06))*0.21)</f>
        <v>4068946.9812419997</v>
      </c>
      <c r="I23" s="36"/>
      <c r="J23" s="42">
        <f>+F23+H23</f>
        <v>10228898.58472682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24</v>
      </c>
      <c r="D24" s="21">
        <f>SUM(D18:D23)</f>
        <v>148327715.7375975</v>
      </c>
      <c r="F24" s="19">
        <f>SUM(F18:F23)</f>
        <v>141820897.93486744</v>
      </c>
      <c r="G24" s="20"/>
      <c r="H24" s="21">
        <f>SUM(H18:H23)</f>
        <v>4180382.1512419996</v>
      </c>
      <c r="I24" s="20"/>
      <c r="J24" s="21">
        <f>SUM(J18:J23)</f>
        <v>146001280.08610943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25</v>
      </c>
      <c r="D26" s="43">
        <f>D15-D24</f>
        <v>27094805.538342237</v>
      </c>
      <c r="F26" s="44">
        <f>F15-F24</f>
        <v>27896967.902088344</v>
      </c>
      <c r="G26" s="20"/>
      <c r="H26" s="44">
        <f>H15-H24</f>
        <v>11738927.848758001</v>
      </c>
      <c r="I26" s="20"/>
      <c r="J26" s="43">
        <f>J15-J24</f>
        <v>39635895.750846356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26</v>
      </c>
      <c r="D28" s="32">
        <v>414187472.09436655</v>
      </c>
      <c r="E28" s="38"/>
      <c r="F28" s="32">
        <v>496111427.09512687</v>
      </c>
      <c r="G28" s="36"/>
      <c r="H28" s="36"/>
      <c r="I28" s="36"/>
      <c r="J28" s="36">
        <v>496111427.09512687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27</v>
      </c>
      <c r="D30" s="45">
        <f>(D26/D28)</f>
        <v>6.5416767439477455E-2</v>
      </c>
      <c r="F30" s="45">
        <f>(F26/F28)</f>
        <v>5.6231254469248981E-2</v>
      </c>
      <c r="H30" s="46"/>
      <c r="J30" s="45">
        <f>(J26/J28)</f>
        <v>7.9893132038755421E-2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&amp;R&amp;8CASE NO. 2018-00281
ATTACHMENT 1
TO STAFF DR NO. 1-46
(SUPPLEMENT 12-07-18)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70" zoomScaleNormal="90" zoomScaleSheetLayoutView="70" workbookViewId="0">
      <selection sqref="A1:O1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3.109375" style="1" bestFit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2.88671875" style="1" customWidth="1"/>
    <col min="12" max="12" width="1.44140625" style="1" customWidth="1"/>
    <col min="13" max="13" width="11.5546875" style="1" customWidth="1"/>
    <col min="14" max="14" width="17.6640625" style="1" customWidth="1"/>
    <col min="15" max="15" width="13.4414062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74" t="s">
        <v>361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20">
      <c r="A2" s="274" t="s">
        <v>362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20">
      <c r="A3" s="274" t="s">
        <v>28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20">
      <c r="A4" s="274" t="s">
        <v>364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20">
      <c r="A5" s="274" t="s">
        <v>363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20">
      <c r="C6" s="50"/>
    </row>
    <row r="7" spans="1:20">
      <c r="A7" s="3" t="str">
        <f>'C.1'!A7</f>
        <v>Data:__X____Base Period___X___Forecasted Period</v>
      </c>
      <c r="K7" s="51"/>
      <c r="O7" s="4" t="s">
        <v>29</v>
      </c>
    </row>
    <row r="8" spans="1:20">
      <c r="A8" s="3" t="str">
        <f>'C.1'!A8</f>
        <v>Type of Filing:___X____Original________Updated ________Revised</v>
      </c>
      <c r="K8" s="51"/>
      <c r="O8" s="52" t="s">
        <v>30</v>
      </c>
    </row>
    <row r="9" spans="1:20">
      <c r="A9" s="53" t="str">
        <f>'C.1'!A9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54"/>
      <c r="L9" s="7"/>
      <c r="M9" s="55"/>
      <c r="N9" s="55"/>
      <c r="O9" s="56" t="str">
        <f>'C.1'!J9</f>
        <v>Witness: Waller, Densman</v>
      </c>
    </row>
    <row r="10" spans="1:20">
      <c r="D10" s="10" t="s">
        <v>31</v>
      </c>
      <c r="G10" s="57"/>
      <c r="H10" s="9" t="s">
        <v>32</v>
      </c>
      <c r="K10" s="10" t="s">
        <v>8</v>
      </c>
      <c r="O10" s="9" t="s">
        <v>33</v>
      </c>
    </row>
    <row r="11" spans="1:20">
      <c r="A11" s="58" t="s">
        <v>9</v>
      </c>
      <c r="C11" s="10" t="s">
        <v>34</v>
      </c>
      <c r="D11" s="58" t="s">
        <v>35</v>
      </c>
      <c r="F11" s="9" t="s">
        <v>36</v>
      </c>
      <c r="G11" s="9" t="s">
        <v>37</v>
      </c>
      <c r="H11" s="10" t="s">
        <v>38</v>
      </c>
      <c r="I11" s="9" t="s">
        <v>37</v>
      </c>
      <c r="K11" s="58" t="s">
        <v>35</v>
      </c>
      <c r="M11" s="9" t="s">
        <v>39</v>
      </c>
      <c r="N11" s="9" t="s">
        <v>37</v>
      </c>
      <c r="O11" s="9" t="s">
        <v>40</v>
      </c>
    </row>
    <row r="12" spans="1:20">
      <c r="A12" s="59" t="s">
        <v>12</v>
      </c>
      <c r="B12" s="7"/>
      <c r="C12" s="59" t="s">
        <v>41</v>
      </c>
      <c r="D12" s="12" t="s">
        <v>42</v>
      </c>
      <c r="E12" s="7"/>
      <c r="F12" s="12" t="s">
        <v>43</v>
      </c>
      <c r="G12" s="60" t="s">
        <v>44</v>
      </c>
      <c r="H12" s="12" t="s">
        <v>45</v>
      </c>
      <c r="I12" s="60" t="s">
        <v>44</v>
      </c>
      <c r="J12" s="7"/>
      <c r="K12" s="12" t="s">
        <v>42</v>
      </c>
      <c r="L12" s="7"/>
      <c r="M12" s="61" t="s">
        <v>43</v>
      </c>
      <c r="N12" s="60" t="s">
        <v>44</v>
      </c>
      <c r="O12" s="62" t="s">
        <v>46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17</v>
      </c>
      <c r="D14" s="67">
        <f>+'C.2.1 B'!D33</f>
        <v>175422521.27593973</v>
      </c>
      <c r="E14" s="17"/>
      <c r="F14" s="19">
        <f>+K14-D14</f>
        <v>-5704655.438983947</v>
      </c>
      <c r="G14" s="68" t="s">
        <v>47</v>
      </c>
      <c r="H14" s="26"/>
      <c r="I14" s="17"/>
      <c r="J14" s="17"/>
      <c r="K14" s="67">
        <v>169717865.83695579</v>
      </c>
      <c r="L14" s="69"/>
      <c r="M14" s="19">
        <v>0</v>
      </c>
      <c r="N14" s="69"/>
      <c r="O14" s="19">
        <f>+K14+M14</f>
        <v>169717865.83695579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18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19</v>
      </c>
      <c r="D17" s="73">
        <f>+'C.2.1 B'!D105</f>
        <v>85009312.948032156</v>
      </c>
      <c r="E17" s="17"/>
      <c r="F17" s="32">
        <f t="shared" ref="F17:F28" si="0">+K17-D17-H17</f>
        <v>-6626958.7947762758</v>
      </c>
      <c r="G17" s="68" t="s">
        <v>47</v>
      </c>
      <c r="H17" s="26"/>
      <c r="I17" s="17"/>
      <c r="J17" s="17"/>
      <c r="K17" s="73">
        <v>78382354.15325588</v>
      </c>
      <c r="L17" s="69"/>
      <c r="M17" s="32">
        <v>0</v>
      </c>
      <c r="N17" s="69"/>
      <c r="O17" s="32">
        <f t="shared" ref="O17:O22" si="1">+K17+M17</f>
        <v>78382354.15325588</v>
      </c>
      <c r="P17" s="70"/>
      <c r="Q17" s="46"/>
      <c r="S17" s="46"/>
      <c r="T17" s="70"/>
    </row>
    <row r="18" spans="1:23">
      <c r="A18" s="66">
        <v>5</v>
      </c>
      <c r="C18" s="31" t="s">
        <v>48</v>
      </c>
      <c r="D18" s="74">
        <f>+'C.2.1 B'!D39+'C.2.1 B'!D43</f>
        <v>0</v>
      </c>
      <c r="E18" s="17"/>
      <c r="F18" s="32">
        <f t="shared" si="0"/>
        <v>0</v>
      </c>
      <c r="G18" s="68" t="s">
        <v>47</v>
      </c>
      <c r="H18" s="26"/>
      <c r="I18" s="17"/>
      <c r="J18" s="17"/>
      <c r="K18" s="73">
        <v>0</v>
      </c>
      <c r="L18" s="26"/>
      <c r="M18" s="32">
        <v>0</v>
      </c>
      <c r="N18" s="26"/>
      <c r="O18" s="32">
        <f t="shared" si="1"/>
        <v>0</v>
      </c>
      <c r="P18" s="70"/>
    </row>
    <row r="19" spans="1:23">
      <c r="A19" s="71">
        <v>6</v>
      </c>
      <c r="C19" s="31" t="s">
        <v>49</v>
      </c>
      <c r="D19" s="74">
        <f>+'C.2.1 B'!D55+'C.2.1 B'!D65</f>
        <v>717694.80210557394</v>
      </c>
      <c r="E19" s="17"/>
      <c r="F19" s="32">
        <f t="shared" si="0"/>
        <v>-228780.69239648106</v>
      </c>
      <c r="G19" s="68" t="s">
        <v>47</v>
      </c>
      <c r="H19" s="26"/>
      <c r="I19" s="17"/>
      <c r="J19" s="17"/>
      <c r="K19" s="73">
        <v>488914.10970909288</v>
      </c>
      <c r="L19" s="26"/>
      <c r="M19" s="32">
        <v>0</v>
      </c>
      <c r="N19" s="26"/>
      <c r="O19" s="32">
        <f t="shared" si="1"/>
        <v>488914.10970909288</v>
      </c>
      <c r="P19" s="70"/>
    </row>
    <row r="20" spans="1:23">
      <c r="A20" s="66">
        <v>7</v>
      </c>
      <c r="C20" s="31" t="s">
        <v>50</v>
      </c>
      <c r="D20" s="74">
        <f>+'C.2.1 B'!D75+'C.2.1 B'!D83</f>
        <v>503353.0303301441</v>
      </c>
      <c r="E20" s="17"/>
      <c r="F20" s="32">
        <f t="shared" si="0"/>
        <v>-93249.980745674518</v>
      </c>
      <c r="G20" s="68" t="s">
        <v>47</v>
      </c>
      <c r="H20" s="26"/>
      <c r="I20" s="17"/>
      <c r="J20" s="17"/>
      <c r="K20" s="73">
        <v>410103.04958446958</v>
      </c>
      <c r="L20" s="26"/>
      <c r="M20" s="32">
        <v>0</v>
      </c>
      <c r="N20" s="26"/>
      <c r="O20" s="32">
        <f t="shared" si="1"/>
        <v>410103.04958446958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51</v>
      </c>
      <c r="D21" s="74">
        <f>+'C.2.1 B'!D120+'C.2.1 B'!D133</f>
        <v>8891017.5752747282</v>
      </c>
      <c r="E21" s="17"/>
      <c r="F21" s="32">
        <f t="shared" si="0"/>
        <v>-1545476.7744047977</v>
      </c>
      <c r="G21" s="68" t="s">
        <v>47</v>
      </c>
      <c r="H21" s="26"/>
      <c r="I21" s="77" t="s">
        <v>52</v>
      </c>
      <c r="J21" s="17"/>
      <c r="K21" s="78">
        <v>7345540.8008699305</v>
      </c>
      <c r="L21" s="26"/>
      <c r="M21" s="32">
        <v>0</v>
      </c>
      <c r="N21" s="79"/>
      <c r="O21" s="32">
        <f t="shared" si="1"/>
        <v>7345540.8008699305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53</v>
      </c>
      <c r="D22" s="74">
        <f>+'C.2.1 B'!D140</f>
        <v>3439296.9234733889</v>
      </c>
      <c r="E22" s="17"/>
      <c r="F22" s="32">
        <f t="shared" si="0"/>
        <v>-792397.00666330289</v>
      </c>
      <c r="G22" s="68" t="s">
        <v>47</v>
      </c>
      <c r="H22" s="26"/>
      <c r="I22" s="77" t="s">
        <v>52</v>
      </c>
      <c r="J22" s="17"/>
      <c r="K22" s="73">
        <v>2646899.916810086</v>
      </c>
      <c r="L22" s="26"/>
      <c r="M22" s="32">
        <v>0</v>
      </c>
      <c r="N22" s="26"/>
      <c r="O22" s="32">
        <f t="shared" si="1"/>
        <v>2646899.916810086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54</v>
      </c>
      <c r="D23" s="73">
        <f>+'C.2.1 B'!D147</f>
        <v>126822.61936772459</v>
      </c>
      <c r="E23" s="17"/>
      <c r="F23" s="32">
        <f t="shared" si="0"/>
        <v>1449.0278121805313</v>
      </c>
      <c r="G23" s="68" t="s">
        <v>47</v>
      </c>
      <c r="H23" s="26"/>
      <c r="I23" s="77" t="s">
        <v>52</v>
      </c>
      <c r="J23" s="17"/>
      <c r="K23" s="73">
        <v>128271.64717990512</v>
      </c>
      <c r="L23" s="69"/>
      <c r="M23" s="32">
        <v>0</v>
      </c>
      <c r="N23" s="79"/>
      <c r="O23" s="32">
        <f>+K23+M23</f>
        <v>128271.64717990512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55</v>
      </c>
      <c r="D24" s="73">
        <f>+'C.2.1 B'!D154</f>
        <v>438252.32346607436</v>
      </c>
      <c r="E24" s="17"/>
      <c r="F24" s="32">
        <f t="shared" si="0"/>
        <v>-33677.19399192807</v>
      </c>
      <c r="G24" s="68" t="s">
        <v>47</v>
      </c>
      <c r="H24" s="26"/>
      <c r="I24" s="77" t="s">
        <v>52</v>
      </c>
      <c r="J24" s="17"/>
      <c r="K24" s="73">
        <v>404575.12947414629</v>
      </c>
      <c r="L24" s="69"/>
      <c r="M24" s="32">
        <v>-196297.42596782028</v>
      </c>
      <c r="N24" s="79" t="s">
        <v>56</v>
      </c>
      <c r="O24" s="32">
        <f>+K24+M24</f>
        <v>208277.70350632601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57</v>
      </c>
      <c r="D25" s="73">
        <f>+'C.2.1 B'!D168+'C.2.1 B'!D172</f>
        <v>15608821.872448849</v>
      </c>
      <c r="E25" s="17"/>
      <c r="F25" s="32">
        <f t="shared" si="0"/>
        <v>1982006.6711087506</v>
      </c>
      <c r="G25" s="68" t="s">
        <v>47</v>
      </c>
      <c r="H25" s="26"/>
      <c r="I25" s="77" t="s">
        <v>52</v>
      </c>
      <c r="J25" s="17"/>
      <c r="K25" s="73">
        <v>17590828.543557599</v>
      </c>
      <c r="L25" s="69"/>
      <c r="M25" s="32">
        <v>-1593854.417426303</v>
      </c>
      <c r="N25" s="79" t="s">
        <v>58</v>
      </c>
      <c r="O25" s="32">
        <f>+K25+M25</f>
        <v>15996974.126131296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59</v>
      </c>
      <c r="D26" s="73">
        <f>+'C.2.1 B'!D176</f>
        <v>20745263.992198579</v>
      </c>
      <c r="E26" s="17"/>
      <c r="F26" s="32">
        <f t="shared" si="0"/>
        <v>1796509.8994928971</v>
      </c>
      <c r="G26" s="68" t="s">
        <v>47</v>
      </c>
      <c r="H26" s="26"/>
      <c r="I26" s="17"/>
      <c r="J26" s="17"/>
      <c r="K26" s="73">
        <v>22541773.891691476</v>
      </c>
      <c r="L26" s="69"/>
      <c r="M26" s="32">
        <f>O26-K26</f>
        <v>0</v>
      </c>
      <c r="N26" s="69"/>
      <c r="O26" s="73">
        <v>22541773.891691476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60</v>
      </c>
      <c r="D27" s="73">
        <f>+'C.2.1 B'!D178</f>
        <v>6444103.6765705375</v>
      </c>
      <c r="F27" s="36">
        <f t="shared" si="0"/>
        <v>1067733.2560736379</v>
      </c>
      <c r="G27" s="2" t="s">
        <v>47</v>
      </c>
      <c r="H27" s="20"/>
      <c r="K27" s="73">
        <v>7511836.9326441754</v>
      </c>
      <c r="L27" s="26"/>
      <c r="M27" s="32">
        <v>0</v>
      </c>
      <c r="N27" s="79"/>
      <c r="O27" s="36">
        <f>+K27+M27</f>
        <v>7511836.9326441754</v>
      </c>
      <c r="P27" s="70"/>
      <c r="Q27" s="46"/>
      <c r="S27" s="46"/>
      <c r="T27" s="20"/>
    </row>
    <row r="28" spans="1:23">
      <c r="A28" s="66">
        <v>15</v>
      </c>
      <c r="C28" s="82" t="s">
        <v>61</v>
      </c>
      <c r="D28" s="73">
        <f>+'C.2.1 B'!D179</f>
        <v>6403775.9743297407</v>
      </c>
      <c r="F28" s="36">
        <f t="shared" si="0"/>
        <v>-48779.811055218801</v>
      </c>
      <c r="H28" s="20"/>
      <c r="K28" s="73">
        <v>6354996.1632745219</v>
      </c>
      <c r="L28" s="69"/>
      <c r="M28" s="73">
        <f>+O28-K28</f>
        <v>-195044.55978970136</v>
      </c>
      <c r="N28" s="68"/>
      <c r="O28" s="73">
        <f>+E!G23</f>
        <v>6159951.6034848206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24</v>
      </c>
      <c r="D31" s="21">
        <f>SUM(D17:D29)</f>
        <v>148327715.7375975</v>
      </c>
      <c r="F31" s="21">
        <f>SUM(F17:F29)</f>
        <v>-4521621.3995462107</v>
      </c>
      <c r="H31" s="21">
        <f>SUM(H21:H29)</f>
        <v>0</v>
      </c>
      <c r="K31" s="21">
        <f>SUM(K17:K29)</f>
        <v>143806094.33805129</v>
      </c>
      <c r="L31" s="20"/>
      <c r="M31" s="21">
        <f>SUM(M17:M29)</f>
        <v>-1985196.4031838246</v>
      </c>
      <c r="N31" s="20"/>
      <c r="O31" s="21">
        <f>SUM(O17:O29)</f>
        <v>141820897.93486744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62</v>
      </c>
      <c r="D33" s="43">
        <f>D14-D31</f>
        <v>27094805.538342237</v>
      </c>
      <c r="F33" s="43">
        <f>F14-F31</f>
        <v>-1183034.0394377364</v>
      </c>
      <c r="H33" s="43">
        <f>H14-H31</f>
        <v>0</v>
      </c>
      <c r="K33" s="43">
        <f>K14-K31</f>
        <v>25911771.498904496</v>
      </c>
      <c r="L33" s="20"/>
      <c r="M33" s="43">
        <f>M14-M31</f>
        <v>1985196.4031838246</v>
      </c>
      <c r="N33" s="20"/>
      <c r="O33" s="43">
        <f>O14-O31</f>
        <v>27896967.902088344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5" footer="0.5"/>
  <pageSetup scale="78" orientation="landscape" verticalDpi="300" r:id="rId1"/>
  <headerFooter alignWithMargins="0"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view="pageBreakPreview" zoomScale="80" zoomScaleNormal="80" zoomScaleSheetLayoutView="80" workbookViewId="0">
      <pane ySplit="11" topLeftCell="A162" activePane="bottomLeft" state="frozen"/>
      <selection sqref="A1:J1"/>
      <selection pane="bottomLeft" activeCell="D183" sqref="D183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5.554687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275" t="s">
        <v>361</v>
      </c>
      <c r="B1" s="275"/>
      <c r="C1" s="275"/>
      <c r="D1" s="275"/>
    </row>
    <row r="2" spans="1:7" ht="15.75" customHeight="1">
      <c r="A2" s="275" t="s">
        <v>362</v>
      </c>
      <c r="B2" s="275"/>
      <c r="C2" s="275"/>
      <c r="D2" s="275"/>
    </row>
    <row r="3" spans="1:7" ht="15.75" customHeight="1">
      <c r="A3" s="275" t="s">
        <v>63</v>
      </c>
      <c r="B3" s="275"/>
      <c r="C3" s="275"/>
      <c r="D3" s="275"/>
    </row>
    <row r="4" spans="1:7" ht="15.75" customHeight="1">
      <c r="A4" s="275" t="s">
        <v>364</v>
      </c>
      <c r="B4" s="275"/>
      <c r="C4" s="275"/>
      <c r="D4" s="275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64</v>
      </c>
      <c r="D6" s="102" t="s">
        <v>65</v>
      </c>
    </row>
    <row r="7" spans="1:7" ht="15.75" customHeight="1">
      <c r="A7" s="3" t="s">
        <v>3</v>
      </c>
      <c r="D7" s="103" t="s">
        <v>66</v>
      </c>
    </row>
    <row r="8" spans="1:7" ht="15.75" customHeight="1">
      <c r="A8" s="104" t="s">
        <v>5</v>
      </c>
      <c r="B8" s="105"/>
      <c r="C8" s="105"/>
      <c r="D8" s="106" t="str">
        <f>'C.1'!J9</f>
        <v>Witness: Waller, Densman</v>
      </c>
    </row>
    <row r="9" spans="1:7" ht="15.75" customHeight="1">
      <c r="D9" s="107"/>
    </row>
    <row r="10" spans="1:7" ht="15.75" customHeight="1">
      <c r="A10" s="108" t="s">
        <v>9</v>
      </c>
      <c r="B10" s="107" t="s">
        <v>67</v>
      </c>
      <c r="C10" s="108" t="s">
        <v>67</v>
      </c>
      <c r="D10" s="107" t="s">
        <v>68</v>
      </c>
    </row>
    <row r="11" spans="1:7" ht="15.75" customHeight="1">
      <c r="A11" s="109" t="s">
        <v>12</v>
      </c>
      <c r="B11" s="110" t="s">
        <v>69</v>
      </c>
      <c r="C11" s="109" t="s">
        <v>70</v>
      </c>
      <c r="D11" s="110" t="s">
        <v>71</v>
      </c>
    </row>
    <row r="12" spans="1:7" ht="15.75" customHeight="1">
      <c r="D12" s="107" t="s">
        <v>72</v>
      </c>
    </row>
    <row r="13" spans="1:7" ht="15.75" customHeight="1">
      <c r="A13" s="107">
        <v>1</v>
      </c>
      <c r="B13" s="111"/>
      <c r="C13" s="112" t="s">
        <v>73</v>
      </c>
    </row>
    <row r="14" spans="1:7" ht="15.75" customHeight="1">
      <c r="A14" s="107">
        <f>A13+1</f>
        <v>2</v>
      </c>
      <c r="B14" s="111"/>
      <c r="C14" s="112" t="s">
        <v>74</v>
      </c>
      <c r="D14" s="113"/>
    </row>
    <row r="15" spans="1:7" ht="15.75" customHeight="1">
      <c r="A15" s="107">
        <f t="shared" ref="A15:A78" si="0">A14+1</f>
        <v>3</v>
      </c>
      <c r="B15" s="114">
        <v>4800</v>
      </c>
      <c r="C15" s="115" t="s">
        <v>75</v>
      </c>
      <c r="D15" s="116">
        <f>-'C.2.2 B 09'!P17</f>
        <v>105317245.06766841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76</v>
      </c>
      <c r="D16" s="120">
        <f>-'C.2.2 B 09'!P18</f>
        <v>-5539723.9499999993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77</v>
      </c>
      <c r="D17" s="120">
        <f>-'C.2.2 B 09'!P19</f>
        <v>45791580.282348737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78</v>
      </c>
      <c r="D18" s="120">
        <f>-'C.2.2 B 09'!P20</f>
        <v>6010221.9244612735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79</v>
      </c>
      <c r="D19" s="120">
        <f>-'C.2.2 B 09'!P21</f>
        <v>-2309585.44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80</v>
      </c>
      <c r="D20" s="120">
        <f>-'C.2.2 B 09'!P22</f>
        <v>-116590.08000000005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81</v>
      </c>
      <c r="D21" s="120">
        <f>-'C.2.2 B 09'!P23</f>
        <v>7501018.4491344634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82</v>
      </c>
      <c r="D22" s="121">
        <f>-'C.2.2 B 09'!P24</f>
        <v>-455459.54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83</v>
      </c>
      <c r="D23" s="116">
        <f>SUM(D15:D22)</f>
        <v>156198706.71361288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84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85</v>
      </c>
      <c r="D26" s="116">
        <f>-'C.2.2 B 09'!P25</f>
        <v>1393538.8873268389</v>
      </c>
    </row>
    <row r="27" spans="1:8" ht="15.75" customHeight="1">
      <c r="A27" s="107">
        <f t="shared" si="0"/>
        <v>15</v>
      </c>
      <c r="B27" s="114">
        <v>4880</v>
      </c>
      <c r="C27" s="115" t="s">
        <v>86</v>
      </c>
      <c r="D27" s="120">
        <f>-'C.2.2 B 09'!P26</f>
        <v>833474.45</v>
      </c>
    </row>
    <row r="28" spans="1:8" ht="15.75" customHeight="1">
      <c r="A28" s="107">
        <f t="shared" si="0"/>
        <v>16</v>
      </c>
      <c r="B28" s="124">
        <v>4893</v>
      </c>
      <c r="C28" s="125" t="s">
        <v>87</v>
      </c>
      <c r="D28" s="120">
        <f>-'C.2.2 B 09'!P27</f>
        <v>17961879.344999995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88</v>
      </c>
      <c r="D29" s="120">
        <f>-'C.2.2 B 09'!P28</f>
        <v>459032.87</v>
      </c>
      <c r="F29" s="113"/>
      <c r="G29" s="113"/>
      <c r="H29" s="126"/>
    </row>
    <row r="30" spans="1:8" ht="15.75" customHeight="1">
      <c r="A30" s="107"/>
      <c r="B30" s="114">
        <v>4960</v>
      </c>
      <c r="C30" s="115" t="s">
        <v>89</v>
      </c>
      <c r="D30" s="120">
        <f>-'C.2.2 B 09'!P29</f>
        <v>-1424110.99</v>
      </c>
      <c r="F30" s="113"/>
      <c r="G30" s="113"/>
      <c r="H30" s="126"/>
    </row>
    <row r="31" spans="1:8" ht="15.75" customHeight="1">
      <c r="A31" s="107">
        <f>A29+1</f>
        <v>18</v>
      </c>
      <c r="B31" s="122"/>
      <c r="C31" s="108" t="s">
        <v>90</v>
      </c>
      <c r="D31" s="127">
        <f>SUM(D26:D30)</f>
        <v>19223814.562326837</v>
      </c>
    </row>
    <row r="32" spans="1:8" ht="15.75" customHeight="1">
      <c r="A32" s="107">
        <f t="shared" si="0"/>
        <v>19</v>
      </c>
      <c r="B32" s="122"/>
      <c r="D32" s="123"/>
      <c r="F32" s="128"/>
      <c r="G32" s="113"/>
    </row>
    <row r="33" spans="1:8" ht="15.75" customHeight="1">
      <c r="A33" s="107">
        <f t="shared" si="0"/>
        <v>20</v>
      </c>
      <c r="B33" s="107"/>
      <c r="C33" s="108" t="s">
        <v>91</v>
      </c>
      <c r="D33" s="116">
        <f>D23+D31</f>
        <v>175422521.27593973</v>
      </c>
      <c r="E33" s="129"/>
      <c r="F33" s="113"/>
      <c r="G33" s="113"/>
      <c r="H33" s="126"/>
    </row>
    <row r="34" spans="1:8" ht="15.75" customHeight="1">
      <c r="A34" s="107">
        <f t="shared" si="0"/>
        <v>21</v>
      </c>
      <c r="B34" s="122"/>
      <c r="D34" s="123"/>
      <c r="F34" s="113"/>
      <c r="G34" s="113"/>
    </row>
    <row r="35" spans="1:8" ht="15.75" customHeight="1">
      <c r="A35" s="107">
        <f t="shared" si="0"/>
        <v>22</v>
      </c>
      <c r="B35" s="122"/>
      <c r="C35" s="112" t="s">
        <v>92</v>
      </c>
      <c r="D35" s="123"/>
    </row>
    <row r="36" spans="1:8" ht="15.75" customHeight="1">
      <c r="A36" s="107">
        <f t="shared" si="0"/>
        <v>23</v>
      </c>
      <c r="B36" s="122"/>
      <c r="C36" s="130" t="s">
        <v>93</v>
      </c>
      <c r="D36" s="131"/>
    </row>
    <row r="37" spans="1:8" ht="15.75" customHeight="1">
      <c r="A37" s="107">
        <f t="shared" si="0"/>
        <v>24</v>
      </c>
      <c r="B37" s="132">
        <v>7560</v>
      </c>
      <c r="C37" s="115" t="s">
        <v>94</v>
      </c>
      <c r="D37" s="133">
        <f>'C.2.2 B 09'!P30</f>
        <v>0</v>
      </c>
    </row>
    <row r="38" spans="1:8" ht="15.75" customHeight="1">
      <c r="A38" s="107">
        <f t="shared" si="0"/>
        <v>25</v>
      </c>
      <c r="B38" s="132">
        <v>7590</v>
      </c>
      <c r="C38" s="115" t="s">
        <v>95</v>
      </c>
      <c r="D38" s="121">
        <f>'C.2.2 B 09'!P31</f>
        <v>0</v>
      </c>
    </row>
    <row r="39" spans="1:8" ht="15.75" customHeight="1">
      <c r="A39" s="107">
        <f t="shared" si="0"/>
        <v>26</v>
      </c>
      <c r="B39" s="122"/>
      <c r="C39" s="134" t="s">
        <v>96</v>
      </c>
      <c r="D39" s="116">
        <f>SUM(D37:D38)</f>
        <v>0</v>
      </c>
    </row>
    <row r="40" spans="1:8" ht="15.75" customHeight="1">
      <c r="A40" s="107">
        <f t="shared" si="0"/>
        <v>27</v>
      </c>
      <c r="B40" s="122"/>
      <c r="C40" s="134"/>
      <c r="D40" s="116"/>
    </row>
    <row r="41" spans="1:8" ht="15.75" customHeight="1">
      <c r="A41" s="107">
        <f t="shared" si="0"/>
        <v>28</v>
      </c>
      <c r="B41" s="122"/>
      <c r="C41" s="130" t="s">
        <v>97</v>
      </c>
      <c r="D41" s="120"/>
    </row>
    <row r="42" spans="1:8" ht="15.75" customHeight="1">
      <c r="A42" s="107">
        <f t="shared" si="0"/>
        <v>29</v>
      </c>
      <c r="B42" s="132">
        <v>7610</v>
      </c>
      <c r="C42" s="115" t="s">
        <v>98</v>
      </c>
      <c r="D42" s="135">
        <v>0</v>
      </c>
    </row>
    <row r="43" spans="1:8" ht="15.75" customHeight="1">
      <c r="A43" s="107">
        <f t="shared" si="0"/>
        <v>30</v>
      </c>
      <c r="B43" s="122"/>
      <c r="C43" s="101"/>
      <c r="D43" s="116">
        <f>SUM(D42)</f>
        <v>0</v>
      </c>
    </row>
    <row r="44" spans="1:8" ht="15.75" customHeight="1">
      <c r="A44" s="107">
        <f t="shared" si="0"/>
        <v>31</v>
      </c>
      <c r="B44" s="122"/>
      <c r="C44" s="130" t="s">
        <v>99</v>
      </c>
      <c r="D44" s="131"/>
    </row>
    <row r="45" spans="1:8" ht="15.75" customHeight="1">
      <c r="A45" s="107">
        <f t="shared" si="0"/>
        <v>32</v>
      </c>
      <c r="B45" s="132">
        <v>8140</v>
      </c>
      <c r="C45" s="115" t="s">
        <v>100</v>
      </c>
      <c r="D45" s="136">
        <f>'C.2.2 B 09'!P47</f>
        <v>0</v>
      </c>
    </row>
    <row r="46" spans="1:8" ht="15.75" customHeight="1">
      <c r="A46" s="107">
        <f t="shared" si="0"/>
        <v>33</v>
      </c>
      <c r="B46" s="132">
        <v>8150</v>
      </c>
      <c r="C46" s="115" t="s">
        <v>101</v>
      </c>
      <c r="D46" s="133">
        <v>0</v>
      </c>
    </row>
    <row r="47" spans="1:8" ht="15.75" customHeight="1">
      <c r="A47" s="107">
        <f t="shared" si="0"/>
        <v>34</v>
      </c>
      <c r="B47" s="132">
        <v>8160</v>
      </c>
      <c r="C47" s="115" t="s">
        <v>102</v>
      </c>
      <c r="D47" s="133">
        <f>'C.2.2 B 09'!P48</f>
        <v>457236.95754443732</v>
      </c>
    </row>
    <row r="48" spans="1:8" ht="15.75" customHeight="1">
      <c r="A48" s="107">
        <f t="shared" si="0"/>
        <v>35</v>
      </c>
      <c r="B48" s="132">
        <v>8170</v>
      </c>
      <c r="C48" s="115" t="s">
        <v>103</v>
      </c>
      <c r="D48" s="133">
        <f>'C.2.2 B 09'!P49</f>
        <v>33801.449950590533</v>
      </c>
    </row>
    <row r="49" spans="1:4" ht="15.75" customHeight="1">
      <c r="A49" s="107">
        <f t="shared" si="0"/>
        <v>36</v>
      </c>
      <c r="B49" s="132">
        <v>8180</v>
      </c>
      <c r="C49" s="115" t="s">
        <v>104</v>
      </c>
      <c r="D49" s="133">
        <f>'C.2.2 B 09'!P50</f>
        <v>38288.67353797266</v>
      </c>
    </row>
    <row r="50" spans="1:4" ht="15.75" customHeight="1">
      <c r="A50" s="107">
        <f t="shared" si="0"/>
        <v>37</v>
      </c>
      <c r="B50" s="137">
        <v>8190</v>
      </c>
      <c r="C50" s="138" t="s">
        <v>105</v>
      </c>
      <c r="D50" s="133">
        <f>'C.2.2 B 09'!P51</f>
        <v>977.6296005993928</v>
      </c>
    </row>
    <row r="51" spans="1:4" ht="15.75" customHeight="1">
      <c r="A51" s="107">
        <f t="shared" si="0"/>
        <v>38</v>
      </c>
      <c r="B51" s="137">
        <v>8200</v>
      </c>
      <c r="C51" s="138" t="s">
        <v>106</v>
      </c>
      <c r="D51" s="133">
        <f>'C.2.2 B 09'!P52</f>
        <v>6781.7207908741566</v>
      </c>
    </row>
    <row r="52" spans="1:4" ht="15.75" customHeight="1">
      <c r="A52" s="107">
        <f t="shared" si="0"/>
        <v>39</v>
      </c>
      <c r="B52" s="137">
        <v>8210</v>
      </c>
      <c r="C52" s="138" t="s">
        <v>107</v>
      </c>
      <c r="D52" s="133">
        <f>'C.2.2 B 09'!P53</f>
        <v>54249.08283318302</v>
      </c>
    </row>
    <row r="53" spans="1:4" ht="15.75" customHeight="1">
      <c r="A53" s="107">
        <f t="shared" si="0"/>
        <v>40</v>
      </c>
      <c r="B53" s="137">
        <v>8240</v>
      </c>
      <c r="C53" s="138" t="s">
        <v>108</v>
      </c>
      <c r="D53" s="133">
        <f>'C.2.2 B 09'!P54</f>
        <v>0</v>
      </c>
    </row>
    <row r="54" spans="1:4" ht="15.75" customHeight="1">
      <c r="A54" s="107">
        <f t="shared" si="0"/>
        <v>41</v>
      </c>
      <c r="B54" s="137">
        <v>8250</v>
      </c>
      <c r="C54" s="138" t="s">
        <v>109</v>
      </c>
      <c r="D54" s="121">
        <f>'C.2.2 B 09'!P55</f>
        <v>9774.2561245295747</v>
      </c>
    </row>
    <row r="55" spans="1:4" ht="15.75" customHeight="1">
      <c r="A55" s="107">
        <f t="shared" si="0"/>
        <v>42</v>
      </c>
      <c r="B55" s="122"/>
      <c r="C55" s="134" t="s">
        <v>110</v>
      </c>
      <c r="D55" s="116">
        <f>SUM(D45:D54)</f>
        <v>601109.77038218663</v>
      </c>
    </row>
    <row r="56" spans="1:4" ht="15.75" customHeight="1">
      <c r="A56" s="107">
        <f t="shared" si="0"/>
        <v>43</v>
      </c>
      <c r="B56" s="122"/>
      <c r="C56" s="101"/>
      <c r="D56" s="120"/>
    </row>
    <row r="57" spans="1:4" ht="15.75" customHeight="1">
      <c r="A57" s="107">
        <f t="shared" si="0"/>
        <v>44</v>
      </c>
      <c r="B57" s="122"/>
      <c r="C57" s="130" t="s">
        <v>111</v>
      </c>
      <c r="D57" s="120"/>
    </row>
    <row r="58" spans="1:4" ht="15.75" customHeight="1">
      <c r="A58" s="107">
        <f t="shared" si="0"/>
        <v>45</v>
      </c>
      <c r="B58" s="137">
        <v>8310</v>
      </c>
      <c r="C58" s="138" t="s">
        <v>112</v>
      </c>
      <c r="D58" s="136">
        <f>'C.2.2 B 09'!P56</f>
        <v>24376.914413153201</v>
      </c>
    </row>
    <row r="59" spans="1:4" ht="15.75" customHeight="1">
      <c r="A59" s="107">
        <f t="shared" si="0"/>
        <v>46</v>
      </c>
      <c r="B59" s="137">
        <v>8320</v>
      </c>
      <c r="C59" s="138" t="s">
        <v>113</v>
      </c>
      <c r="D59" s="133">
        <v>0</v>
      </c>
    </row>
    <row r="60" spans="1:4" ht="15.75" customHeight="1">
      <c r="A60" s="107">
        <f t="shared" si="0"/>
        <v>47</v>
      </c>
      <c r="B60" s="137">
        <v>8340</v>
      </c>
      <c r="C60" s="138" t="s">
        <v>114</v>
      </c>
      <c r="D60" s="133">
        <f>'C.2.2 B 09'!P57</f>
        <v>3219.6278397120932</v>
      </c>
    </row>
    <row r="61" spans="1:4" ht="15.75" customHeight="1">
      <c r="A61" s="107">
        <f t="shared" si="0"/>
        <v>48</v>
      </c>
      <c r="B61" s="137">
        <v>8350</v>
      </c>
      <c r="C61" s="138" t="s">
        <v>115</v>
      </c>
      <c r="D61" s="133">
        <f>'C.2.2 B 09'!P58</f>
        <v>19.91</v>
      </c>
    </row>
    <row r="62" spans="1:4" ht="15.75" customHeight="1">
      <c r="A62" s="107">
        <f t="shared" si="0"/>
        <v>49</v>
      </c>
      <c r="B62" s="137">
        <v>8360</v>
      </c>
      <c r="C62" s="138" t="s">
        <v>116</v>
      </c>
      <c r="D62" s="133">
        <f>'C.2.2 B 09'!P59</f>
        <v>0</v>
      </c>
    </row>
    <row r="63" spans="1:4" ht="15.75" customHeight="1">
      <c r="A63" s="107">
        <f t="shared" si="0"/>
        <v>50</v>
      </c>
      <c r="B63" s="137">
        <v>8370</v>
      </c>
      <c r="C63" s="138" t="s">
        <v>117</v>
      </c>
      <c r="D63" s="133">
        <f>'C.2.2 B 09'!P60</f>
        <v>0</v>
      </c>
    </row>
    <row r="64" spans="1:4" ht="15.75" customHeight="1">
      <c r="A64" s="107">
        <f t="shared" si="0"/>
        <v>51</v>
      </c>
      <c r="B64" s="139" t="s">
        <v>118</v>
      </c>
      <c r="C64" s="138" t="s">
        <v>119</v>
      </c>
      <c r="D64" s="133">
        <f>'C.2.2 B 09'!P61</f>
        <v>88968.579470522061</v>
      </c>
    </row>
    <row r="65" spans="1:7" ht="15.75" customHeight="1">
      <c r="A65" s="107">
        <f t="shared" si="0"/>
        <v>52</v>
      </c>
      <c r="B65" s="122"/>
      <c r="C65" s="134" t="s">
        <v>120</v>
      </c>
      <c r="D65" s="127">
        <f>SUM(D58:D64)</f>
        <v>116585.03172338735</v>
      </c>
    </row>
    <row r="66" spans="1:7" ht="15.75" customHeight="1">
      <c r="A66" s="107">
        <f t="shared" si="0"/>
        <v>53</v>
      </c>
      <c r="B66" s="122"/>
      <c r="C66" s="101"/>
      <c r="D66" s="120"/>
    </row>
    <row r="67" spans="1:7" ht="15.75" customHeight="1">
      <c r="A67" s="107">
        <f t="shared" si="0"/>
        <v>54</v>
      </c>
      <c r="B67" s="122"/>
      <c r="C67" s="130" t="s">
        <v>121</v>
      </c>
      <c r="D67" s="120"/>
    </row>
    <row r="68" spans="1:7" ht="15.75" customHeight="1">
      <c r="A68" s="107">
        <f t="shared" si="0"/>
        <v>55</v>
      </c>
      <c r="B68" s="137">
        <v>8500</v>
      </c>
      <c r="C68" s="138" t="s">
        <v>100</v>
      </c>
      <c r="D68" s="136">
        <f>'C.2.2 B 09'!P62</f>
        <v>33.476171532652366</v>
      </c>
    </row>
    <row r="69" spans="1:7" ht="15.75" customHeight="1">
      <c r="A69" s="107">
        <f t="shared" si="0"/>
        <v>56</v>
      </c>
      <c r="B69" s="137">
        <v>8520</v>
      </c>
      <c r="C69" s="138" t="s">
        <v>122</v>
      </c>
      <c r="D69" s="133">
        <f>'C.2.2 B 09'!P63</f>
        <v>0</v>
      </c>
      <c r="G69" s="140"/>
    </row>
    <row r="70" spans="1:7" ht="15.75" customHeight="1">
      <c r="A70" s="107">
        <f t="shared" si="0"/>
        <v>57</v>
      </c>
      <c r="B70" s="137">
        <v>8550</v>
      </c>
      <c r="C70" s="138" t="s">
        <v>123</v>
      </c>
      <c r="D70" s="133">
        <f>'C.2.2 B 09'!P64</f>
        <v>400.68965711812581</v>
      </c>
      <c r="G70" s="140"/>
    </row>
    <row r="71" spans="1:7" ht="15.75" customHeight="1">
      <c r="A71" s="107">
        <f t="shared" si="0"/>
        <v>58</v>
      </c>
      <c r="B71" s="137">
        <v>8560</v>
      </c>
      <c r="C71" s="138" t="s">
        <v>124</v>
      </c>
      <c r="D71" s="133">
        <f>'C.2.2 B 09'!P65</f>
        <v>444599.4249479039</v>
      </c>
    </row>
    <row r="72" spans="1:7" ht="15.75" customHeight="1">
      <c r="A72" s="107">
        <f t="shared" si="0"/>
        <v>59</v>
      </c>
      <c r="B72" s="137">
        <v>8570</v>
      </c>
      <c r="C72" s="138" t="s">
        <v>125</v>
      </c>
      <c r="D72" s="133">
        <f>'C.2.2 B 09'!P66</f>
        <v>27040.874037374313</v>
      </c>
    </row>
    <row r="73" spans="1:7" ht="15.75" customHeight="1">
      <c r="A73" s="107">
        <f t="shared" si="0"/>
        <v>60</v>
      </c>
      <c r="B73" s="137">
        <v>8590</v>
      </c>
      <c r="C73" s="138" t="s">
        <v>126</v>
      </c>
      <c r="D73" s="133">
        <v>0</v>
      </c>
    </row>
    <row r="74" spans="1:7" ht="15.75" customHeight="1">
      <c r="A74" s="107">
        <f t="shared" si="0"/>
        <v>61</v>
      </c>
      <c r="B74" s="137">
        <v>8600</v>
      </c>
      <c r="C74" s="138" t="s">
        <v>127</v>
      </c>
      <c r="D74" s="121">
        <v>0</v>
      </c>
    </row>
    <row r="75" spans="1:7" ht="15.75" customHeight="1">
      <c r="A75" s="107">
        <f t="shared" si="0"/>
        <v>62</v>
      </c>
      <c r="B75" s="122"/>
      <c r="C75" s="134" t="s">
        <v>128</v>
      </c>
      <c r="D75" s="116">
        <f>SUM(D68:D74)</f>
        <v>472074.46481392899</v>
      </c>
    </row>
    <row r="76" spans="1:7" ht="15.75" customHeight="1">
      <c r="A76" s="107">
        <f t="shared" si="0"/>
        <v>63</v>
      </c>
      <c r="B76" s="122"/>
      <c r="C76" s="101"/>
      <c r="D76" s="120"/>
    </row>
    <row r="77" spans="1:7" ht="15.75" customHeight="1">
      <c r="A77" s="107">
        <f t="shared" si="0"/>
        <v>64</v>
      </c>
      <c r="B77" s="122"/>
      <c r="C77" s="130" t="s">
        <v>129</v>
      </c>
      <c r="D77" s="120"/>
    </row>
    <row r="78" spans="1:7" ht="15.75" customHeight="1">
      <c r="A78" s="107">
        <f t="shared" si="0"/>
        <v>65</v>
      </c>
      <c r="B78" s="137">
        <v>8620</v>
      </c>
      <c r="C78" s="138" t="s">
        <v>130</v>
      </c>
      <c r="D78" s="136">
        <v>0</v>
      </c>
    </row>
    <row r="79" spans="1:7" ht="15.75" customHeight="1">
      <c r="A79" s="107">
        <f t="shared" ref="A79:A142" si="1">A78+1</f>
        <v>66</v>
      </c>
      <c r="B79" s="137">
        <v>8630</v>
      </c>
      <c r="C79" s="138" t="s">
        <v>131</v>
      </c>
      <c r="D79" s="133">
        <f>'C.2.2 B 09'!P67</f>
        <v>31278.56551621508</v>
      </c>
    </row>
    <row r="80" spans="1:7" ht="15.75" customHeight="1">
      <c r="A80" s="107">
        <f t="shared" si="1"/>
        <v>67</v>
      </c>
      <c r="B80" s="137">
        <v>8640</v>
      </c>
      <c r="C80" s="138" t="s">
        <v>132</v>
      </c>
      <c r="D80" s="133">
        <f>'C.2.2 B 09'!P68</f>
        <v>0</v>
      </c>
    </row>
    <row r="81" spans="1:5" ht="15.75" customHeight="1">
      <c r="A81" s="107">
        <f t="shared" si="1"/>
        <v>68</v>
      </c>
      <c r="B81" s="137">
        <v>8650</v>
      </c>
      <c r="C81" s="138" t="s">
        <v>133</v>
      </c>
      <c r="D81" s="133">
        <f>'C.2.2 B 09'!P69</f>
        <v>0</v>
      </c>
    </row>
    <row r="82" spans="1:5" ht="15.75" customHeight="1">
      <c r="A82" s="107">
        <f t="shared" si="1"/>
        <v>69</v>
      </c>
      <c r="B82" s="137">
        <v>8670</v>
      </c>
      <c r="C82" s="138" t="s">
        <v>134</v>
      </c>
      <c r="D82" s="121">
        <v>0</v>
      </c>
    </row>
    <row r="83" spans="1:5" ht="15.75" customHeight="1">
      <c r="A83" s="107">
        <f t="shared" si="1"/>
        <v>70</v>
      </c>
      <c r="B83" s="122"/>
      <c r="C83" s="134" t="s">
        <v>135</v>
      </c>
      <c r="D83" s="116">
        <f>SUM(D78:D82)</f>
        <v>31278.56551621508</v>
      </c>
    </row>
    <row r="84" spans="1:5" ht="15.75" customHeight="1">
      <c r="A84" s="107">
        <f t="shared" si="1"/>
        <v>71</v>
      </c>
      <c r="B84" s="122"/>
      <c r="C84" s="101"/>
      <c r="D84" s="120"/>
    </row>
    <row r="85" spans="1:5" ht="15.75" customHeight="1">
      <c r="A85" s="107">
        <f t="shared" si="1"/>
        <v>72</v>
      </c>
      <c r="B85" s="122"/>
      <c r="C85" s="130" t="s">
        <v>136</v>
      </c>
      <c r="D85" s="123"/>
    </row>
    <row r="86" spans="1:5" ht="15.75" customHeight="1">
      <c r="A86" s="107">
        <f t="shared" si="1"/>
        <v>73</v>
      </c>
      <c r="B86" s="114">
        <v>8001</v>
      </c>
      <c r="C86" s="115" t="s">
        <v>137</v>
      </c>
      <c r="D86" s="136">
        <f>'C.2.2 B 09'!P32</f>
        <v>0</v>
      </c>
      <c r="E86" s="141"/>
    </row>
    <row r="87" spans="1:5" ht="15.75" customHeight="1">
      <c r="A87" s="107">
        <f t="shared" si="1"/>
        <v>74</v>
      </c>
      <c r="B87" s="114">
        <v>8010</v>
      </c>
      <c r="C87" s="142" t="s">
        <v>138</v>
      </c>
      <c r="D87" s="133">
        <f>'C.2.2 B 09'!P33</f>
        <v>57331.039218283717</v>
      </c>
      <c r="E87" s="141"/>
    </row>
    <row r="88" spans="1:5" ht="15.75" customHeight="1">
      <c r="A88" s="107">
        <f t="shared" si="1"/>
        <v>75</v>
      </c>
      <c r="B88" s="114">
        <v>8040</v>
      </c>
      <c r="C88" s="108" t="s">
        <v>139</v>
      </c>
      <c r="D88" s="133">
        <f>'C.2.2 B 09'!P34</f>
        <v>51720582.736230917</v>
      </c>
      <c r="E88" s="141"/>
    </row>
    <row r="89" spans="1:5" ht="15.75" customHeight="1">
      <c r="A89" s="107">
        <f t="shared" si="1"/>
        <v>76</v>
      </c>
      <c r="B89" s="114">
        <v>8045</v>
      </c>
      <c r="C89" s="108" t="s">
        <v>140</v>
      </c>
      <c r="D89" s="133">
        <v>0</v>
      </c>
      <c r="E89" s="141"/>
    </row>
    <row r="90" spans="1:5" ht="15.75" customHeight="1">
      <c r="A90" s="107">
        <f t="shared" si="1"/>
        <v>77</v>
      </c>
      <c r="B90" s="114">
        <v>8050</v>
      </c>
      <c r="C90" s="115" t="s">
        <v>141</v>
      </c>
      <c r="D90" s="133">
        <f>'C.2.2 B 09'!P35</f>
        <v>-9732.5069469512564</v>
      </c>
      <c r="E90" s="141"/>
    </row>
    <row r="91" spans="1:5" ht="15.75" customHeight="1">
      <c r="A91" s="107">
        <f t="shared" si="1"/>
        <v>78</v>
      </c>
      <c r="B91" s="114">
        <v>8051</v>
      </c>
      <c r="C91" s="108" t="s">
        <v>142</v>
      </c>
      <c r="D91" s="133">
        <f>'C.2.2 B 09'!P36</f>
        <v>50518813.161200158</v>
      </c>
      <c r="E91" s="141"/>
    </row>
    <row r="92" spans="1:5" ht="15.75" customHeight="1">
      <c r="A92" s="107">
        <f t="shared" si="1"/>
        <v>79</v>
      </c>
      <c r="B92" s="114">
        <v>8052</v>
      </c>
      <c r="C92" s="108" t="s">
        <v>143</v>
      </c>
      <c r="D92" s="133">
        <f>'C.2.2 B 09'!P37</f>
        <v>26019230.055820268</v>
      </c>
      <c r="E92" s="141"/>
    </row>
    <row r="93" spans="1:5" ht="15.75" customHeight="1">
      <c r="A93" s="107">
        <f t="shared" si="1"/>
        <v>80</v>
      </c>
      <c r="B93" s="114">
        <v>8053</v>
      </c>
      <c r="C93" s="108" t="s">
        <v>144</v>
      </c>
      <c r="D93" s="133">
        <f>'C.2.2 B 09'!P38</f>
        <v>4915787.7314840388</v>
      </c>
      <c r="E93" s="141"/>
    </row>
    <row r="94" spans="1:5" ht="15.75" customHeight="1">
      <c r="A94" s="107">
        <f t="shared" si="1"/>
        <v>81</v>
      </c>
      <c r="B94" s="114">
        <v>8054</v>
      </c>
      <c r="C94" s="108" t="s">
        <v>145</v>
      </c>
      <c r="D94" s="133">
        <f>'C.2.2 B 09'!P39</f>
        <v>4820864.808397444</v>
      </c>
      <c r="E94" s="141"/>
    </row>
    <row r="95" spans="1:5" ht="15.75" customHeight="1">
      <c r="A95" s="107">
        <f t="shared" si="1"/>
        <v>82</v>
      </c>
      <c r="B95" s="114">
        <v>8057</v>
      </c>
      <c r="C95" s="108" t="s">
        <v>146</v>
      </c>
      <c r="D95" s="133">
        <v>0</v>
      </c>
      <c r="E95" s="141"/>
    </row>
    <row r="96" spans="1:5" ht="15.75" customHeight="1">
      <c r="A96" s="107">
        <f t="shared" si="1"/>
        <v>83</v>
      </c>
      <c r="B96" s="114">
        <v>8058</v>
      </c>
      <c r="C96" s="108" t="s">
        <v>147</v>
      </c>
      <c r="D96" s="133">
        <f>'C.2.2 B 09'!P40</f>
        <v>-1255496.6897552614</v>
      </c>
      <c r="E96" s="141"/>
    </row>
    <row r="97" spans="1:6" ht="15.75" customHeight="1">
      <c r="A97" s="107">
        <f t="shared" si="1"/>
        <v>84</v>
      </c>
      <c r="B97" s="114">
        <v>8059</v>
      </c>
      <c r="C97" s="108" t="s">
        <v>148</v>
      </c>
      <c r="D97" s="133">
        <f>'C.2.2 B 09'!P41</f>
        <v>-74481748.693804845</v>
      </c>
      <c r="E97" s="141"/>
    </row>
    <row r="98" spans="1:6" ht="15.75" customHeight="1">
      <c r="A98" s="107">
        <f t="shared" si="1"/>
        <v>85</v>
      </c>
      <c r="B98" s="114">
        <v>8060</v>
      </c>
      <c r="C98" s="108" t="s">
        <v>149</v>
      </c>
      <c r="D98" s="133">
        <f>'C.2.2 B 09'!P42</f>
        <v>-85121.389304468641</v>
      </c>
      <c r="E98" s="141"/>
    </row>
    <row r="99" spans="1:6" ht="15.75" customHeight="1">
      <c r="A99" s="107">
        <f t="shared" si="1"/>
        <v>86</v>
      </c>
      <c r="B99" s="114">
        <v>8081</v>
      </c>
      <c r="C99" s="108" t="s">
        <v>150</v>
      </c>
      <c r="D99" s="133">
        <f>'C.2.2 B 09'!P43</f>
        <v>13684781.811186628</v>
      </c>
      <c r="E99" s="141"/>
    </row>
    <row r="100" spans="1:6" ht="15.75" customHeight="1">
      <c r="A100" s="107">
        <f t="shared" si="1"/>
        <v>87</v>
      </c>
      <c r="B100" s="114">
        <v>8082</v>
      </c>
      <c r="C100" s="108" t="s">
        <v>151</v>
      </c>
      <c r="D100" s="133">
        <f>'C.2.2 B 09'!P44</f>
        <v>-14694558.601504028</v>
      </c>
      <c r="E100" s="141"/>
    </row>
    <row r="101" spans="1:6" ht="15.75" customHeight="1">
      <c r="A101" s="107">
        <f t="shared" si="1"/>
        <v>88</v>
      </c>
      <c r="B101" s="114">
        <v>8110</v>
      </c>
      <c r="C101" s="108" t="s">
        <v>152</v>
      </c>
      <c r="D101" s="133">
        <v>0</v>
      </c>
      <c r="E101" s="141"/>
    </row>
    <row r="102" spans="1:6" ht="15.75" customHeight="1">
      <c r="A102" s="107">
        <f t="shared" si="1"/>
        <v>89</v>
      </c>
      <c r="B102" s="114">
        <v>8120</v>
      </c>
      <c r="C102" s="108" t="s">
        <v>153</v>
      </c>
      <c r="D102" s="133">
        <f>'C.2.2 B 09'!P45</f>
        <v>-9886.2191144882872</v>
      </c>
      <c r="E102" s="141"/>
    </row>
    <row r="103" spans="1:6" ht="15.75" customHeight="1">
      <c r="A103" s="107">
        <f t="shared" si="1"/>
        <v>90</v>
      </c>
      <c r="B103" s="114">
        <v>8130</v>
      </c>
      <c r="C103" s="108" t="s">
        <v>153</v>
      </c>
      <c r="D103" s="133">
        <v>0</v>
      </c>
      <c r="E103" s="141"/>
    </row>
    <row r="104" spans="1:6" ht="15.75" customHeight="1">
      <c r="A104" s="107">
        <f t="shared" si="1"/>
        <v>91</v>
      </c>
      <c r="B104" s="114">
        <v>8580</v>
      </c>
      <c r="C104" s="108" t="s">
        <v>154</v>
      </c>
      <c r="D104" s="121">
        <f>'C.2.2 B 09'!P46</f>
        <v>23808465.704924461</v>
      </c>
      <c r="E104" s="141"/>
      <c r="F104" s="75"/>
    </row>
    <row r="105" spans="1:6" ht="15.75" customHeight="1">
      <c r="A105" s="107">
        <f t="shared" si="1"/>
        <v>92</v>
      </c>
      <c r="B105" s="122"/>
      <c r="C105" s="143" t="s">
        <v>155</v>
      </c>
      <c r="D105" s="116">
        <f>SUM(D86:D104)</f>
        <v>85009312.948032156</v>
      </c>
      <c r="F105" s="144"/>
    </row>
    <row r="106" spans="1:6" ht="15.75" customHeight="1">
      <c r="A106" s="107">
        <f t="shared" si="1"/>
        <v>93</v>
      </c>
      <c r="B106" s="122"/>
      <c r="D106" s="131"/>
    </row>
    <row r="107" spans="1:6" ht="15.75" customHeight="1">
      <c r="A107" s="107">
        <f t="shared" si="1"/>
        <v>94</v>
      </c>
      <c r="B107" s="122"/>
      <c r="C107" s="130" t="s">
        <v>156</v>
      </c>
      <c r="D107" s="131"/>
    </row>
    <row r="108" spans="1:6" ht="15.75" customHeight="1">
      <c r="A108" s="107">
        <f t="shared" si="1"/>
        <v>95</v>
      </c>
      <c r="B108" s="114">
        <v>8700</v>
      </c>
      <c r="C108" s="115" t="s">
        <v>157</v>
      </c>
      <c r="D108" s="136">
        <f>'C.2.2 B 09'!P70</f>
        <v>1403094.931856212</v>
      </c>
    </row>
    <row r="109" spans="1:6" ht="15.75" customHeight="1">
      <c r="A109" s="107">
        <f t="shared" si="1"/>
        <v>96</v>
      </c>
      <c r="B109" s="114">
        <v>8710</v>
      </c>
      <c r="C109" s="115" t="s">
        <v>158</v>
      </c>
      <c r="D109" s="133">
        <f>'C.2.2 B 09'!P71</f>
        <v>980.97364549621614</v>
      </c>
    </row>
    <row r="110" spans="1:6" ht="15.75" customHeight="1">
      <c r="A110" s="107">
        <f t="shared" si="1"/>
        <v>97</v>
      </c>
      <c r="B110" s="114">
        <v>8711</v>
      </c>
      <c r="C110" s="108" t="s">
        <v>159</v>
      </c>
      <c r="D110" s="133">
        <f>'C.2.2 B 09'!P72</f>
        <v>44716.310026741266</v>
      </c>
    </row>
    <row r="111" spans="1:6" ht="15.75" customHeight="1">
      <c r="A111" s="107">
        <f t="shared" si="1"/>
        <v>98</v>
      </c>
      <c r="B111" s="114">
        <v>8720</v>
      </c>
      <c r="C111" s="115" t="s">
        <v>160</v>
      </c>
      <c r="D111" s="133">
        <f>'C.2.2 B 09'!P73</f>
        <v>0</v>
      </c>
    </row>
    <row r="112" spans="1:6" ht="15.75" customHeight="1">
      <c r="A112" s="107">
        <f t="shared" si="1"/>
        <v>99</v>
      </c>
      <c r="B112" s="114">
        <v>8740</v>
      </c>
      <c r="C112" s="115" t="s">
        <v>161</v>
      </c>
      <c r="D112" s="133">
        <f>'C.2.2 B 09'!P74</f>
        <v>5043095.7069810312</v>
      </c>
    </row>
    <row r="113" spans="1:4" ht="15.75" customHeight="1">
      <c r="A113" s="107">
        <f t="shared" si="1"/>
        <v>100</v>
      </c>
      <c r="B113" s="114">
        <v>8750</v>
      </c>
      <c r="C113" s="115" t="s">
        <v>162</v>
      </c>
      <c r="D113" s="133">
        <f>'C.2.2 B 09'!P75</f>
        <v>601463.30742223863</v>
      </c>
    </row>
    <row r="114" spans="1:4" ht="15.75" customHeight="1">
      <c r="A114" s="107">
        <f t="shared" si="1"/>
        <v>101</v>
      </c>
      <c r="B114" s="114">
        <v>8760</v>
      </c>
      <c r="C114" s="115" t="s">
        <v>163</v>
      </c>
      <c r="D114" s="133">
        <f>'C.2.2 B 09'!P76</f>
        <v>169323.49703161369</v>
      </c>
    </row>
    <row r="115" spans="1:4" ht="15.75" customHeight="1">
      <c r="A115" s="107">
        <f t="shared" si="1"/>
        <v>102</v>
      </c>
      <c r="B115" s="114">
        <v>8770</v>
      </c>
      <c r="C115" s="115" t="s">
        <v>164</v>
      </c>
      <c r="D115" s="133">
        <f>'C.2.2 B 09'!P77</f>
        <v>57367.479054311654</v>
      </c>
    </row>
    <row r="116" spans="1:4" ht="15.75" customHeight="1">
      <c r="A116" s="107">
        <f t="shared" si="1"/>
        <v>103</v>
      </c>
      <c r="B116" s="114">
        <v>8780</v>
      </c>
      <c r="C116" s="115" t="s">
        <v>165</v>
      </c>
      <c r="D116" s="133">
        <f>'C.2.2 B 09'!P78</f>
        <v>974051.48188629292</v>
      </c>
    </row>
    <row r="117" spans="1:4" ht="15.75" customHeight="1">
      <c r="A117" s="107">
        <f t="shared" si="1"/>
        <v>104</v>
      </c>
      <c r="B117" s="114">
        <v>8790</v>
      </c>
      <c r="C117" s="115" t="s">
        <v>166</v>
      </c>
      <c r="D117" s="133">
        <f>'C.2.2 B 09'!P79</f>
        <v>2353.256384516284</v>
      </c>
    </row>
    <row r="118" spans="1:4" ht="15.75" customHeight="1">
      <c r="A118" s="107">
        <f t="shared" si="1"/>
        <v>105</v>
      </c>
      <c r="B118" s="114">
        <v>8800</v>
      </c>
      <c r="C118" s="115" t="s">
        <v>167</v>
      </c>
      <c r="D118" s="133">
        <f>'C.2.2 B 09'!P80</f>
        <v>6945.525992264149</v>
      </c>
    </row>
    <row r="119" spans="1:4" ht="15.75" customHeight="1">
      <c r="A119" s="107">
        <f t="shared" si="1"/>
        <v>106</v>
      </c>
      <c r="B119" s="114">
        <v>8810</v>
      </c>
      <c r="C119" s="115" t="s">
        <v>127</v>
      </c>
      <c r="D119" s="121">
        <f>'C.2.2 B 09'!P81</f>
        <v>462475.09660262178</v>
      </c>
    </row>
    <row r="120" spans="1:4" ht="15.75" customHeight="1">
      <c r="A120" s="107">
        <f t="shared" si="1"/>
        <v>107</v>
      </c>
      <c r="B120" s="122"/>
      <c r="C120" s="134" t="s">
        <v>168</v>
      </c>
      <c r="D120" s="116">
        <f>SUM(D108:D119)</f>
        <v>8765867.5668833386</v>
      </c>
    </row>
    <row r="121" spans="1:4" ht="15.75" customHeight="1">
      <c r="A121" s="107">
        <f t="shared" si="1"/>
        <v>108</v>
      </c>
      <c r="B121" s="122"/>
      <c r="C121" s="101"/>
      <c r="D121" s="120"/>
    </row>
    <row r="122" spans="1:4" ht="15.75" customHeight="1">
      <c r="A122" s="107">
        <f t="shared" si="1"/>
        <v>109</v>
      </c>
      <c r="B122" s="107"/>
      <c r="C122" s="130" t="s">
        <v>169</v>
      </c>
      <c r="D122" s="123"/>
    </row>
    <row r="123" spans="1:4" ht="15.75" customHeight="1">
      <c r="A123" s="107">
        <f t="shared" si="1"/>
        <v>110</v>
      </c>
      <c r="B123" s="114">
        <v>8850</v>
      </c>
      <c r="C123" s="115" t="s">
        <v>157</v>
      </c>
      <c r="D123" s="136">
        <f>'C.2.2 B 09'!P82</f>
        <v>1268.5314369268344</v>
      </c>
    </row>
    <row r="124" spans="1:4" ht="15.75" customHeight="1">
      <c r="A124" s="107">
        <f t="shared" si="1"/>
        <v>111</v>
      </c>
      <c r="B124" s="114">
        <v>8860</v>
      </c>
      <c r="C124" s="115" t="s">
        <v>130</v>
      </c>
      <c r="D124" s="133">
        <f>'C.2.2 B 09'!P83</f>
        <v>132.903925747204</v>
      </c>
    </row>
    <row r="125" spans="1:4" ht="15.75" customHeight="1">
      <c r="A125" s="107">
        <f t="shared" si="1"/>
        <v>112</v>
      </c>
      <c r="B125" s="114">
        <v>8870</v>
      </c>
      <c r="C125" s="115" t="s">
        <v>131</v>
      </c>
      <c r="D125" s="133">
        <f>'C.2.2 B 09'!P84</f>
        <v>34854.890851817079</v>
      </c>
    </row>
    <row r="126" spans="1:4" ht="15.75" customHeight="1">
      <c r="A126" s="107">
        <f t="shared" si="1"/>
        <v>113</v>
      </c>
      <c r="B126" s="114">
        <v>8890</v>
      </c>
      <c r="C126" s="115" t="s">
        <v>162</v>
      </c>
      <c r="D126" s="133">
        <f>'C.2.2 B 09'!P85</f>
        <v>67921.286607456175</v>
      </c>
    </row>
    <row r="127" spans="1:4" ht="15.75" customHeight="1">
      <c r="A127" s="107">
        <f t="shared" si="1"/>
        <v>114</v>
      </c>
      <c r="B127" s="114">
        <v>8900</v>
      </c>
      <c r="C127" s="115" t="s">
        <v>163</v>
      </c>
      <c r="D127" s="133">
        <f>'C.2.2 B 09'!P86</f>
        <v>1699.2545595795827</v>
      </c>
    </row>
    <row r="128" spans="1:4" ht="15.75" customHeight="1">
      <c r="A128" s="107">
        <f t="shared" si="1"/>
        <v>115</v>
      </c>
      <c r="B128" s="114">
        <v>8910</v>
      </c>
      <c r="C128" s="115" t="s">
        <v>164</v>
      </c>
      <c r="D128" s="133">
        <f>'C.2.2 B 09'!P87</f>
        <v>1145.7166312676889</v>
      </c>
    </row>
    <row r="129" spans="1:5" ht="15.75" customHeight="1">
      <c r="A129" s="107">
        <f t="shared" si="1"/>
        <v>116</v>
      </c>
      <c r="B129" s="114">
        <v>8920</v>
      </c>
      <c r="C129" s="115" t="s">
        <v>170</v>
      </c>
      <c r="D129" s="133">
        <f>'C.2.2 B 09'!P88</f>
        <v>6186.7806724494658</v>
      </c>
    </row>
    <row r="130" spans="1:5" ht="15.75" customHeight="1">
      <c r="A130" s="107">
        <f t="shared" si="1"/>
        <v>117</v>
      </c>
      <c r="B130" s="114">
        <v>8930</v>
      </c>
      <c r="C130" s="115" t="s">
        <v>171</v>
      </c>
      <c r="D130" s="133">
        <f>'C.2.2 B 09'!P89</f>
        <v>0</v>
      </c>
    </row>
    <row r="131" spans="1:5" ht="15.75" customHeight="1">
      <c r="A131" s="107">
        <f t="shared" si="1"/>
        <v>118</v>
      </c>
      <c r="B131" s="114">
        <v>8940</v>
      </c>
      <c r="C131" s="115" t="s">
        <v>134</v>
      </c>
      <c r="D131" s="133">
        <f>'C.2.2 B 09'!P90</f>
        <v>11940.643706145476</v>
      </c>
    </row>
    <row r="132" spans="1:5" ht="15.75" customHeight="1">
      <c r="A132" s="107">
        <f t="shared" si="1"/>
        <v>119</v>
      </c>
      <c r="B132" s="114">
        <v>8950</v>
      </c>
      <c r="C132" s="115" t="s">
        <v>172</v>
      </c>
      <c r="D132" s="121">
        <v>0</v>
      </c>
    </row>
    <row r="133" spans="1:5" ht="15.75" customHeight="1">
      <c r="A133" s="107">
        <f t="shared" si="1"/>
        <v>120</v>
      </c>
      <c r="B133" s="122"/>
      <c r="C133" s="134" t="s">
        <v>173</v>
      </c>
      <c r="D133" s="116">
        <f>SUM(D123:D132)</f>
        <v>125150.00839138949</v>
      </c>
    </row>
    <row r="134" spans="1:5" ht="15.75" customHeight="1">
      <c r="A134" s="107">
        <f t="shared" si="1"/>
        <v>121</v>
      </c>
      <c r="B134" s="122"/>
      <c r="C134" s="134"/>
      <c r="D134" s="120"/>
    </row>
    <row r="135" spans="1:5" ht="15.75" customHeight="1">
      <c r="A135" s="107">
        <f t="shared" si="1"/>
        <v>122</v>
      </c>
      <c r="B135" s="107"/>
      <c r="C135" s="130" t="s">
        <v>174</v>
      </c>
      <c r="D135" s="123"/>
    </row>
    <row r="136" spans="1:5" ht="15.75" customHeight="1">
      <c r="A136" s="107">
        <f t="shared" si="1"/>
        <v>123</v>
      </c>
      <c r="B136" s="114">
        <v>9010</v>
      </c>
      <c r="C136" s="115" t="s">
        <v>175</v>
      </c>
      <c r="D136" s="136">
        <f>'C.2.2 B 09'!P91</f>
        <v>0</v>
      </c>
    </row>
    <row r="137" spans="1:5" ht="15.75" customHeight="1">
      <c r="A137" s="107">
        <f t="shared" si="1"/>
        <v>124</v>
      </c>
      <c r="B137" s="114">
        <v>9020</v>
      </c>
      <c r="C137" s="115" t="s">
        <v>176</v>
      </c>
      <c r="D137" s="133">
        <f>'C.2.2 B 09'!P92</f>
        <v>1203689.5457890313</v>
      </c>
    </row>
    <row r="138" spans="1:5" ht="15.75" customHeight="1">
      <c r="A138" s="107">
        <f t="shared" si="1"/>
        <v>125</v>
      </c>
      <c r="B138" s="114">
        <v>9030</v>
      </c>
      <c r="C138" s="115" t="s">
        <v>177</v>
      </c>
      <c r="D138" s="133">
        <f>'C.2.2 B 09'!P93</f>
        <v>1312737.3737843577</v>
      </c>
    </row>
    <row r="139" spans="1:5" ht="15.75" customHeight="1">
      <c r="A139" s="107">
        <f t="shared" si="1"/>
        <v>126</v>
      </c>
      <c r="B139" s="114">
        <v>9040</v>
      </c>
      <c r="C139" s="115" t="s">
        <v>178</v>
      </c>
      <c r="D139" s="121">
        <f>'C.2.2 B 09'!P94</f>
        <v>922870.00390000001</v>
      </c>
      <c r="E139" s="145"/>
    </row>
    <row r="140" spans="1:5" ht="15.75" customHeight="1">
      <c r="A140" s="107">
        <f t="shared" si="1"/>
        <v>127</v>
      </c>
      <c r="B140" s="107"/>
      <c r="C140" s="134" t="s">
        <v>179</v>
      </c>
      <c r="D140" s="116">
        <f>SUM(D136:D139)</f>
        <v>3439296.9234733889</v>
      </c>
    </row>
    <row r="141" spans="1:5" ht="15.75" customHeight="1">
      <c r="A141" s="107">
        <f t="shared" si="1"/>
        <v>128</v>
      </c>
      <c r="B141" s="122"/>
      <c r="C141" s="134"/>
      <c r="D141" s="120"/>
    </row>
    <row r="142" spans="1:5" ht="15.75" customHeight="1">
      <c r="A142" s="107">
        <f t="shared" si="1"/>
        <v>129</v>
      </c>
      <c r="B142" s="122"/>
      <c r="C142" s="130" t="s">
        <v>180</v>
      </c>
      <c r="D142" s="131"/>
    </row>
    <row r="143" spans="1:5" ht="15.75" customHeight="1">
      <c r="A143" s="107">
        <f t="shared" ref="A143:A183" si="2">A142+1</f>
        <v>130</v>
      </c>
      <c r="B143" s="114">
        <v>9070</v>
      </c>
      <c r="C143" s="115" t="s">
        <v>175</v>
      </c>
      <c r="D143" s="136">
        <v>0</v>
      </c>
    </row>
    <row r="144" spans="1:5" ht="15.75" customHeight="1">
      <c r="A144" s="107">
        <f t="shared" si="2"/>
        <v>131</v>
      </c>
      <c r="B144" s="114">
        <v>9080</v>
      </c>
      <c r="C144" s="115" t="s">
        <v>181</v>
      </c>
      <c r="D144" s="133">
        <v>0</v>
      </c>
    </row>
    <row r="145" spans="1:4" ht="15.75" customHeight="1">
      <c r="A145" s="107">
        <f t="shared" si="2"/>
        <v>132</v>
      </c>
      <c r="B145" s="114">
        <v>9090</v>
      </c>
      <c r="C145" s="115" t="s">
        <v>182</v>
      </c>
      <c r="D145" s="133">
        <f>'C.2.2 B 09'!P95</f>
        <v>126737.61936772459</v>
      </c>
    </row>
    <row r="146" spans="1:4" ht="15.75" customHeight="1">
      <c r="A146" s="107">
        <f t="shared" si="2"/>
        <v>133</v>
      </c>
      <c r="B146" s="114">
        <v>9100</v>
      </c>
      <c r="C146" s="115" t="s">
        <v>183</v>
      </c>
      <c r="D146" s="121">
        <f>'C.2.2 B 09'!P96</f>
        <v>85</v>
      </c>
    </row>
    <row r="147" spans="1:4" ht="15.75" customHeight="1">
      <c r="A147" s="107">
        <f t="shared" si="2"/>
        <v>134</v>
      </c>
      <c r="B147" s="107"/>
      <c r="C147" s="134" t="s">
        <v>184</v>
      </c>
      <c r="D147" s="116">
        <f>SUM(D143:D146)</f>
        <v>126822.61936772459</v>
      </c>
    </row>
    <row r="148" spans="1:4" ht="15.75" customHeight="1">
      <c r="A148" s="107">
        <f t="shared" si="2"/>
        <v>135</v>
      </c>
      <c r="B148" s="107"/>
      <c r="C148" s="111"/>
      <c r="D148" s="123"/>
    </row>
    <row r="149" spans="1:4" ht="15.75" customHeight="1">
      <c r="A149" s="107">
        <f t="shared" si="2"/>
        <v>136</v>
      </c>
      <c r="B149" s="107"/>
      <c r="C149" s="130" t="s">
        <v>55</v>
      </c>
      <c r="D149" s="123"/>
    </row>
    <row r="150" spans="1:4" ht="15.75" customHeight="1">
      <c r="A150" s="107">
        <f t="shared" si="2"/>
        <v>137</v>
      </c>
      <c r="B150" s="114">
        <v>9110</v>
      </c>
      <c r="C150" s="115" t="s">
        <v>175</v>
      </c>
      <c r="D150" s="136">
        <f>'C.2.2 B 09'!P97</f>
        <v>266512.62846449408</v>
      </c>
    </row>
    <row r="151" spans="1:4" ht="15.75" customHeight="1">
      <c r="A151" s="107">
        <f t="shared" si="2"/>
        <v>138</v>
      </c>
      <c r="B151" s="114">
        <v>9120</v>
      </c>
      <c r="C151" s="115" t="s">
        <v>185</v>
      </c>
      <c r="D151" s="133">
        <f>'C.2.2 B 09'!P98</f>
        <v>135841.30566755153</v>
      </c>
    </row>
    <row r="152" spans="1:4" ht="15.75" customHeight="1">
      <c r="A152" s="107">
        <f t="shared" si="2"/>
        <v>139</v>
      </c>
      <c r="B152" s="114">
        <v>9130</v>
      </c>
      <c r="C152" s="115" t="s">
        <v>186</v>
      </c>
      <c r="D152" s="133">
        <f>'C.2.2 B 09'!P99</f>
        <v>35898.389334028754</v>
      </c>
    </row>
    <row r="153" spans="1:4" ht="15.75" customHeight="1">
      <c r="A153" s="107">
        <f t="shared" si="2"/>
        <v>140</v>
      </c>
      <c r="B153" s="114">
        <v>9160</v>
      </c>
      <c r="C153" s="115" t="s">
        <v>187</v>
      </c>
      <c r="D153" s="121">
        <v>0</v>
      </c>
    </row>
    <row r="154" spans="1:4" ht="15.75" customHeight="1">
      <c r="A154" s="107">
        <f t="shared" si="2"/>
        <v>141</v>
      </c>
      <c r="B154" s="107"/>
      <c r="C154" s="134" t="s">
        <v>188</v>
      </c>
      <c r="D154" s="116">
        <f>SUM(D150:D153)</f>
        <v>438252.32346607436</v>
      </c>
    </row>
    <row r="155" spans="1:4" ht="15.75" customHeight="1">
      <c r="A155" s="107">
        <f t="shared" si="2"/>
        <v>142</v>
      </c>
      <c r="B155" s="122"/>
      <c r="D155" s="123"/>
    </row>
    <row r="156" spans="1:4" ht="15.75" customHeight="1">
      <c r="A156" s="107">
        <f t="shared" si="2"/>
        <v>143</v>
      </c>
      <c r="B156" s="107"/>
      <c r="C156" s="130" t="s">
        <v>189</v>
      </c>
      <c r="D156" s="123"/>
    </row>
    <row r="157" spans="1:4" ht="15.75" customHeight="1">
      <c r="A157" s="107">
        <f t="shared" si="2"/>
        <v>144</v>
      </c>
      <c r="B157" s="114">
        <v>9200</v>
      </c>
      <c r="C157" s="115" t="s">
        <v>190</v>
      </c>
      <c r="D157" s="136">
        <f>'C.2.2 B 09'!P100</f>
        <v>138790.91254867119</v>
      </c>
    </row>
    <row r="158" spans="1:4" ht="15.75" customHeight="1">
      <c r="A158" s="107">
        <f t="shared" si="2"/>
        <v>145</v>
      </c>
      <c r="B158" s="114">
        <v>9210</v>
      </c>
      <c r="C158" s="115" t="s">
        <v>191</v>
      </c>
      <c r="D158" s="133">
        <f>'C.2.2 B 09'!P101</f>
        <v>17373.541935913468</v>
      </c>
    </row>
    <row r="159" spans="1:4" ht="15.75" customHeight="1">
      <c r="A159" s="107">
        <f t="shared" si="2"/>
        <v>146</v>
      </c>
      <c r="B159" s="114">
        <v>9220</v>
      </c>
      <c r="C159" s="115" t="s">
        <v>192</v>
      </c>
      <c r="D159" s="133">
        <f>'C.2.2 B 09'!P102</f>
        <v>12671989.163666487</v>
      </c>
    </row>
    <row r="160" spans="1:4" ht="15.75" customHeight="1">
      <c r="A160" s="107">
        <f t="shared" si="2"/>
        <v>147</v>
      </c>
      <c r="B160" s="114">
        <v>9230</v>
      </c>
      <c r="C160" s="115" t="s">
        <v>193</v>
      </c>
      <c r="D160" s="133">
        <f>'C.2.2 B 09'!P103</f>
        <v>354931.82298137835</v>
      </c>
    </row>
    <row r="161" spans="1:7" ht="15.75" customHeight="1">
      <c r="A161" s="107">
        <f t="shared" si="2"/>
        <v>148</v>
      </c>
      <c r="B161" s="114">
        <v>9240</v>
      </c>
      <c r="C161" s="115" t="s">
        <v>194</v>
      </c>
      <c r="D161" s="133">
        <f>'C.2.2 B 09'!P104</f>
        <v>143528.22491894281</v>
      </c>
    </row>
    <row r="162" spans="1:7" ht="15.75" customHeight="1">
      <c r="A162" s="107">
        <f t="shared" si="2"/>
        <v>149</v>
      </c>
      <c r="B162" s="114">
        <v>9250</v>
      </c>
      <c r="C162" s="115" t="s">
        <v>195</v>
      </c>
      <c r="D162" s="133">
        <f>'C.2.2 B 09'!P105</f>
        <v>74028.506958084952</v>
      </c>
    </row>
    <row r="163" spans="1:7" ht="15.75" customHeight="1">
      <c r="A163" s="107">
        <f t="shared" si="2"/>
        <v>150</v>
      </c>
      <c r="B163" s="114">
        <v>9260</v>
      </c>
      <c r="C163" s="115" t="s">
        <v>196</v>
      </c>
      <c r="D163" s="133">
        <f>'C.2.2 B 09'!P106</f>
        <v>1851579.5405864727</v>
      </c>
    </row>
    <row r="164" spans="1:7" ht="15.75" customHeight="1">
      <c r="A164" s="107">
        <f t="shared" si="2"/>
        <v>151</v>
      </c>
      <c r="B164" s="114">
        <v>9270</v>
      </c>
      <c r="C164" s="115" t="s">
        <v>197</v>
      </c>
      <c r="D164" s="133">
        <f>'C.2.2 B 09'!P107</f>
        <v>864.73402323090636</v>
      </c>
    </row>
    <row r="165" spans="1:7" ht="15.75" customHeight="1">
      <c r="A165" s="107">
        <f t="shared" si="2"/>
        <v>152</v>
      </c>
      <c r="B165" s="114">
        <v>9280</v>
      </c>
      <c r="C165" s="115" t="s">
        <v>198</v>
      </c>
      <c r="D165" s="133">
        <f>'C.2.2 B 09'!P108</f>
        <v>220514.280618524</v>
      </c>
    </row>
    <row r="166" spans="1:7" ht="15.75" customHeight="1">
      <c r="A166" s="107">
        <f t="shared" si="2"/>
        <v>153</v>
      </c>
      <c r="B166" s="146">
        <v>930.2</v>
      </c>
      <c r="C166" s="115" t="s">
        <v>199</v>
      </c>
      <c r="D166" s="133">
        <f>'C.2.2 B 09'!P109</f>
        <v>106987.37162276822</v>
      </c>
    </row>
    <row r="167" spans="1:7" ht="15.75" customHeight="1">
      <c r="A167" s="107">
        <f t="shared" si="2"/>
        <v>154</v>
      </c>
      <c r="B167" s="114">
        <v>9310</v>
      </c>
      <c r="C167" s="115" t="s">
        <v>200</v>
      </c>
      <c r="D167" s="135">
        <f>'C.2.2 B 09'!P110</f>
        <v>14947.004280854288</v>
      </c>
    </row>
    <row r="168" spans="1:7" ht="15.75" customHeight="1">
      <c r="A168" s="107">
        <f t="shared" si="2"/>
        <v>155</v>
      </c>
      <c r="B168" s="107"/>
      <c r="C168" s="134" t="s">
        <v>201</v>
      </c>
      <c r="D168" s="116">
        <f>SUM(D157:D167)</f>
        <v>15595535.104141325</v>
      </c>
    </row>
    <row r="169" spans="1:7" ht="15.75" customHeight="1">
      <c r="A169" s="107">
        <f t="shared" si="2"/>
        <v>156</v>
      </c>
      <c r="B169" s="107"/>
      <c r="C169" s="111"/>
      <c r="D169" s="123"/>
    </row>
    <row r="170" spans="1:7" ht="15.75" customHeight="1">
      <c r="A170" s="107">
        <f t="shared" si="2"/>
        <v>157</v>
      </c>
      <c r="B170" s="107"/>
      <c r="C170" s="130" t="s">
        <v>202</v>
      </c>
      <c r="D170" s="123"/>
    </row>
    <row r="171" spans="1:7" ht="15.75" customHeight="1">
      <c r="A171" s="107">
        <f t="shared" si="2"/>
        <v>158</v>
      </c>
      <c r="B171" s="114">
        <v>9320</v>
      </c>
      <c r="C171" s="115" t="s">
        <v>203</v>
      </c>
      <c r="D171" s="135">
        <f>'C.2.2 B 09'!P111</f>
        <v>13286.768307524495</v>
      </c>
    </row>
    <row r="172" spans="1:7" ht="15.75" customHeight="1">
      <c r="A172" s="107">
        <f t="shared" si="2"/>
        <v>159</v>
      </c>
      <c r="B172" s="107"/>
      <c r="C172" s="134" t="s">
        <v>204</v>
      </c>
      <c r="D172" s="147">
        <f>SUM(D171:D171)</f>
        <v>13286.768307524495</v>
      </c>
    </row>
    <row r="173" spans="1:7" ht="15.75" customHeight="1">
      <c r="A173" s="107">
        <f t="shared" si="2"/>
        <v>160</v>
      </c>
      <c r="B173" s="122"/>
      <c r="D173" s="131"/>
    </row>
    <row r="174" spans="1:7" ht="15.75" customHeight="1">
      <c r="A174" s="107">
        <f t="shared" si="2"/>
        <v>161</v>
      </c>
      <c r="B174" s="107"/>
      <c r="C174" s="112" t="s">
        <v>205</v>
      </c>
      <c r="D174" s="148">
        <f>+D39+D43+D55+D65+D75+D83+D105+D120+D133+D140+D147+D154+D168+D172</f>
        <v>114734572.09449863</v>
      </c>
      <c r="F174" s="98">
        <f>'C.2.2 B 09'!P119</f>
        <v>114734572.0944986</v>
      </c>
      <c r="G174" s="113">
        <f>D174-F174</f>
        <v>0</v>
      </c>
    </row>
    <row r="175" spans="1:7" ht="15.75" customHeight="1">
      <c r="A175" s="107">
        <f t="shared" si="2"/>
        <v>162</v>
      </c>
      <c r="B175" s="122"/>
      <c r="D175" s="131"/>
    </row>
    <row r="176" spans="1:7" ht="15.75" customHeight="1">
      <c r="A176" s="107">
        <f t="shared" si="2"/>
        <v>163</v>
      </c>
      <c r="B176" s="107">
        <v>403</v>
      </c>
      <c r="C176" s="108" t="s">
        <v>206</v>
      </c>
      <c r="D176" s="147">
        <f>SUM('C.2.2 B 09'!P14)</f>
        <v>20745263.992198579</v>
      </c>
    </row>
    <row r="177" spans="1:7" ht="15.75" customHeight="1">
      <c r="A177" s="107">
        <f t="shared" si="2"/>
        <v>164</v>
      </c>
      <c r="B177" s="107">
        <v>406</v>
      </c>
      <c r="C177" s="108" t="s">
        <v>207</v>
      </c>
      <c r="D177" s="147">
        <f>'C.2.2 B 09'!P15</f>
        <v>49462.65</v>
      </c>
    </row>
    <row r="178" spans="1:7" ht="15.75" customHeight="1">
      <c r="A178" s="107">
        <f t="shared" si="2"/>
        <v>165</v>
      </c>
      <c r="B178" s="114">
        <v>4081</v>
      </c>
      <c r="C178" s="108" t="s">
        <v>208</v>
      </c>
      <c r="D178" s="133">
        <f>'C.2.2 B 09'!P16</f>
        <v>6444103.6765705375</v>
      </c>
    </row>
    <row r="179" spans="1:7" ht="15.75" customHeight="1">
      <c r="A179" s="107">
        <f t="shared" si="2"/>
        <v>166</v>
      </c>
      <c r="B179" s="114" t="s">
        <v>209</v>
      </c>
      <c r="C179" s="108" t="s">
        <v>210</v>
      </c>
      <c r="D179" s="121">
        <f>+E!E23</f>
        <v>6403775.9743297407</v>
      </c>
      <c r="F179" s="126"/>
      <c r="G179" s="126"/>
    </row>
    <row r="180" spans="1:7" ht="15.75" customHeight="1">
      <c r="A180" s="107">
        <f t="shared" si="2"/>
        <v>167</v>
      </c>
      <c r="B180" s="122"/>
      <c r="D180" s="131"/>
    </row>
    <row r="181" spans="1:7" ht="15.75" customHeight="1">
      <c r="A181" s="107">
        <f t="shared" si="2"/>
        <v>168</v>
      </c>
      <c r="B181" s="149"/>
      <c r="C181" s="108" t="s">
        <v>211</v>
      </c>
      <c r="D181" s="135">
        <f>+D174+SUM(D176:D179)</f>
        <v>148377178.3875975</v>
      </c>
    </row>
    <row r="182" spans="1:7" ht="15.75" customHeight="1">
      <c r="A182" s="107">
        <f t="shared" si="2"/>
        <v>169</v>
      </c>
      <c r="B182" s="150"/>
      <c r="D182" s="131"/>
    </row>
    <row r="183" spans="1:7" ht="15.75" customHeight="1" thickBot="1">
      <c r="A183" s="107">
        <f t="shared" si="2"/>
        <v>170</v>
      </c>
      <c r="B183" s="149"/>
      <c r="C183" s="108" t="s">
        <v>212</v>
      </c>
      <c r="D183" s="151">
        <f>D33-D181</f>
        <v>27045342.888342232</v>
      </c>
    </row>
    <row r="184" spans="1:7" ht="15.75" customHeight="1" thickTop="1">
      <c r="B184" s="152"/>
    </row>
    <row r="185" spans="1:7" ht="15.75" customHeight="1">
      <c r="A185" s="111"/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2"/>
    </row>
    <row r="192" spans="1:7" ht="15.75" customHeight="1">
      <c r="B192" s="152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  <row r="196" spans="2:2" ht="15.75" customHeight="1">
      <c r="B196" s="150"/>
    </row>
    <row r="197" spans="2:2" ht="15.75" customHeight="1">
      <c r="B197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5" footer="0.5"/>
  <pageSetup scale="91" fitToHeight="15" orientation="portrait" verticalDpi="300" r:id="rId1"/>
  <headerFooter alignWithMargins="0">
    <oddFooter>&amp;RSchedule &amp;A
Page &amp;P of &amp;N</oddFooter>
  </headerFooter>
  <rowBreaks count="1" manualBreakCount="1">
    <brk id="1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7"/>
  <sheetViews>
    <sheetView view="pageBreakPreview" zoomScale="80" zoomScaleNormal="70" zoomScaleSheetLayoutView="80" workbookViewId="0">
      <pane xSplit="3" ySplit="11" topLeftCell="D24" activePane="bottomRight" state="frozen"/>
      <selection sqref="A1:J1"/>
      <selection pane="topRight" sqref="A1:J1"/>
      <selection pane="bottomLeft" sqref="A1:J1"/>
      <selection pane="bottomRight" activeCell="J48" sqref="J48"/>
    </sheetView>
  </sheetViews>
  <sheetFormatPr defaultColWidth="7.109375" defaultRowHeight="15"/>
  <cols>
    <col min="1" max="1" width="4.6640625" style="154" customWidth="1"/>
    <col min="2" max="2" width="6.6640625" style="154" customWidth="1"/>
    <col min="3" max="3" width="38.88671875" style="154" customWidth="1"/>
    <col min="4" max="5" width="13.109375" style="154" bestFit="1" customWidth="1"/>
    <col min="6" max="6" width="11.44140625" style="154" customWidth="1"/>
    <col min="7" max="8" width="13.109375" style="154" bestFit="1" customWidth="1"/>
    <col min="9" max="9" width="11.109375" style="154" customWidth="1"/>
    <col min="10" max="10" width="11.6640625" style="154" customWidth="1"/>
    <col min="11" max="14" width="13.109375" style="154" bestFit="1" customWidth="1"/>
    <col min="15" max="15" width="12.44140625" style="154" customWidth="1"/>
    <col min="16" max="16" width="14.109375" style="154" bestFit="1" customWidth="1"/>
    <col min="17" max="17" width="9.109375" style="154" customWidth="1"/>
    <col min="18" max="18" width="12.5546875" style="154" customWidth="1"/>
    <col min="19" max="22" width="7.109375" style="154"/>
    <col min="23" max="23" width="11.33203125" style="154" customWidth="1"/>
    <col min="24" max="24" width="12.5546875" style="154" customWidth="1"/>
    <col min="25" max="16384" width="7.109375" style="154"/>
  </cols>
  <sheetData>
    <row r="1" spans="1:18">
      <c r="A1" s="276" t="s">
        <v>361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17"/>
    </row>
    <row r="2" spans="1:18">
      <c r="A2" s="276" t="s">
        <v>362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17"/>
    </row>
    <row r="3" spans="1:18" ht="15.75">
      <c r="A3" s="276" t="s">
        <v>320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7"/>
    </row>
    <row r="4" spans="1:18">
      <c r="A4" s="276" t="s">
        <v>364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17"/>
    </row>
    <row r="5" spans="1:18">
      <c r="A5" s="17"/>
      <c r="B5" s="202"/>
      <c r="C5" s="202"/>
      <c r="D5" s="202"/>
      <c r="E5" s="202"/>
      <c r="F5" s="202"/>
      <c r="G5" s="203"/>
      <c r="H5" s="158"/>
      <c r="I5" s="202"/>
      <c r="J5" s="202"/>
      <c r="K5" s="202"/>
      <c r="L5" s="202"/>
      <c r="M5" s="202"/>
      <c r="N5" s="202"/>
      <c r="O5" s="202"/>
      <c r="P5" s="17"/>
      <c r="Q5" s="17"/>
    </row>
    <row r="6" spans="1:18" ht="15.75">
      <c r="A6" s="156" t="str">
        <f>'C.2.2 B 09'!A6</f>
        <v>Data:___X____Base Period________Forecasted Period</v>
      </c>
      <c r="B6" s="17"/>
      <c r="C6" s="156"/>
      <c r="D6" s="17"/>
      <c r="E6" s="17"/>
      <c r="F6" s="17"/>
      <c r="G6" s="17"/>
      <c r="H6" s="204"/>
      <c r="I6" s="17"/>
      <c r="K6" s="205"/>
      <c r="L6" s="17"/>
      <c r="M6" s="17"/>
      <c r="N6" s="202"/>
      <c r="O6" s="202"/>
      <c r="P6" s="157" t="s">
        <v>214</v>
      </c>
      <c r="Q6" s="17"/>
    </row>
    <row r="7" spans="1:18">
      <c r="A7" s="156" t="str">
        <f>'C.2.2 B 09'!A7</f>
        <v>Type of Filing:___X____Original________Updated ________Revised</v>
      </c>
      <c r="B7" s="17"/>
      <c r="C7" s="156"/>
      <c r="D7" s="17"/>
      <c r="E7" s="158"/>
      <c r="F7" s="17"/>
      <c r="G7" s="17"/>
      <c r="H7" s="17"/>
      <c r="I7" s="17"/>
      <c r="J7" s="17"/>
      <c r="K7" s="17"/>
      <c r="L7" s="17"/>
      <c r="M7" s="17"/>
      <c r="N7" s="202"/>
      <c r="O7" s="202"/>
      <c r="P7" s="159" t="s">
        <v>215</v>
      </c>
      <c r="Q7" s="17"/>
    </row>
    <row r="8" spans="1:18">
      <c r="A8" s="156" t="str">
        <f>'C.2.2 B 09'!A8</f>
        <v>Workpaper Reference No(s).____________________</v>
      </c>
      <c r="B8" s="161"/>
      <c r="C8" s="206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63" t="str">
        <f>'C.1'!J9</f>
        <v>Witness: Waller, Densman</v>
      </c>
      <c r="Q8" s="17"/>
    </row>
    <row r="9" spans="1:18">
      <c r="A9" s="164" t="s">
        <v>9</v>
      </c>
      <c r="B9" s="165" t="s">
        <v>216</v>
      </c>
      <c r="C9" s="166"/>
      <c r="D9" s="207" t="str">
        <f>'C.2.2 B 09'!D9</f>
        <v>actual</v>
      </c>
      <c r="E9" s="207" t="str">
        <f>'C.2.2 B 09'!F9</f>
        <v>actual</v>
      </c>
      <c r="F9" s="207" t="str">
        <f>'C.2.2 B 09'!F9</f>
        <v>actual</v>
      </c>
      <c r="G9" s="207" t="str">
        <f>'C.2.2 B 09'!G9</f>
        <v>actual</v>
      </c>
      <c r="H9" s="207" t="str">
        <f>'C.2.2 B 09'!H9</f>
        <v>actual</v>
      </c>
      <c r="I9" s="208" t="str">
        <f>'C.2.2 B 09'!I9</f>
        <v>actual</v>
      </c>
      <c r="J9" s="207" t="str">
        <f>'C.2.2 B 09'!J9</f>
        <v>actual</v>
      </c>
      <c r="K9" s="207" t="str">
        <f>'C.2.2 B 09'!K9</f>
        <v>actual</v>
      </c>
      <c r="L9" s="207" t="str">
        <f>'C.2.2 B 09'!L9</f>
        <v>actual</v>
      </c>
      <c r="M9" s="207" t="str">
        <f>'C.2.2 B 09'!M9</f>
        <v>actual</v>
      </c>
      <c r="N9" s="207" t="str">
        <f>'C.2.2 B 09'!N9</f>
        <v>Budgeted</v>
      </c>
      <c r="O9" s="207" t="str">
        <f>'C.2.2 B 09'!O9</f>
        <v>Budgeted</v>
      </c>
      <c r="P9" s="209"/>
      <c r="Q9" s="17"/>
    </row>
    <row r="10" spans="1:18">
      <c r="A10" s="169" t="s">
        <v>12</v>
      </c>
      <c r="B10" s="170" t="s">
        <v>12</v>
      </c>
      <c r="C10" s="171" t="s">
        <v>219</v>
      </c>
      <c r="D10" s="210">
        <f>'C.2.2 B 09'!D10</f>
        <v>43101</v>
      </c>
      <c r="E10" s="210">
        <f>'C.2.2 B 09'!F10</f>
        <v>43160</v>
      </c>
      <c r="F10" s="210">
        <f>'C.2.2 B 09'!F10</f>
        <v>43160</v>
      </c>
      <c r="G10" s="210">
        <f>'C.2.2 B 09'!G10</f>
        <v>43191</v>
      </c>
      <c r="H10" s="210">
        <f>'C.2.2 B 09'!H10</f>
        <v>43221</v>
      </c>
      <c r="I10" s="211">
        <f>'C.2.2 B 09'!I10</f>
        <v>43252</v>
      </c>
      <c r="J10" s="210">
        <f>'C.2.2 B 09'!J10</f>
        <v>43282</v>
      </c>
      <c r="K10" s="210">
        <f>'C.2.2 B 09'!K10</f>
        <v>43313</v>
      </c>
      <c r="L10" s="210">
        <f>'C.2.2 B 09'!L10</f>
        <v>43344</v>
      </c>
      <c r="M10" s="210">
        <f>'C.2.2 B 09'!M10</f>
        <v>43374</v>
      </c>
      <c r="N10" s="210">
        <f>'C.2.2 B 09'!N10</f>
        <v>43405</v>
      </c>
      <c r="O10" s="210">
        <f>'C.2.2 B 09'!O10</f>
        <v>43435</v>
      </c>
      <c r="P10" s="210" t="str">
        <f>'C.2.2 B 09'!P10</f>
        <v>Total</v>
      </c>
      <c r="Q10" s="17"/>
    </row>
    <row r="11" spans="1:18">
      <c r="A11" s="17"/>
      <c r="B11" s="17"/>
      <c r="C11" s="17"/>
      <c r="D11" s="64" t="s">
        <v>221</v>
      </c>
      <c r="E11" s="64" t="s">
        <v>221</v>
      </c>
      <c r="F11" s="64" t="s">
        <v>221</v>
      </c>
      <c r="G11" s="64" t="s">
        <v>221</v>
      </c>
      <c r="H11" s="64" t="s">
        <v>221</v>
      </c>
      <c r="I11" s="212" t="s">
        <v>221</v>
      </c>
      <c r="J11" s="64" t="s">
        <v>221</v>
      </c>
      <c r="K11" s="64" t="s">
        <v>221</v>
      </c>
      <c r="L11" s="64" t="s">
        <v>221</v>
      </c>
      <c r="M11" s="64" t="s">
        <v>221</v>
      </c>
      <c r="N11" s="64" t="s">
        <v>221</v>
      </c>
      <c r="O11" s="64" t="s">
        <v>221</v>
      </c>
      <c r="P11" s="64" t="s">
        <v>221</v>
      </c>
      <c r="Q11" s="17"/>
    </row>
    <row r="12" spans="1:18">
      <c r="A12" s="17"/>
      <c r="B12" s="175" t="s">
        <v>209</v>
      </c>
      <c r="C12" s="176" t="s">
        <v>222</v>
      </c>
      <c r="D12" s="178">
        <v>-377820.12</v>
      </c>
      <c r="E12" s="178">
        <v>-245393.37</v>
      </c>
      <c r="F12" s="178">
        <v>-4062670</v>
      </c>
      <c r="G12" s="178">
        <v>-447509.79000000004</v>
      </c>
      <c r="H12" s="178">
        <v>5945.6299999999756</v>
      </c>
      <c r="I12" s="213">
        <v>1958359</v>
      </c>
      <c r="J12" s="178"/>
      <c r="K12" s="178"/>
      <c r="L12" s="178"/>
      <c r="M12" s="178"/>
      <c r="N12" s="178"/>
      <c r="O12" s="178"/>
      <c r="P12" s="17">
        <f t="shared" ref="P12:P13" si="0">SUM(D12:O12)</f>
        <v>-3169088.6500000004</v>
      </c>
      <c r="Q12" s="17"/>
      <c r="R12" s="179"/>
    </row>
    <row r="13" spans="1:18">
      <c r="A13" s="17"/>
      <c r="B13" s="17"/>
      <c r="C13" s="17"/>
      <c r="D13" s="64"/>
      <c r="E13" s="64"/>
      <c r="F13" s="64"/>
      <c r="G13" s="64"/>
      <c r="H13" s="64"/>
      <c r="I13" s="212"/>
      <c r="J13" s="64"/>
      <c r="K13" s="64"/>
      <c r="L13" s="64"/>
      <c r="M13" s="64"/>
      <c r="N13" s="64"/>
      <c r="O13" s="64"/>
      <c r="P13" s="17">
        <f t="shared" si="0"/>
        <v>0</v>
      </c>
      <c r="Q13" s="17"/>
    </row>
    <row r="14" spans="1:18">
      <c r="A14" s="77">
        <v>1</v>
      </c>
      <c r="B14" s="175">
        <v>4030</v>
      </c>
      <c r="C14" s="17" t="s">
        <v>59</v>
      </c>
      <c r="D14" s="178">
        <v>-8.7311491370201111E-11</v>
      </c>
      <c r="E14" s="178">
        <v>-2.9103830456733704E-11</v>
      </c>
      <c r="F14" s="178">
        <v>1.8630430531629827E-11</v>
      </c>
      <c r="G14" s="178">
        <v>-7.2759576141834259E-12</v>
      </c>
      <c r="H14" s="178">
        <v>4.3655745685100555E-11</v>
      </c>
      <c r="I14" s="178">
        <v>-1.4551915228366852E-11</v>
      </c>
      <c r="J14" s="269">
        <v>-1.3278622645884752E-10</v>
      </c>
      <c r="K14" s="269">
        <v>1.1713296999005252E-11</v>
      </c>
      <c r="L14" s="269">
        <v>1.2732925824820995E-11</v>
      </c>
      <c r="M14" s="269">
        <v>4.1836756281554699E-11</v>
      </c>
      <c r="N14" s="113">
        <v>0</v>
      </c>
      <c r="O14" s="113">
        <v>0</v>
      </c>
      <c r="P14" s="17">
        <f>SUM(D14:O14)</f>
        <v>-1.4246026580622129E-10</v>
      </c>
      <c r="Q14" s="158"/>
      <c r="R14" s="179"/>
    </row>
    <row r="15" spans="1:18">
      <c r="A15" s="77">
        <f>A14+1</f>
        <v>2</v>
      </c>
      <c r="B15" s="175">
        <v>4081</v>
      </c>
      <c r="C15" s="17" t="s">
        <v>225</v>
      </c>
      <c r="D15" s="178">
        <v>9.9999997930808604E-3</v>
      </c>
      <c r="E15" s="178">
        <v>-9.9999999270181661E-3</v>
      </c>
      <c r="F15" s="178">
        <v>-9.9999998905957455E-3</v>
      </c>
      <c r="G15" s="178">
        <v>-7.3349326612515142E-11</v>
      </c>
      <c r="H15" s="178">
        <v>-1.936228954946273E-13</v>
      </c>
      <c r="I15" s="178">
        <v>-1095600.9999999995</v>
      </c>
      <c r="J15" s="270">
        <v>-9.999999967394535E-3</v>
      </c>
      <c r="K15" s="270">
        <v>9.9999999530471229E-3</v>
      </c>
      <c r="L15" s="270">
        <v>1.0000000105947038E-2</v>
      </c>
      <c r="M15" s="270">
        <v>-1.0000000056379577E-2</v>
      </c>
      <c r="N15" s="178">
        <v>0</v>
      </c>
      <c r="O15" s="178">
        <v>0</v>
      </c>
      <c r="P15" s="17">
        <f>SUM(D15:O15)</f>
        <v>-1095601.0099999995</v>
      </c>
      <c r="Q15" s="158"/>
    </row>
    <row r="16" spans="1:18">
      <c r="A16" s="77">
        <f t="shared" ref="A16:A46" si="1">A15+1</f>
        <v>3</v>
      </c>
      <c r="B16" s="175">
        <v>8210</v>
      </c>
      <c r="C16" s="176" t="s">
        <v>258</v>
      </c>
      <c r="D16" s="178">
        <f>0</f>
        <v>0</v>
      </c>
      <c r="E16" s="178">
        <f>0</f>
        <v>0</v>
      </c>
      <c r="F16" s="178">
        <f>0</f>
        <v>0</v>
      </c>
      <c r="G16" s="178">
        <f>0</f>
        <v>0</v>
      </c>
      <c r="H16" s="178">
        <f>0</f>
        <v>0</v>
      </c>
      <c r="I16" s="178">
        <f>0</f>
        <v>0</v>
      </c>
      <c r="J16" s="270">
        <v>78.03</v>
      </c>
      <c r="K16" s="270"/>
      <c r="L16" s="270"/>
      <c r="M16" s="270"/>
      <c r="N16" s="178">
        <v>0</v>
      </c>
      <c r="O16" s="178">
        <v>0</v>
      </c>
      <c r="P16" s="17">
        <f>SUM(D16:O16)</f>
        <v>78.03</v>
      </c>
      <c r="Q16" s="158"/>
    </row>
    <row r="17" spans="1:17">
      <c r="A17" s="77">
        <f t="shared" si="1"/>
        <v>4</v>
      </c>
      <c r="B17" s="175">
        <v>8260</v>
      </c>
      <c r="C17" s="176" t="s">
        <v>365</v>
      </c>
      <c r="D17" s="178"/>
      <c r="E17" s="178"/>
      <c r="F17" s="178"/>
      <c r="G17" s="178"/>
      <c r="H17" s="178"/>
      <c r="I17" s="178"/>
      <c r="J17" s="270">
        <v>-217126</v>
      </c>
      <c r="K17" s="270"/>
      <c r="L17" s="270">
        <v>217126</v>
      </c>
      <c r="M17" s="270"/>
      <c r="N17" s="178"/>
      <c r="O17" s="178"/>
      <c r="P17" s="17"/>
      <c r="Q17" s="158"/>
    </row>
    <row r="18" spans="1:17">
      <c r="A18" s="77">
        <f t="shared" si="1"/>
        <v>5</v>
      </c>
      <c r="B18" s="175">
        <v>8700</v>
      </c>
      <c r="C18" s="17" t="s">
        <v>272</v>
      </c>
      <c r="D18" s="178">
        <v>105093.06</v>
      </c>
      <c r="E18" s="178">
        <v>437.56999999999994</v>
      </c>
      <c r="F18" s="178">
        <v>61169.62</v>
      </c>
      <c r="G18" s="178">
        <v>1554.5600000000004</v>
      </c>
      <c r="H18" s="178">
        <v>605.97</v>
      </c>
      <c r="I18" s="178">
        <v>425.95000000000005</v>
      </c>
      <c r="J18" s="270">
        <v>52.91</v>
      </c>
      <c r="K18" s="270"/>
      <c r="L18" s="270">
        <v>206.06</v>
      </c>
      <c r="M18" s="270">
        <v>488.39</v>
      </c>
      <c r="N18" s="178">
        <v>41579.684456368952</v>
      </c>
      <c r="O18" s="178">
        <v>40013.009654285685</v>
      </c>
      <c r="P18" s="17">
        <f t="shared" ref="P18:P41" si="2">SUM(D18:O18)</f>
        <v>251626.78411065467</v>
      </c>
      <c r="Q18" s="17"/>
    </row>
    <row r="19" spans="1:17">
      <c r="A19" s="77">
        <f t="shared" si="1"/>
        <v>6</v>
      </c>
      <c r="B19" s="175">
        <v>8560</v>
      </c>
      <c r="C19" s="176" t="s">
        <v>321</v>
      </c>
      <c r="D19" s="178">
        <v>0</v>
      </c>
      <c r="E19" s="178">
        <v>0</v>
      </c>
      <c r="F19" s="178">
        <v>11697.349999999999</v>
      </c>
      <c r="G19" s="178">
        <v>-5627.96</v>
      </c>
      <c r="H19" s="178">
        <v>913.13</v>
      </c>
      <c r="I19" s="178">
        <v>0</v>
      </c>
      <c r="J19" s="270"/>
      <c r="K19" s="270"/>
      <c r="L19" s="270"/>
      <c r="M19" s="270"/>
      <c r="N19" s="178">
        <v>1296.5753999793653</v>
      </c>
      <c r="O19" s="178">
        <v>1237.7470150847839</v>
      </c>
      <c r="P19" s="17">
        <f t="shared" si="2"/>
        <v>9516.8424150641476</v>
      </c>
      <c r="Q19" s="17"/>
    </row>
    <row r="20" spans="1:17">
      <c r="A20" s="77">
        <f t="shared" si="1"/>
        <v>7</v>
      </c>
      <c r="B20" s="175">
        <v>8740</v>
      </c>
      <c r="C20" s="17" t="s">
        <v>276</v>
      </c>
      <c r="D20" s="178">
        <v>6615.1800000000012</v>
      </c>
      <c r="E20" s="178">
        <v>3692.97</v>
      </c>
      <c r="F20" s="178">
        <v>4171.82</v>
      </c>
      <c r="G20" s="178">
        <v>-6957.86</v>
      </c>
      <c r="H20" s="178">
        <v>5773.13</v>
      </c>
      <c r="I20" s="178">
        <v>3329.45</v>
      </c>
      <c r="J20" s="270">
        <v>1845.13</v>
      </c>
      <c r="K20" s="270">
        <v>6006.7900000000009</v>
      </c>
      <c r="L20" s="270">
        <v>5451.5199999999995</v>
      </c>
      <c r="M20" s="270">
        <v>602.01000000000022</v>
      </c>
      <c r="N20" s="178">
        <v>6227.4782322938163</v>
      </c>
      <c r="O20" s="178">
        <v>6227.4782322938163</v>
      </c>
      <c r="P20" s="17">
        <f t="shared" si="2"/>
        <v>42985.096464587645</v>
      </c>
      <c r="Q20" s="17"/>
    </row>
    <row r="21" spans="1:17">
      <c r="A21" s="77">
        <f t="shared" si="1"/>
        <v>8</v>
      </c>
      <c r="B21" s="175">
        <v>8780</v>
      </c>
      <c r="C21" s="17" t="s">
        <v>280</v>
      </c>
      <c r="D21" s="178">
        <f>0</f>
        <v>0</v>
      </c>
      <c r="E21" s="178">
        <f>0</f>
        <v>0</v>
      </c>
      <c r="F21" s="178">
        <f>0</f>
        <v>0</v>
      </c>
      <c r="G21" s="178">
        <f>0</f>
        <v>0</v>
      </c>
      <c r="H21" s="178">
        <f>0</f>
        <v>0</v>
      </c>
      <c r="I21" s="178">
        <f>0</f>
        <v>0</v>
      </c>
      <c r="J21" s="270"/>
      <c r="K21" s="270"/>
      <c r="L21" s="270"/>
      <c r="M21" s="270"/>
      <c r="N21" s="178">
        <v>0</v>
      </c>
      <c r="O21" s="178">
        <v>0</v>
      </c>
      <c r="P21" s="17">
        <f t="shared" si="2"/>
        <v>0</v>
      </c>
      <c r="Q21" s="17"/>
    </row>
    <row r="22" spans="1:17">
      <c r="A22" s="77">
        <f t="shared" si="1"/>
        <v>9</v>
      </c>
      <c r="B22" s="175">
        <v>8800</v>
      </c>
      <c r="C22" s="17" t="s">
        <v>282</v>
      </c>
      <c r="D22" s="178">
        <f>0</f>
        <v>0</v>
      </c>
      <c r="E22" s="178">
        <f>0</f>
        <v>0</v>
      </c>
      <c r="F22" s="178">
        <f>0</f>
        <v>0</v>
      </c>
      <c r="G22" s="178">
        <f>0</f>
        <v>0</v>
      </c>
      <c r="H22" s="178">
        <f>0</f>
        <v>0</v>
      </c>
      <c r="I22" s="178">
        <f>0</f>
        <v>0</v>
      </c>
      <c r="J22" s="270">
        <v>0</v>
      </c>
      <c r="K22" s="270">
        <v>502.5</v>
      </c>
      <c r="L22" s="270"/>
      <c r="M22" s="270"/>
      <c r="N22" s="178">
        <v>0</v>
      </c>
      <c r="O22" s="178">
        <v>0</v>
      </c>
      <c r="P22" s="17">
        <f t="shared" si="2"/>
        <v>502.5</v>
      </c>
      <c r="Q22" s="17"/>
    </row>
    <row r="23" spans="1:17">
      <c r="A23" s="77">
        <f t="shared" si="1"/>
        <v>10</v>
      </c>
      <c r="B23" s="175">
        <v>8850</v>
      </c>
      <c r="C23" s="17" t="s">
        <v>284</v>
      </c>
      <c r="D23" s="178">
        <v>0</v>
      </c>
      <c r="E23" s="178">
        <v>0</v>
      </c>
      <c r="F23" s="178">
        <v>22774820.939999998</v>
      </c>
      <c r="G23" s="178">
        <v>2090628.03</v>
      </c>
      <c r="H23" s="178">
        <v>51305.329999999994</v>
      </c>
      <c r="I23" s="178">
        <v>-237350.62</v>
      </c>
      <c r="J23" s="270">
        <v>1731</v>
      </c>
      <c r="K23" s="270"/>
      <c r="L23" s="270"/>
      <c r="M23" s="270"/>
      <c r="N23" s="178">
        <v>16588628.948105497</v>
      </c>
      <c r="O23" s="178">
        <v>16696240.615405273</v>
      </c>
      <c r="P23" s="17">
        <f t="shared" si="2"/>
        <v>57966004.243510768</v>
      </c>
      <c r="Q23" s="17"/>
    </row>
    <row r="24" spans="1:17">
      <c r="A24" s="77">
        <f t="shared" si="1"/>
        <v>11</v>
      </c>
      <c r="B24" s="175">
        <v>8900</v>
      </c>
      <c r="C24" s="154" t="s">
        <v>288</v>
      </c>
      <c r="D24" s="178">
        <f>0</f>
        <v>0</v>
      </c>
      <c r="E24" s="178">
        <f>0</f>
        <v>0</v>
      </c>
      <c r="F24" s="178">
        <f>0</f>
        <v>0</v>
      </c>
      <c r="G24" s="178">
        <f>0</f>
        <v>0</v>
      </c>
      <c r="H24" s="178">
        <f>0</f>
        <v>0</v>
      </c>
      <c r="I24" s="178">
        <f>0</f>
        <v>0</v>
      </c>
      <c r="J24" s="270"/>
      <c r="K24" s="270"/>
      <c r="L24" s="270"/>
      <c r="M24" s="270"/>
      <c r="N24" s="178">
        <v>0</v>
      </c>
      <c r="O24" s="178">
        <v>0</v>
      </c>
      <c r="P24" s="17">
        <f t="shared" si="2"/>
        <v>0</v>
      </c>
      <c r="Q24" s="17"/>
    </row>
    <row r="25" spans="1:17">
      <c r="A25" s="77">
        <f t="shared" si="1"/>
        <v>12</v>
      </c>
      <c r="B25" s="175">
        <v>9010</v>
      </c>
      <c r="C25" s="17" t="s">
        <v>293</v>
      </c>
      <c r="D25" s="178">
        <f>0</f>
        <v>0</v>
      </c>
      <c r="E25" s="178">
        <f>0</f>
        <v>0</v>
      </c>
      <c r="F25" s="178">
        <f>0</f>
        <v>0</v>
      </c>
      <c r="G25" s="178">
        <f>0</f>
        <v>0</v>
      </c>
      <c r="H25" s="178">
        <f>0</f>
        <v>0</v>
      </c>
      <c r="I25" s="178">
        <f>0</f>
        <v>0</v>
      </c>
      <c r="J25" s="270">
        <v>49.07</v>
      </c>
      <c r="K25" s="270"/>
      <c r="L25" s="270">
        <v>2065.19</v>
      </c>
      <c r="M25" s="270">
        <v>1139.47</v>
      </c>
      <c r="N25" s="178">
        <v>0</v>
      </c>
      <c r="O25" s="178">
        <v>0</v>
      </c>
      <c r="P25" s="17">
        <f t="shared" si="2"/>
        <v>3253.7300000000005</v>
      </c>
      <c r="Q25" s="17"/>
    </row>
    <row r="26" spans="1:17">
      <c r="A26" s="77">
        <f t="shared" si="1"/>
        <v>13</v>
      </c>
      <c r="B26" s="175">
        <v>9030</v>
      </c>
      <c r="C26" s="17" t="s">
        <v>295</v>
      </c>
      <c r="D26" s="178">
        <v>5314.14</v>
      </c>
      <c r="E26" s="178">
        <v>4451.7900000000009</v>
      </c>
      <c r="F26" s="178">
        <v>11757.28</v>
      </c>
      <c r="G26" s="178">
        <v>9548.5999999999985</v>
      </c>
      <c r="H26" s="178">
        <v>10028.459999999999</v>
      </c>
      <c r="I26" s="178">
        <v>9467.9599999999991</v>
      </c>
      <c r="J26" s="270">
        <v>9972</v>
      </c>
      <c r="K26" s="270">
        <v>11405.59</v>
      </c>
      <c r="L26" s="270">
        <v>9276.52</v>
      </c>
      <c r="M26" s="270">
        <v>10002.369999999999</v>
      </c>
      <c r="N26" s="178">
        <v>9360.6198530089114</v>
      </c>
      <c r="O26" s="178">
        <v>8948.3590208724509</v>
      </c>
      <c r="P26" s="17">
        <f t="shared" si="2"/>
        <v>109533.68887388136</v>
      </c>
      <c r="Q26" s="17"/>
    </row>
    <row r="27" spans="1:17">
      <c r="A27" s="77">
        <f t="shared" si="1"/>
        <v>14</v>
      </c>
      <c r="B27" s="175">
        <v>9100</v>
      </c>
      <c r="C27" s="17" t="s">
        <v>298</v>
      </c>
      <c r="D27" s="178">
        <f>0</f>
        <v>0</v>
      </c>
      <c r="E27" s="178">
        <f>0</f>
        <v>0</v>
      </c>
      <c r="F27" s="178">
        <f>0</f>
        <v>0</v>
      </c>
      <c r="G27" s="178">
        <f>0</f>
        <v>0</v>
      </c>
      <c r="H27" s="178">
        <f>0</f>
        <v>0</v>
      </c>
      <c r="I27" s="178">
        <f>0</f>
        <v>0</v>
      </c>
      <c r="J27" s="270"/>
      <c r="K27" s="270"/>
      <c r="L27" s="270">
        <v>5125.6099999999997</v>
      </c>
      <c r="M27" s="270"/>
      <c r="N27" s="178">
        <v>0</v>
      </c>
      <c r="O27" s="178">
        <v>0</v>
      </c>
      <c r="P27" s="17">
        <f t="shared" si="2"/>
        <v>5125.6099999999997</v>
      </c>
      <c r="Q27" s="17"/>
    </row>
    <row r="28" spans="1:17">
      <c r="A28" s="77">
        <f t="shared" si="1"/>
        <v>15</v>
      </c>
      <c r="B28" s="175">
        <v>9120</v>
      </c>
      <c r="C28" s="176" t="s">
        <v>300</v>
      </c>
      <c r="D28" s="178">
        <v>8288.11</v>
      </c>
      <c r="E28" s="178">
        <v>0</v>
      </c>
      <c r="F28" s="178">
        <v>346.65999999999997</v>
      </c>
      <c r="G28" s="178">
        <v>0</v>
      </c>
      <c r="H28" s="178">
        <v>0</v>
      </c>
      <c r="I28" s="178">
        <v>19.329999999999998</v>
      </c>
      <c r="J28" s="270">
        <v>17.760000000000002</v>
      </c>
      <c r="K28" s="270">
        <v>410.5</v>
      </c>
      <c r="L28" s="270">
        <v>38.659999999999997</v>
      </c>
      <c r="M28" s="270">
        <v>256.27999999999997</v>
      </c>
      <c r="N28" s="178">
        <v>1757.4717072090091</v>
      </c>
      <c r="O28" s="178">
        <v>2642.7545361531475</v>
      </c>
      <c r="P28" s="17">
        <f t="shared" si="2"/>
        <v>13777.526243362157</v>
      </c>
      <c r="Q28" s="17"/>
    </row>
    <row r="29" spans="1:17">
      <c r="A29" s="77">
        <f t="shared" si="1"/>
        <v>16</v>
      </c>
      <c r="B29" s="175">
        <v>9160</v>
      </c>
      <c r="C29" s="154" t="s">
        <v>322</v>
      </c>
      <c r="D29" s="178">
        <v>0</v>
      </c>
      <c r="E29" s="178">
        <v>0</v>
      </c>
      <c r="F29" s="178">
        <v>0</v>
      </c>
      <c r="G29" s="178">
        <v>0</v>
      </c>
      <c r="H29" s="178">
        <v>1009.4100000000001</v>
      </c>
      <c r="I29" s="178">
        <v>590.86</v>
      </c>
      <c r="N29" s="178">
        <v>454.48042641391157</v>
      </c>
      <c r="O29" s="178">
        <v>438.68271256977442</v>
      </c>
      <c r="P29" s="17">
        <f t="shared" si="2"/>
        <v>2493.4331389836861</v>
      </c>
      <c r="Q29" s="17"/>
    </row>
    <row r="30" spans="1:17">
      <c r="A30" s="77">
        <f t="shared" si="1"/>
        <v>17</v>
      </c>
      <c r="B30" s="175">
        <v>9200</v>
      </c>
      <c r="C30" s="17" t="s">
        <v>302</v>
      </c>
      <c r="D30" s="178">
        <v>205452.03000000044</v>
      </c>
      <c r="E30" s="178">
        <v>-627908.35999999952</v>
      </c>
      <c r="F30" s="178">
        <v>-2192440.3900000015</v>
      </c>
      <c r="G30" s="178">
        <v>-401667.04</v>
      </c>
      <c r="H30" s="178">
        <v>-899220.40000000037</v>
      </c>
      <c r="I30" s="178">
        <v>-5306855.2700000005</v>
      </c>
      <c r="J30" s="270">
        <v>-1209061.0500000003</v>
      </c>
      <c r="K30" s="270">
        <v>-2495242.4900000007</v>
      </c>
      <c r="L30" s="270">
        <v>-2004789.2699999975</v>
      </c>
      <c r="M30" s="270">
        <v>-560277.18000000156</v>
      </c>
      <c r="N30" s="178">
        <v>-17715212.440171465</v>
      </c>
      <c r="O30" s="178">
        <v>-18042504.776857302</v>
      </c>
      <c r="P30" s="17">
        <f t="shared" si="2"/>
        <v>-51249726.637028769</v>
      </c>
      <c r="Q30" s="17"/>
    </row>
    <row r="31" spans="1:17">
      <c r="A31" s="77">
        <f t="shared" si="1"/>
        <v>18</v>
      </c>
      <c r="B31" s="175">
        <v>9210</v>
      </c>
      <c r="C31" s="17" t="s">
        <v>303</v>
      </c>
      <c r="D31" s="178">
        <v>2142789.89</v>
      </c>
      <c r="E31" s="178">
        <v>1771426.0000000002</v>
      </c>
      <c r="F31" s="178">
        <v>1682549.0900000017</v>
      </c>
      <c r="G31" s="178">
        <v>2041980.0199999998</v>
      </c>
      <c r="H31" s="178">
        <v>1933264.6700000002</v>
      </c>
      <c r="I31" s="178">
        <v>2210856.0799999987</v>
      </c>
      <c r="J31" s="270">
        <v>2366814.12</v>
      </c>
      <c r="K31" s="270">
        <v>2317247.3499999996</v>
      </c>
      <c r="L31" s="270">
        <v>3569082.96</v>
      </c>
      <c r="M31" s="270">
        <v>2330459.1299999985</v>
      </c>
      <c r="N31" s="178">
        <v>2709077.1102262349</v>
      </c>
      <c r="O31" s="178">
        <v>2859362.9128975086</v>
      </c>
      <c r="P31" s="17">
        <f t="shared" si="2"/>
        <v>27934909.333123744</v>
      </c>
      <c r="Q31" s="17"/>
    </row>
    <row r="32" spans="1:17">
      <c r="A32" s="77">
        <f t="shared" si="1"/>
        <v>19</v>
      </c>
      <c r="B32" s="175">
        <v>9220</v>
      </c>
      <c r="C32" s="17" t="s">
        <v>304</v>
      </c>
      <c r="D32" s="178">
        <v>-8771029.8199999966</v>
      </c>
      <c r="E32" s="178">
        <v>-7951782.2399999928</v>
      </c>
      <c r="F32" s="178">
        <v>-10587389.510000018</v>
      </c>
      <c r="G32" s="178">
        <v>-8252355.5500000073</v>
      </c>
      <c r="H32" s="178">
        <v>-13352610.350000011</v>
      </c>
      <c r="I32" s="178">
        <v>-5009611.8700000076</v>
      </c>
      <c r="J32" s="270">
        <v>-11709289.609999992</v>
      </c>
      <c r="K32" s="270">
        <v>-6530449.559999994</v>
      </c>
      <c r="L32" s="270">
        <v>-7222120.4200000046</v>
      </c>
      <c r="M32" s="270">
        <v>-10185556.709999995</v>
      </c>
      <c r="N32" s="214">
        <f>-(SUM(N14:N31,N33:N41))</f>
        <v>-8811470.5757999998</v>
      </c>
      <c r="O32" s="214">
        <f>-(SUM(O14:O31,O33:O41))</f>
        <v>-8957491.9595000036</v>
      </c>
      <c r="P32" s="17">
        <f t="shared" si="2"/>
        <v>-107341158.1753</v>
      </c>
      <c r="Q32" s="158"/>
    </row>
    <row r="33" spans="1:18">
      <c r="A33" s="77">
        <f t="shared" si="1"/>
        <v>20</v>
      </c>
      <c r="B33" s="175">
        <v>9230</v>
      </c>
      <c r="C33" s="17" t="s">
        <v>305</v>
      </c>
      <c r="D33" s="178">
        <v>689944.08</v>
      </c>
      <c r="E33" s="178">
        <v>802488.29</v>
      </c>
      <c r="F33" s="178">
        <v>1004663.3899999999</v>
      </c>
      <c r="G33" s="178">
        <v>1133846.07</v>
      </c>
      <c r="H33" s="178">
        <v>1038731.66</v>
      </c>
      <c r="I33" s="178">
        <v>1348513.2000000002</v>
      </c>
      <c r="J33" s="271">
        <v>1220414.1499999999</v>
      </c>
      <c r="K33" s="271">
        <v>1262717.95</v>
      </c>
      <c r="L33" s="271">
        <v>1820078.4800000002</v>
      </c>
      <c r="M33" s="271">
        <v>830765.13000000012</v>
      </c>
      <c r="N33" s="178">
        <v>881820.04260078259</v>
      </c>
      <c r="O33" s="178">
        <v>924837.86126786133</v>
      </c>
      <c r="P33" s="17">
        <f t="shared" si="2"/>
        <v>12958820.303868644</v>
      </c>
      <c r="Q33" s="17"/>
    </row>
    <row r="34" spans="1:18">
      <c r="A34" s="77">
        <f t="shared" si="1"/>
        <v>21</v>
      </c>
      <c r="B34" s="175">
        <v>9240</v>
      </c>
      <c r="C34" s="17" t="s">
        <v>306</v>
      </c>
      <c r="D34" s="178">
        <v>11426.37</v>
      </c>
      <c r="E34" s="178">
        <v>11426.37</v>
      </c>
      <c r="F34" s="178">
        <v>10818.54</v>
      </c>
      <c r="G34" s="178">
        <v>10818.54</v>
      </c>
      <c r="H34" s="178">
        <v>10818.54</v>
      </c>
      <c r="I34" s="178">
        <v>10818.54</v>
      </c>
      <c r="J34" s="270">
        <v>10818.54</v>
      </c>
      <c r="K34" s="270">
        <v>10818.54</v>
      </c>
      <c r="L34" s="270">
        <v>10818.54</v>
      </c>
      <c r="M34" s="270">
        <v>10818.54</v>
      </c>
      <c r="N34" s="178">
        <v>11969.080473871165</v>
      </c>
      <c r="O34" s="178">
        <v>11969.080473871165</v>
      </c>
      <c r="P34" s="17">
        <f t="shared" si="2"/>
        <v>133339.22094774235</v>
      </c>
      <c r="Q34" s="17"/>
    </row>
    <row r="35" spans="1:18">
      <c r="A35" s="77">
        <f t="shared" si="1"/>
        <v>22</v>
      </c>
      <c r="B35" s="175">
        <v>9250</v>
      </c>
      <c r="C35" s="17" t="s">
        <v>307</v>
      </c>
      <c r="D35" s="178">
        <v>1587462.79</v>
      </c>
      <c r="E35" s="178">
        <v>1587212.5</v>
      </c>
      <c r="F35" s="178">
        <v>1877081.03</v>
      </c>
      <c r="G35" s="178">
        <v>1587312.98</v>
      </c>
      <c r="H35" s="178">
        <v>1587108.86</v>
      </c>
      <c r="I35" s="178">
        <v>1084488.76</v>
      </c>
      <c r="J35" s="270">
        <v>3583137.38</v>
      </c>
      <c r="K35" s="270">
        <v>1589740.4100000001</v>
      </c>
      <c r="L35" s="270">
        <v>2001337.73</v>
      </c>
      <c r="M35" s="270">
        <v>1627741.7800000003</v>
      </c>
      <c r="N35" s="178">
        <v>1685752.7062109997</v>
      </c>
      <c r="O35" s="178">
        <v>1685233.7418968389</v>
      </c>
      <c r="P35" s="17">
        <f t="shared" si="2"/>
        <v>21483610.668107841</v>
      </c>
      <c r="Q35" s="17"/>
    </row>
    <row r="36" spans="1:18">
      <c r="A36" s="77">
        <f t="shared" si="1"/>
        <v>23</v>
      </c>
      <c r="B36" s="175">
        <v>9260</v>
      </c>
      <c r="C36" s="17" t="s">
        <v>308</v>
      </c>
      <c r="D36" s="178">
        <v>2898621.8099999959</v>
      </c>
      <c r="E36" s="178">
        <v>3461897.68</v>
      </c>
      <c r="F36" s="178">
        <v>5497584.4900000039</v>
      </c>
      <c r="G36" s="178">
        <v>3538375.3599999989</v>
      </c>
      <c r="H36" s="178">
        <v>9024586.9699999951</v>
      </c>
      <c r="I36" s="178">
        <v>4392184.0100000063</v>
      </c>
      <c r="J36" s="270">
        <v>7335156.0600000052</v>
      </c>
      <c r="K36" s="270">
        <v>3357085.6299999994</v>
      </c>
      <c r="L36" s="270">
        <v>1612929.9099999978</v>
      </c>
      <c r="M36" s="270">
        <v>5503145.1800000034</v>
      </c>
      <c r="N36" s="178">
        <v>3772917.2047713022</v>
      </c>
      <c r="O36" s="178">
        <v>3709118.7164591928</v>
      </c>
      <c r="P36" s="17">
        <f t="shared" si="2"/>
        <v>54103603.021230504</v>
      </c>
      <c r="Q36" s="17"/>
    </row>
    <row r="37" spans="1:18">
      <c r="A37" s="77">
        <f t="shared" si="1"/>
        <v>24</v>
      </c>
      <c r="B37" s="175">
        <v>9269</v>
      </c>
      <c r="C37" s="17" t="s">
        <v>366</v>
      </c>
      <c r="D37" s="178"/>
      <c r="E37" s="178"/>
      <c r="F37" s="178"/>
      <c r="G37" s="178"/>
      <c r="H37" s="178"/>
      <c r="I37" s="178"/>
      <c r="J37" s="270"/>
      <c r="K37" s="270"/>
      <c r="L37" s="270"/>
      <c r="M37" s="270">
        <v>-428099.94</v>
      </c>
      <c r="N37" s="178"/>
      <c r="O37" s="178"/>
      <c r="P37" s="17"/>
      <c r="Q37" s="17"/>
    </row>
    <row r="38" spans="1:18">
      <c r="A38" s="77">
        <f>A36+1</f>
        <v>24</v>
      </c>
      <c r="B38" s="175">
        <v>9301</v>
      </c>
      <c r="C38" s="17" t="s">
        <v>323</v>
      </c>
      <c r="D38" s="178">
        <f>0</f>
        <v>0</v>
      </c>
      <c r="E38" s="178">
        <f>0</f>
        <v>0</v>
      </c>
      <c r="F38" s="178">
        <f>0</f>
        <v>0</v>
      </c>
      <c r="G38" s="178">
        <f>0</f>
        <v>0</v>
      </c>
      <c r="H38" s="178">
        <f>0</f>
        <v>0</v>
      </c>
      <c r="I38" s="178">
        <f>0</f>
        <v>0</v>
      </c>
      <c r="J38" s="270"/>
      <c r="K38" s="270"/>
      <c r="L38" s="270"/>
      <c r="M38" s="270"/>
      <c r="N38" s="178">
        <v>0</v>
      </c>
      <c r="O38" s="178">
        <v>0</v>
      </c>
      <c r="P38" s="17">
        <f t="shared" si="2"/>
        <v>0</v>
      </c>
      <c r="Q38" s="17"/>
    </row>
    <row r="39" spans="1:18">
      <c r="A39" s="77">
        <f>A38+1</f>
        <v>25</v>
      </c>
      <c r="B39" s="175">
        <v>9302</v>
      </c>
      <c r="C39" s="17" t="s">
        <v>311</v>
      </c>
      <c r="D39" s="178">
        <v>579195.31999999995</v>
      </c>
      <c r="E39" s="178">
        <v>377496.01000000007</v>
      </c>
      <c r="F39" s="178">
        <v>2956335.5599999996</v>
      </c>
      <c r="G39" s="178">
        <v>386905.63</v>
      </c>
      <c r="H39" s="178">
        <v>186525.19</v>
      </c>
      <c r="I39" s="178">
        <v>263397.25999999995</v>
      </c>
      <c r="J39" s="270">
        <v>290524.93</v>
      </c>
      <c r="K39" s="270">
        <v>196693.25</v>
      </c>
      <c r="L39" s="270">
        <v>293569.43</v>
      </c>
      <c r="M39" s="270">
        <v>342612.15</v>
      </c>
      <c r="N39" s="178">
        <v>243627.54279626772</v>
      </c>
      <c r="O39" s="178">
        <v>509151.37894264434</v>
      </c>
      <c r="P39" s="17">
        <f t="shared" si="2"/>
        <v>6626033.6517389119</v>
      </c>
      <c r="Q39" s="17"/>
    </row>
    <row r="40" spans="1:18">
      <c r="A40" s="77">
        <f t="shared" si="1"/>
        <v>26</v>
      </c>
      <c r="B40" s="175">
        <v>9310</v>
      </c>
      <c r="C40" s="17" t="s">
        <v>200</v>
      </c>
      <c r="D40" s="178">
        <v>506336.29999999993</v>
      </c>
      <c r="E40" s="178">
        <v>515892.06000000011</v>
      </c>
      <c r="F40" s="178">
        <v>421345.29999999987</v>
      </c>
      <c r="G40" s="178">
        <v>109296.61</v>
      </c>
      <c r="H40" s="178">
        <v>405037.73</v>
      </c>
      <c r="I40" s="178">
        <v>456119.71999999986</v>
      </c>
      <c r="J40" s="270">
        <v>459223.23999999982</v>
      </c>
      <c r="K40" s="270">
        <v>460489.27</v>
      </c>
      <c r="L40" s="270">
        <v>479966.04</v>
      </c>
      <c r="M40" s="270">
        <v>464493.66999999987</v>
      </c>
      <c r="N40" s="178">
        <v>532113.20683688927</v>
      </c>
      <c r="O40" s="178">
        <v>502560.56753564719</v>
      </c>
      <c r="P40" s="17">
        <f t="shared" si="2"/>
        <v>5312873.7143725362</v>
      </c>
      <c r="Q40" s="17"/>
    </row>
    <row r="41" spans="1:18">
      <c r="A41" s="77">
        <f t="shared" si="1"/>
        <v>27</v>
      </c>
      <c r="B41" s="175">
        <v>9320</v>
      </c>
      <c r="C41" s="17" t="s">
        <v>312</v>
      </c>
      <c r="D41" s="178">
        <v>24040.230000000003</v>
      </c>
      <c r="E41" s="178">
        <v>45827.970000000008</v>
      </c>
      <c r="F41" s="178">
        <v>4366.8500000000004</v>
      </c>
      <c r="G41" s="178">
        <v>30115.31</v>
      </c>
      <c r="H41" s="178">
        <v>47042.729999999996</v>
      </c>
      <c r="I41" s="178">
        <v>34153.919999999998</v>
      </c>
      <c r="J41" s="270">
        <v>52307.44</v>
      </c>
      <c r="K41" s="270">
        <v>54232.130000000005</v>
      </c>
      <c r="L41" s="270">
        <v>42808.869999999995</v>
      </c>
      <c r="M41" s="270">
        <v>40622.400000000001</v>
      </c>
      <c r="N41" s="178">
        <v>40100.863874347968</v>
      </c>
      <c r="O41" s="178">
        <v>42013.830307207092</v>
      </c>
      <c r="P41" s="17">
        <f t="shared" si="2"/>
        <v>457632.54418155504</v>
      </c>
      <c r="Q41" s="17"/>
    </row>
    <row r="42" spans="1:18" ht="15.75" thickBot="1">
      <c r="A42" s="77">
        <f t="shared" si="1"/>
        <v>28</v>
      </c>
      <c r="B42" s="17" t="s">
        <v>313</v>
      </c>
      <c r="C42" s="215"/>
      <c r="D42" s="216">
        <f t="shared" ref="D42:P42" si="3">SUM(D14:D41)</f>
        <v>-450.50000000067666</v>
      </c>
      <c r="E42" s="216">
        <f t="shared" si="3"/>
        <v>2558.6000000085696</v>
      </c>
      <c r="F42" s="216">
        <f t="shared" si="3"/>
        <v>23538878.009999983</v>
      </c>
      <c r="G42" s="216">
        <f t="shared" si="3"/>
        <v>2273773.2999999914</v>
      </c>
      <c r="H42" s="216">
        <f t="shared" si="3"/>
        <v>50921.029999982173</v>
      </c>
      <c r="I42" s="216">
        <f t="shared" si="3"/>
        <v>-1835053.7200000044</v>
      </c>
      <c r="J42" s="216">
        <f t="shared" si="3"/>
        <v>2196665.0900000115</v>
      </c>
      <c r="K42" s="216">
        <f t="shared" si="3"/>
        <v>241657.87000000488</v>
      </c>
      <c r="L42" s="216">
        <f t="shared" si="3"/>
        <v>842971.83999999624</v>
      </c>
      <c r="M42" s="216">
        <f t="shared" si="3"/>
        <v>-10787.339999994576</v>
      </c>
      <c r="N42" s="216">
        <f t="shared" si="3"/>
        <v>-1.076841726899147E-9</v>
      </c>
      <c r="O42" s="216">
        <f t="shared" si="3"/>
        <v>-1.2587406672537327E-9</v>
      </c>
      <c r="P42" s="216">
        <f t="shared" si="3"/>
        <v>27729234.120000012</v>
      </c>
      <c r="Q42" s="17"/>
    </row>
    <row r="43" spans="1:18" ht="15.75" thickTop="1">
      <c r="A43" s="77">
        <f t="shared" si="1"/>
        <v>29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8">
      <c r="A44" s="77">
        <f t="shared" si="1"/>
        <v>30</v>
      </c>
      <c r="B44" s="175">
        <f t="shared" ref="B44:I44" si="4">B32</f>
        <v>9220</v>
      </c>
      <c r="C44" s="175" t="str">
        <f t="shared" si="4"/>
        <v>A&amp;G-Administrative expense transferred-Credit</v>
      </c>
      <c r="D44" s="217">
        <f t="shared" si="4"/>
        <v>-8771029.8199999966</v>
      </c>
      <c r="E44" s="217">
        <f t="shared" si="4"/>
        <v>-7951782.2399999928</v>
      </c>
      <c r="F44" s="217">
        <f t="shared" si="4"/>
        <v>-10587389.510000018</v>
      </c>
      <c r="G44" s="217">
        <f t="shared" si="4"/>
        <v>-8252355.5500000073</v>
      </c>
      <c r="H44" s="217">
        <f t="shared" si="4"/>
        <v>-13352610.350000011</v>
      </c>
      <c r="I44" s="217">
        <f t="shared" si="4"/>
        <v>-5009611.8700000076</v>
      </c>
      <c r="J44" s="217">
        <f t="shared" ref="J44:M44" si="5">J32</f>
        <v>-11709289.609999992</v>
      </c>
      <c r="K44" s="217">
        <f t="shared" si="5"/>
        <v>-6530449.559999994</v>
      </c>
      <c r="L44" s="217">
        <f t="shared" si="5"/>
        <v>-7222120.4200000046</v>
      </c>
      <c r="M44" s="217">
        <f t="shared" si="5"/>
        <v>-10185556.709999995</v>
      </c>
      <c r="N44" s="217">
        <f>N32</f>
        <v>-8811470.5757999998</v>
      </c>
      <c r="O44" s="217">
        <f>O32</f>
        <v>-8957491.9595000036</v>
      </c>
      <c r="P44" s="17">
        <f t="shared" ref="P44" si="6">SUM(D44:O44)</f>
        <v>-107341158.1753</v>
      </c>
      <c r="Q44" s="17"/>
    </row>
    <row r="45" spans="1:18">
      <c r="A45" s="77">
        <f t="shared" si="1"/>
        <v>31</v>
      </c>
      <c r="B45" s="17"/>
      <c r="C45" s="218" t="s">
        <v>324</v>
      </c>
      <c r="D45" s="219">
        <f>D46/D44</f>
        <v>5.8598595666386664E-2</v>
      </c>
      <c r="E45" s="219">
        <f t="shared" ref="E45:I45" si="7">E46/E44</f>
        <v>5.8022162337282565E-2</v>
      </c>
      <c r="F45" s="219">
        <f t="shared" si="7"/>
        <v>5.697553485023326E-2</v>
      </c>
      <c r="G45" s="219">
        <f t="shared" si="7"/>
        <v>5.9478907207288177E-2</v>
      </c>
      <c r="H45" s="219">
        <f t="shared" si="7"/>
        <v>5.6001290414349536E-2</v>
      </c>
      <c r="I45" s="219">
        <f t="shared" si="7"/>
        <v>6.2800763445172755E-2</v>
      </c>
      <c r="J45" s="219">
        <f t="shared" ref="J45:M45" si="8">J46/J44</f>
        <v>5.6990879227215595E-2</v>
      </c>
      <c r="K45" s="219">
        <f t="shared" si="8"/>
        <v>6.0276305081820483E-2</v>
      </c>
      <c r="L45" s="219">
        <f t="shared" si="8"/>
        <v>6.20658274761915E-2</v>
      </c>
      <c r="M45" s="219">
        <f t="shared" si="8"/>
        <v>5.41604956613118E-2</v>
      </c>
      <c r="N45" s="219">
        <v>5.1771199999999996E-2</v>
      </c>
      <c r="O45" s="219">
        <v>5.1771199999999996E-2</v>
      </c>
      <c r="P45" s="219">
        <f t="shared" ref="P45" si="9">P46/P44</f>
        <v>5.6945165648623217E-2</v>
      </c>
      <c r="Q45" s="17"/>
      <c r="R45" s="179"/>
    </row>
    <row r="46" spans="1:18">
      <c r="A46" s="77">
        <f t="shared" si="1"/>
        <v>32</v>
      </c>
      <c r="B46" s="17"/>
      <c r="C46" s="17" t="s">
        <v>325</v>
      </c>
      <c r="D46" s="17">
        <v>-513970.03</v>
      </c>
      <c r="E46" s="17">
        <v>-461379.6</v>
      </c>
      <c r="F46" s="17">
        <v>-603222.18000000005</v>
      </c>
      <c r="G46" s="17">
        <v>-490841.09</v>
      </c>
      <c r="H46" s="17">
        <v>-747763.41</v>
      </c>
      <c r="I46" s="17">
        <v>-314607.45</v>
      </c>
      <c r="J46" s="17">
        <v>-667322.71</v>
      </c>
      <c r="K46" s="17">
        <v>-393631.37</v>
      </c>
      <c r="L46" s="17">
        <v>-448246.88</v>
      </c>
      <c r="M46" s="17">
        <v>-551654.80000000005</v>
      </c>
      <c r="N46" s="17">
        <f t="shared" ref="N46:O46" si="10">N44*N45</f>
        <v>-456180.4054738569</v>
      </c>
      <c r="O46" s="17">
        <f t="shared" si="10"/>
        <v>-463740.10773366655</v>
      </c>
      <c r="P46" s="17">
        <f>SUM(D46:O46)</f>
        <v>-6112560.0332075246</v>
      </c>
      <c r="Q46" s="17"/>
      <c r="R46" s="179"/>
    </row>
    <row r="47" spans="1: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53"/>
      <c r="P47" s="153"/>
      <c r="Q47" s="17"/>
    </row>
    <row r="48" spans="1: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53"/>
      <c r="P48" s="153"/>
      <c r="Q48" s="17"/>
    </row>
    <row r="49" spans="1:17">
      <c r="A49" s="17"/>
      <c r="B49" s="17" t="s">
        <v>326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53"/>
      <c r="P49" s="153"/>
      <c r="Q49" s="17"/>
    </row>
    <row r="50" spans="1:1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58"/>
      <c r="Q50" s="17"/>
    </row>
    <row r="51" spans="1:1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53"/>
      <c r="Q51" s="17"/>
    </row>
    <row r="52" spans="1:17">
      <c r="A52" s="17"/>
      <c r="B52" s="17" t="s">
        <v>316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53"/>
      <c r="Q52" s="17"/>
    </row>
    <row r="53" spans="1:17">
      <c r="A53" s="17"/>
      <c r="B53" s="1" t="s">
        <v>317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53"/>
      <c r="Q53" s="220"/>
    </row>
    <row r="54" spans="1:17">
      <c r="A54" s="17"/>
      <c r="B54" s="1" t="s">
        <v>318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1"/>
      <c r="P54" s="153"/>
      <c r="Q54" s="222"/>
    </row>
    <row r="55" spans="1:17">
      <c r="A55" s="17"/>
      <c r="B55" s="17"/>
      <c r="C55" s="157" t="s">
        <v>327</v>
      </c>
      <c r="D55" s="77">
        <v>3</v>
      </c>
      <c r="E55" s="223">
        <v>4</v>
      </c>
      <c r="F55" s="223">
        <v>5</v>
      </c>
      <c r="G55" s="77">
        <v>6</v>
      </c>
      <c r="H55" s="77">
        <v>7</v>
      </c>
      <c r="I55" s="77">
        <v>8</v>
      </c>
      <c r="J55" s="223">
        <v>9</v>
      </c>
      <c r="K55" s="223">
        <v>10</v>
      </c>
      <c r="L55" s="77">
        <v>11</v>
      </c>
      <c r="M55" s="77">
        <v>12</v>
      </c>
      <c r="N55" s="77">
        <v>13</v>
      </c>
      <c r="O55" s="77">
        <v>14</v>
      </c>
      <c r="P55" s="153"/>
      <c r="Q55" s="222"/>
    </row>
    <row r="56" spans="1:17">
      <c r="A56" s="17"/>
      <c r="B56" s="17"/>
      <c r="C56" s="17"/>
      <c r="D56" s="33"/>
      <c r="E56" s="33"/>
      <c r="F56" s="33"/>
      <c r="G56" s="33"/>
      <c r="H56" s="33"/>
      <c r="I56" s="33"/>
      <c r="J56" s="33"/>
      <c r="K56" s="224"/>
      <c r="L56" s="224"/>
      <c r="M56" s="224"/>
      <c r="N56" s="224"/>
      <c r="O56" s="157"/>
      <c r="P56" s="153"/>
      <c r="Q56" s="222"/>
    </row>
    <row r="57" spans="1:17">
      <c r="A57" s="17"/>
      <c r="B57" s="158"/>
      <c r="C57" s="15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53"/>
      <c r="P57" s="153"/>
      <c r="Q57" s="222"/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22"/>
    </row>
    <row r="59" spans="1:17">
      <c r="A59" s="17"/>
      <c r="B59" s="17"/>
      <c r="C59" s="17"/>
      <c r="D59" s="17">
        <v>8770578.3100000042</v>
      </c>
      <c r="E59" s="17">
        <v>7954340.8500000015</v>
      </c>
      <c r="F59" s="17">
        <v>34126267.530000001</v>
      </c>
      <c r="G59" s="17">
        <v>10526128.850000001</v>
      </c>
      <c r="H59" s="17">
        <v>13403531.380000001</v>
      </c>
      <c r="I59" s="17">
        <v>4270159.1500000004</v>
      </c>
      <c r="J59" s="17">
        <v>9656779.6600000001</v>
      </c>
      <c r="K59" s="17">
        <v>8022888.8999999994</v>
      </c>
      <c r="L59" s="17">
        <v>7941749.2700000005</v>
      </c>
      <c r="M59" s="17">
        <v>8813418.5976</v>
      </c>
      <c r="N59" s="17">
        <v>8811470.5757999998</v>
      </c>
      <c r="O59" s="17">
        <v>8957491.959499998</v>
      </c>
      <c r="P59" s="17"/>
      <c r="Q59" s="17"/>
    </row>
    <row r="60" spans="1:17">
      <c r="A60" s="17"/>
      <c r="B60" s="17"/>
      <c r="C60" s="17"/>
      <c r="D60" s="17">
        <f>-D44</f>
        <v>8771029.8199999966</v>
      </c>
      <c r="E60" s="17">
        <f t="shared" ref="E60:O60" si="11">-E44</f>
        <v>7951782.2399999928</v>
      </c>
      <c r="F60" s="17">
        <f t="shared" si="11"/>
        <v>10587389.510000018</v>
      </c>
      <c r="G60" s="17">
        <f t="shared" si="11"/>
        <v>8252355.5500000073</v>
      </c>
      <c r="H60" s="17">
        <f t="shared" si="11"/>
        <v>13352610.350000011</v>
      </c>
      <c r="I60" s="17">
        <f t="shared" si="11"/>
        <v>5009611.8700000076</v>
      </c>
      <c r="J60" s="17">
        <f t="shared" si="11"/>
        <v>11709289.609999992</v>
      </c>
      <c r="K60" s="17">
        <f t="shared" si="11"/>
        <v>6530449.559999994</v>
      </c>
      <c r="L60" s="17">
        <f t="shared" si="11"/>
        <v>7222120.4200000046</v>
      </c>
      <c r="M60" s="17">
        <f t="shared" si="11"/>
        <v>10185556.709999995</v>
      </c>
      <c r="N60" s="17">
        <f t="shared" si="11"/>
        <v>8811470.5757999998</v>
      </c>
      <c r="O60" s="17">
        <f t="shared" si="11"/>
        <v>8957491.9595000036</v>
      </c>
      <c r="P60" s="17"/>
      <c r="Q60" s="17"/>
    </row>
    <row r="61" spans="1:17">
      <c r="A61" s="17"/>
      <c r="B61" s="17"/>
      <c r="C61" s="158"/>
      <c r="D61" s="17">
        <f>D59-D60</f>
        <v>-451.5099999923259</v>
      </c>
      <c r="E61" s="17">
        <f t="shared" ref="E61:O61" si="12">E59-E60</f>
        <v>2558.6100000087172</v>
      </c>
      <c r="F61" s="17">
        <f t="shared" si="12"/>
        <v>23538878.019999981</v>
      </c>
      <c r="G61" s="17">
        <f t="shared" si="12"/>
        <v>2273773.2999999942</v>
      </c>
      <c r="H61" s="17">
        <f t="shared" si="12"/>
        <v>50921.029999990016</v>
      </c>
      <c r="I61" s="17">
        <f t="shared" si="12"/>
        <v>-739452.72000000719</v>
      </c>
      <c r="J61" s="17">
        <f t="shared" si="12"/>
        <v>-2052509.9499999918</v>
      </c>
      <c r="K61" s="17">
        <f t="shared" si="12"/>
        <v>1492439.3400000054</v>
      </c>
      <c r="L61" s="17">
        <f t="shared" si="12"/>
        <v>719628.8499999959</v>
      </c>
      <c r="M61" s="17">
        <f t="shared" si="12"/>
        <v>-1372138.1123999953</v>
      </c>
      <c r="N61" s="17">
        <f t="shared" si="12"/>
        <v>0</v>
      </c>
      <c r="O61" s="17">
        <f t="shared" si="12"/>
        <v>0</v>
      </c>
      <c r="P61" s="17"/>
      <c r="Q61" s="17"/>
    </row>
    <row r="62" spans="1:17">
      <c r="A62" s="17"/>
      <c r="B62" s="17"/>
      <c r="C62" s="15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O63" s="157"/>
    </row>
    <row r="64" spans="1:17">
      <c r="O64" s="157" t="s">
        <v>328</v>
      </c>
      <c r="P64" s="154">
        <f>SUM(P18:P41)-P32+SUM('C.2.2 B 12'!P14:P28)-'C.2.2 B 12'!P22</f>
        <v>182781940.82329997</v>
      </c>
    </row>
    <row r="65" spans="3:15">
      <c r="O65" s="157" t="s">
        <v>329</v>
      </c>
    </row>
    <row r="67" spans="3:15">
      <c r="C67" s="158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43"/>
  <sheetViews>
    <sheetView view="pageBreakPreview" zoomScale="80" zoomScaleNormal="70" zoomScaleSheetLayoutView="80" workbookViewId="0">
      <pane xSplit="3" ySplit="10" topLeftCell="G98" activePane="bottomRight" state="frozen"/>
      <selection sqref="A1:J1"/>
      <selection pane="topRight" sqref="A1:J1"/>
      <selection pane="bottomLeft" sqref="A1:J1"/>
      <selection pane="bottomRight" activeCell="H101" sqref="H10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76" t="s">
        <v>361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1"/>
      <c r="R1" s="1"/>
      <c r="S1" s="1"/>
    </row>
    <row r="2" spans="1:21">
      <c r="A2" s="276" t="s">
        <v>362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1"/>
      <c r="R2" s="1"/>
      <c r="S2" s="1"/>
    </row>
    <row r="3" spans="1:21">
      <c r="A3" s="276" t="s">
        <v>213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"/>
      <c r="R3" s="1"/>
      <c r="S3" s="1"/>
    </row>
    <row r="4" spans="1:21">
      <c r="A4" s="276" t="s">
        <v>364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1"/>
      <c r="R4" s="1"/>
      <c r="S4" s="1"/>
    </row>
    <row r="5" spans="1:21" ht="15.75">
      <c r="A5" s="77"/>
      <c r="B5" s="77"/>
      <c r="C5" s="77"/>
      <c r="D5" s="153"/>
      <c r="E5" s="154"/>
      <c r="F5" s="155"/>
      <c r="G5" s="77"/>
      <c r="H5" s="77"/>
      <c r="I5" s="77"/>
      <c r="J5" s="154"/>
      <c r="K5" s="155"/>
      <c r="L5" s="77"/>
      <c r="M5" s="77"/>
      <c r="N5" s="77"/>
      <c r="O5" s="77"/>
      <c r="P5" s="77"/>
      <c r="Q5" s="1"/>
      <c r="R5" s="1"/>
      <c r="S5" s="1"/>
    </row>
    <row r="6" spans="1:21" ht="15.75">
      <c r="A6" s="156" t="str">
        <f>'C.2.1 B'!A6</f>
        <v>Data:___X____Base Period________Forecasted Period</v>
      </c>
      <c r="B6" s="17"/>
      <c r="C6" s="17"/>
      <c r="D6" s="153"/>
      <c r="E6" s="153"/>
      <c r="F6" s="155"/>
      <c r="G6" s="153"/>
      <c r="H6" s="153"/>
      <c r="I6" s="153"/>
      <c r="J6" s="153"/>
      <c r="K6" s="154"/>
      <c r="L6" s="17"/>
      <c r="M6" s="17"/>
      <c r="N6" s="17"/>
      <c r="O6" s="77"/>
      <c r="P6" s="157" t="s">
        <v>214</v>
      </c>
      <c r="Q6" s="1"/>
      <c r="R6" s="1"/>
      <c r="S6" s="1"/>
    </row>
    <row r="7" spans="1:21">
      <c r="A7" s="156" t="str">
        <f>'C.2.1 B'!A7</f>
        <v>Type of Filing:___X____Original________Updated ________Revised</v>
      </c>
      <c r="B7" s="17"/>
      <c r="C7" s="17"/>
      <c r="D7" s="153"/>
      <c r="E7" s="158"/>
      <c r="F7" s="17"/>
      <c r="G7" s="17"/>
      <c r="H7" s="17"/>
      <c r="I7" s="17"/>
      <c r="J7" s="17"/>
      <c r="K7" s="17"/>
      <c r="L7" s="17"/>
      <c r="M7" s="17"/>
      <c r="N7" s="17"/>
      <c r="O7" s="77"/>
      <c r="P7" s="159" t="s">
        <v>215</v>
      </c>
      <c r="Q7" s="1"/>
      <c r="R7" s="1"/>
      <c r="S7" s="1"/>
    </row>
    <row r="8" spans="1:21">
      <c r="A8" s="160" t="str">
        <f>'C.2.1 B'!A8</f>
        <v>Workpaper Reference No(s).____________________</v>
      </c>
      <c r="B8" s="17"/>
      <c r="C8" s="17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63" t="str">
        <f>'C.1'!J9</f>
        <v>Witness: Waller, Densman</v>
      </c>
      <c r="Q8" s="1"/>
      <c r="R8" s="1"/>
      <c r="S8" s="1"/>
    </row>
    <row r="9" spans="1:21">
      <c r="A9" s="164" t="s">
        <v>9</v>
      </c>
      <c r="B9" s="165" t="s">
        <v>216</v>
      </c>
      <c r="C9" s="166"/>
      <c r="D9" s="167" t="s">
        <v>217</v>
      </c>
      <c r="E9" s="167" t="s">
        <v>217</v>
      </c>
      <c r="F9" s="167" t="s">
        <v>217</v>
      </c>
      <c r="G9" s="167" t="s">
        <v>217</v>
      </c>
      <c r="H9" s="167" t="s">
        <v>217</v>
      </c>
      <c r="I9" s="167" t="s">
        <v>217</v>
      </c>
      <c r="J9" s="167" t="s">
        <v>217</v>
      </c>
      <c r="K9" s="167" t="s">
        <v>217</v>
      </c>
      <c r="L9" s="167" t="s">
        <v>217</v>
      </c>
      <c r="M9" s="167" t="s">
        <v>217</v>
      </c>
      <c r="N9" s="168" t="s">
        <v>218</v>
      </c>
      <c r="O9" s="168" t="s">
        <v>218</v>
      </c>
      <c r="P9" s="77"/>
      <c r="Q9" s="9"/>
      <c r="R9" s="9"/>
      <c r="S9" s="9"/>
    </row>
    <row r="10" spans="1:21">
      <c r="A10" s="169" t="s">
        <v>12</v>
      </c>
      <c r="B10" s="170" t="s">
        <v>12</v>
      </c>
      <c r="C10" s="171" t="s">
        <v>219</v>
      </c>
      <c r="D10" s="172">
        <v>43101</v>
      </c>
      <c r="E10" s="172">
        <v>43132</v>
      </c>
      <c r="F10" s="172">
        <v>43160</v>
      </c>
      <c r="G10" s="172">
        <v>43191</v>
      </c>
      <c r="H10" s="172">
        <v>43221</v>
      </c>
      <c r="I10" s="172">
        <v>43252</v>
      </c>
      <c r="J10" s="172">
        <v>43282</v>
      </c>
      <c r="K10" s="172">
        <v>43313</v>
      </c>
      <c r="L10" s="172">
        <v>43344</v>
      </c>
      <c r="M10" s="172">
        <v>43374</v>
      </c>
      <c r="N10" s="172">
        <v>43405</v>
      </c>
      <c r="O10" s="172">
        <v>43435</v>
      </c>
      <c r="P10" s="173" t="s">
        <v>220</v>
      </c>
      <c r="Q10" s="174"/>
      <c r="R10" s="9"/>
      <c r="S10" s="9"/>
    </row>
    <row r="11" spans="1:21">
      <c r="A11" s="17"/>
      <c r="B11" s="17"/>
      <c r="C11" s="17"/>
      <c r="D11" s="64" t="s">
        <v>221</v>
      </c>
      <c r="E11" s="64" t="s">
        <v>221</v>
      </c>
      <c r="F11" s="64" t="s">
        <v>221</v>
      </c>
      <c r="G11" s="64" t="s">
        <v>221</v>
      </c>
      <c r="H11" s="64" t="s">
        <v>221</v>
      </c>
      <c r="I11" s="64" t="s">
        <v>221</v>
      </c>
      <c r="J11" s="64" t="s">
        <v>221</v>
      </c>
      <c r="K11" s="64" t="s">
        <v>221</v>
      </c>
      <c r="L11" s="64" t="s">
        <v>221</v>
      </c>
      <c r="M11" s="64" t="s">
        <v>221</v>
      </c>
      <c r="N11" s="64" t="s">
        <v>221</v>
      </c>
      <c r="O11" s="64" t="s">
        <v>221</v>
      </c>
      <c r="P11" s="64" t="s">
        <v>221</v>
      </c>
      <c r="Q11" s="10"/>
      <c r="R11" s="1"/>
    </row>
    <row r="12" spans="1:21">
      <c r="A12" s="77">
        <v>1</v>
      </c>
      <c r="B12" s="175" t="s">
        <v>209</v>
      </c>
      <c r="C12" s="176" t="s">
        <v>222</v>
      </c>
      <c r="D12" s="113">
        <f>0</f>
        <v>0</v>
      </c>
      <c r="E12" s="113">
        <f>0</f>
        <v>0</v>
      </c>
      <c r="F12" s="113">
        <f>0</f>
        <v>0</v>
      </c>
      <c r="G12" s="113">
        <f>0</f>
        <v>0</v>
      </c>
      <c r="H12" s="113" t="s">
        <v>223</v>
      </c>
      <c r="I12" s="113">
        <f>0</f>
        <v>0</v>
      </c>
      <c r="J12" s="268"/>
      <c r="K12" s="268"/>
      <c r="L12" s="268">
        <v>2014516</v>
      </c>
      <c r="M12" s="268">
        <v>-94628.49</v>
      </c>
      <c r="N12" s="131">
        <f>E!$E$23/6</f>
        <v>1067295.9957216235</v>
      </c>
      <c r="O12" s="131">
        <f>E!$E$23/6</f>
        <v>1067295.9957216235</v>
      </c>
      <c r="P12" s="17">
        <f>SUM(D12:O12)</f>
        <v>4054479.5014432473</v>
      </c>
      <c r="Q12" s="75"/>
      <c r="R12" s="75"/>
      <c r="S12" s="75"/>
      <c r="U12" s="177"/>
    </row>
    <row r="13" spans="1:21">
      <c r="A13" s="77">
        <f t="shared" ref="A13:A76" si="0">A12+1</f>
        <v>2</v>
      </c>
      <c r="B13" s="175"/>
      <c r="C13" s="17"/>
      <c r="D13" s="113"/>
      <c r="E13" s="113"/>
      <c r="F13" s="113"/>
      <c r="G13" s="113"/>
      <c r="H13" s="113"/>
      <c r="I13" s="113"/>
      <c r="J13" s="269"/>
      <c r="K13" s="269"/>
      <c r="L13" s="269"/>
      <c r="M13" s="269"/>
      <c r="N13" s="113"/>
      <c r="O13" s="113"/>
      <c r="P13" s="17"/>
      <c r="R13" s="1"/>
      <c r="S13" s="1"/>
    </row>
    <row r="14" spans="1:21">
      <c r="A14" s="77">
        <f t="shared" si="0"/>
        <v>3</v>
      </c>
      <c r="B14" s="175">
        <v>4030</v>
      </c>
      <c r="C14" s="17" t="s">
        <v>59</v>
      </c>
      <c r="D14" s="178">
        <v>1669957.5100000002</v>
      </c>
      <c r="E14" s="178">
        <v>1669432.77</v>
      </c>
      <c r="F14" s="178">
        <v>1675464.78</v>
      </c>
      <c r="G14" s="178">
        <v>1687862.1</v>
      </c>
      <c r="H14" s="178">
        <v>1698141.52</v>
      </c>
      <c r="I14" s="178">
        <v>1711939.78</v>
      </c>
      <c r="J14" s="270">
        <v>1695922.6</v>
      </c>
      <c r="K14" s="270">
        <v>1849506.9800000002</v>
      </c>
      <c r="L14" s="270">
        <v>1842725.99</v>
      </c>
      <c r="M14" s="270">
        <v>1759507.3800000001</v>
      </c>
      <c r="N14" s="178">
        <v>1732739.0528261901</v>
      </c>
      <c r="O14" s="178">
        <v>1752063.5293723892</v>
      </c>
      <c r="P14" s="17">
        <f t="shared" ref="P14:P77" si="1">SUM(D14:O14)</f>
        <v>20745263.992198579</v>
      </c>
      <c r="Q14" s="179"/>
      <c r="R14" s="17"/>
      <c r="S14" s="17"/>
    </row>
    <row r="15" spans="1:21">
      <c r="A15" s="77">
        <f t="shared" si="0"/>
        <v>4</v>
      </c>
      <c r="B15" s="175">
        <v>4060</v>
      </c>
      <c r="C15" s="17" t="s">
        <v>224</v>
      </c>
      <c r="D15" s="178">
        <v>4093.11</v>
      </c>
      <c r="E15" s="178">
        <v>4093.11</v>
      </c>
      <c r="F15" s="178">
        <v>4093.11</v>
      </c>
      <c r="G15" s="178">
        <v>4093.11</v>
      </c>
      <c r="H15" s="178">
        <v>4093.11</v>
      </c>
      <c r="I15" s="178">
        <v>4093.11</v>
      </c>
      <c r="J15" s="270">
        <v>4093.11</v>
      </c>
      <c r="K15" s="270">
        <v>4093.11</v>
      </c>
      <c r="L15" s="270">
        <v>4093.11</v>
      </c>
      <c r="M15" s="270">
        <v>4208.22</v>
      </c>
      <c r="N15" s="178">
        <f t="shared" ref="N15:O15" si="2">M15</f>
        <v>4208.22</v>
      </c>
      <c r="O15" s="178">
        <f t="shared" si="2"/>
        <v>4208.22</v>
      </c>
      <c r="P15" s="17">
        <f t="shared" si="1"/>
        <v>49462.65</v>
      </c>
      <c r="R15" s="75"/>
      <c r="S15" s="1"/>
    </row>
    <row r="16" spans="1:21">
      <c r="A16" s="77">
        <f t="shared" si="0"/>
        <v>5</v>
      </c>
      <c r="B16" s="175">
        <v>4081</v>
      </c>
      <c r="C16" s="17" t="s">
        <v>225</v>
      </c>
      <c r="D16" s="178">
        <v>566216.2699999999</v>
      </c>
      <c r="E16" s="178">
        <v>312504.24</v>
      </c>
      <c r="F16" s="178">
        <v>527772.14000000013</v>
      </c>
      <c r="G16" s="178">
        <v>552950.53</v>
      </c>
      <c r="H16" s="178">
        <v>656879.85999999987</v>
      </c>
      <c r="I16" s="178">
        <v>452393.76000000013</v>
      </c>
      <c r="J16" s="270">
        <v>504718.57</v>
      </c>
      <c r="K16" s="270">
        <v>551838.42000000004</v>
      </c>
      <c r="L16" s="270">
        <v>509166.81000000006</v>
      </c>
      <c r="M16" s="270">
        <v>584119.19999999995</v>
      </c>
      <c r="N16" s="178">
        <v>650316.26217926887</v>
      </c>
      <c r="O16" s="178">
        <v>575227.61439126881</v>
      </c>
      <c r="P16" s="17">
        <f>SUM(D16:O16)</f>
        <v>6444103.6765705375</v>
      </c>
      <c r="Q16" s="75"/>
      <c r="R16" s="158"/>
      <c r="S16" s="75"/>
    </row>
    <row r="17" spans="1:25">
      <c r="A17" s="77">
        <f t="shared" si="0"/>
        <v>6</v>
      </c>
      <c r="B17" s="175">
        <v>4800</v>
      </c>
      <c r="C17" s="180" t="s">
        <v>226</v>
      </c>
      <c r="D17" s="178">
        <v>-18914907.850000001</v>
      </c>
      <c r="E17" s="178">
        <v>-17207259.700000003</v>
      </c>
      <c r="F17" s="178">
        <v>-12369455.85</v>
      </c>
      <c r="G17" s="178">
        <v>-11018917.73</v>
      </c>
      <c r="H17" s="178">
        <v>-6154175.7400000002</v>
      </c>
      <c r="I17" s="178">
        <v>-3781326.5299999993</v>
      </c>
      <c r="J17" s="269">
        <v>-3864942.48</v>
      </c>
      <c r="K17" s="269">
        <v>-3571448.2900000005</v>
      </c>
      <c r="L17" s="269">
        <v>-3653082.67</v>
      </c>
      <c r="M17" s="269">
        <v>-4050903.06</v>
      </c>
      <c r="N17" s="113">
        <v>-8255729.0116288727</v>
      </c>
      <c r="O17" s="113">
        <v>-12475096.156039527</v>
      </c>
      <c r="P17" s="17">
        <f t="shared" si="1"/>
        <v>-105317245.06766841</v>
      </c>
      <c r="Q17" s="1"/>
      <c r="R17" s="1"/>
      <c r="S17" s="1"/>
    </row>
    <row r="18" spans="1:25">
      <c r="A18" s="77">
        <f t="shared" si="0"/>
        <v>7</v>
      </c>
      <c r="B18" s="175">
        <v>4805</v>
      </c>
      <c r="C18" s="180" t="s">
        <v>227</v>
      </c>
      <c r="D18" s="178">
        <v>405968.1</v>
      </c>
      <c r="E18" s="178">
        <v>3377819.57</v>
      </c>
      <c r="F18" s="178">
        <v>-677729.4</v>
      </c>
      <c r="G18" s="178">
        <v>1794375.08</v>
      </c>
      <c r="H18" s="178">
        <v>1963448</v>
      </c>
      <c r="I18" s="178">
        <v>45375</v>
      </c>
      <c r="J18" s="269">
        <v>27636</v>
      </c>
      <c r="K18" s="269">
        <v>15431</v>
      </c>
      <c r="L18" s="269">
        <v>-14771</v>
      </c>
      <c r="M18" s="269">
        <v>-1397828.4</v>
      </c>
      <c r="N18" s="113"/>
      <c r="O18" s="113"/>
      <c r="P18" s="17">
        <f t="shared" si="1"/>
        <v>5539723.9499999993</v>
      </c>
      <c r="Q18" s="1"/>
      <c r="R18" s="1"/>
      <c r="S18" s="1"/>
    </row>
    <row r="19" spans="1:25">
      <c r="A19" s="77">
        <f t="shared" si="0"/>
        <v>8</v>
      </c>
      <c r="B19" s="175">
        <v>4811</v>
      </c>
      <c r="C19" s="180" t="s">
        <v>228</v>
      </c>
      <c r="D19" s="178">
        <v>-8086207.9299999997</v>
      </c>
      <c r="E19" s="178">
        <v>-7415174.7999999998</v>
      </c>
      <c r="F19" s="178">
        <v>-5130721.6899999995</v>
      </c>
      <c r="G19" s="178">
        <v>-4548594.92</v>
      </c>
      <c r="H19" s="178">
        <v>-2633468.4799999995</v>
      </c>
      <c r="I19" s="178">
        <v>-1707133.54</v>
      </c>
      <c r="J19" s="269">
        <v>-1797589.72</v>
      </c>
      <c r="K19" s="269">
        <v>-1658518.39</v>
      </c>
      <c r="L19" s="269">
        <v>-2052468.1800000002</v>
      </c>
      <c r="M19" s="269">
        <v>-1928804.5100000002</v>
      </c>
      <c r="N19" s="113">
        <v>-3547724.2611189121</v>
      </c>
      <c r="O19" s="113">
        <v>-5285173.8612298202</v>
      </c>
      <c r="P19" s="17">
        <f t="shared" si="1"/>
        <v>-45791580.282348737</v>
      </c>
      <c r="Q19" s="1"/>
      <c r="R19" s="75"/>
      <c r="S19" s="1"/>
    </row>
    <row r="20" spans="1:25">
      <c r="A20" s="77">
        <f t="shared" si="0"/>
        <v>9</v>
      </c>
      <c r="B20" s="175">
        <v>4812</v>
      </c>
      <c r="C20" s="17" t="s">
        <v>229</v>
      </c>
      <c r="D20" s="178">
        <v>-973706.71</v>
      </c>
      <c r="E20" s="178">
        <v>-1334353.76</v>
      </c>
      <c r="F20" s="178">
        <v>-899110.9</v>
      </c>
      <c r="G20" s="178">
        <v>-594159.13</v>
      </c>
      <c r="H20" s="178">
        <v>-355282.98</v>
      </c>
      <c r="I20" s="178">
        <v>-174114.03</v>
      </c>
      <c r="J20" s="269">
        <v>-196091.18999999997</v>
      </c>
      <c r="K20" s="269">
        <v>-199809.01</v>
      </c>
      <c r="L20" s="269">
        <v>-166704.51999999999</v>
      </c>
      <c r="M20" s="269">
        <v>-213654.5</v>
      </c>
      <c r="N20" s="113">
        <v>-361508.19045149098</v>
      </c>
      <c r="O20" s="113">
        <v>-541727.0040097828</v>
      </c>
      <c r="P20" s="17">
        <f t="shared" si="1"/>
        <v>-6010221.9244612735</v>
      </c>
      <c r="Q20" s="1"/>
      <c r="R20" s="75"/>
      <c r="S20" s="1"/>
    </row>
    <row r="21" spans="1:25">
      <c r="A21" s="77">
        <f t="shared" si="0"/>
        <v>10</v>
      </c>
      <c r="B21" s="175">
        <v>4815</v>
      </c>
      <c r="C21" s="17" t="s">
        <v>230</v>
      </c>
      <c r="D21" s="178">
        <v>87594.73</v>
      </c>
      <c r="E21" s="178">
        <v>1449165.56</v>
      </c>
      <c r="F21" s="178">
        <v>-170765.7</v>
      </c>
      <c r="G21" s="178">
        <v>667416.28</v>
      </c>
      <c r="H21" s="178">
        <v>568707</v>
      </c>
      <c r="I21" s="178">
        <v>44232</v>
      </c>
      <c r="J21" s="269">
        <v>28042</v>
      </c>
      <c r="K21" s="269">
        <v>11832</v>
      </c>
      <c r="L21" s="269">
        <v>26822</v>
      </c>
      <c r="M21" s="269">
        <v>-403460.43</v>
      </c>
      <c r="N21" s="113"/>
      <c r="O21" s="113"/>
      <c r="P21" s="17">
        <f t="shared" si="1"/>
        <v>2309585.44</v>
      </c>
      <c r="Q21" s="1"/>
      <c r="R21" s="75"/>
      <c r="S21" s="1"/>
    </row>
    <row r="22" spans="1:25">
      <c r="A22" s="77">
        <f t="shared" si="0"/>
        <v>11</v>
      </c>
      <c r="B22" s="175">
        <v>4816</v>
      </c>
      <c r="C22" s="17" t="s">
        <v>231</v>
      </c>
      <c r="D22" s="178">
        <v>-505592.3</v>
      </c>
      <c r="E22" s="178">
        <v>248260.24000000002</v>
      </c>
      <c r="F22" s="178">
        <v>260988.22</v>
      </c>
      <c r="G22" s="178">
        <v>70106.89</v>
      </c>
      <c r="H22" s="178">
        <v>48981.37</v>
      </c>
      <c r="I22" s="178">
        <v>80943.959999999992</v>
      </c>
      <c r="J22" s="269">
        <v>-9322.5399999999991</v>
      </c>
      <c r="K22" s="269">
        <v>6694.28</v>
      </c>
      <c r="L22" s="269">
        <v>-14530.859999999999</v>
      </c>
      <c r="M22" s="269">
        <v>-69939.179999999993</v>
      </c>
      <c r="N22" s="113"/>
      <c r="O22" s="113"/>
      <c r="P22" s="17">
        <f t="shared" si="1"/>
        <v>116590.08000000005</v>
      </c>
      <c r="R22" s="75"/>
      <c r="S22" s="1"/>
    </row>
    <row r="23" spans="1:25">
      <c r="A23" s="77">
        <f t="shared" si="0"/>
        <v>12</v>
      </c>
      <c r="B23" s="175">
        <v>4820</v>
      </c>
      <c r="C23" s="17" t="s">
        <v>232</v>
      </c>
      <c r="D23" s="178">
        <v>-1354829.99</v>
      </c>
      <c r="E23" s="178">
        <v>-1331272.1100000001</v>
      </c>
      <c r="F23" s="178">
        <v>-872594.26</v>
      </c>
      <c r="G23" s="178">
        <v>-783701.12000000011</v>
      </c>
      <c r="H23" s="178">
        <v>-441272.28000000009</v>
      </c>
      <c r="I23" s="178">
        <v>-251739.36</v>
      </c>
      <c r="J23" s="269">
        <v>-232370.77000000002</v>
      </c>
      <c r="K23" s="269">
        <v>-205719.90999999997</v>
      </c>
      <c r="L23" s="269">
        <v>-230211.49</v>
      </c>
      <c r="M23" s="269">
        <v>-269827.57999999996</v>
      </c>
      <c r="N23" s="113">
        <v>-595284.49540316418</v>
      </c>
      <c r="O23" s="113">
        <v>-932195.08373129787</v>
      </c>
      <c r="P23" s="17">
        <f t="shared" si="1"/>
        <v>-7501018.4491344634</v>
      </c>
      <c r="Q23" s="17"/>
      <c r="R23" s="75"/>
      <c r="S23" s="1"/>
    </row>
    <row r="24" spans="1:25">
      <c r="A24" s="77">
        <f t="shared" si="0"/>
        <v>13</v>
      </c>
      <c r="B24" s="175">
        <v>4825</v>
      </c>
      <c r="C24" s="17" t="s">
        <v>233</v>
      </c>
      <c r="D24" s="178">
        <v>20773.28</v>
      </c>
      <c r="E24" s="178">
        <v>303343.87</v>
      </c>
      <c r="F24" s="178">
        <v>-75991.209999999992</v>
      </c>
      <c r="G24" s="178">
        <v>96466.27</v>
      </c>
      <c r="H24" s="178">
        <v>221124</v>
      </c>
      <c r="I24" s="178">
        <v>6068</v>
      </c>
      <c r="J24" s="269">
        <v>3135</v>
      </c>
      <c r="K24" s="269">
        <v>-521</v>
      </c>
      <c r="L24" s="269">
        <v>-575</v>
      </c>
      <c r="M24" s="269">
        <v>-118363.67</v>
      </c>
      <c r="N24" s="113"/>
      <c r="O24" s="113"/>
      <c r="P24" s="17">
        <f t="shared" si="1"/>
        <v>455459.54</v>
      </c>
      <c r="S24" s="1"/>
    </row>
    <row r="25" spans="1:25">
      <c r="A25" s="77">
        <f t="shared" si="0"/>
        <v>14</v>
      </c>
      <c r="B25" s="175">
        <v>4870</v>
      </c>
      <c r="C25" s="17" t="s">
        <v>234</v>
      </c>
      <c r="D25" s="178">
        <v>-192879.14</v>
      </c>
      <c r="E25" s="178">
        <v>-230566.08</v>
      </c>
      <c r="F25" s="178">
        <v>-230342.12</v>
      </c>
      <c r="G25" s="178">
        <v>-151214.99</v>
      </c>
      <c r="H25" s="178">
        <v>-139652.79999999999</v>
      </c>
      <c r="I25" s="178">
        <v>-59470.85</v>
      </c>
      <c r="J25" s="269">
        <v>-49867.9</v>
      </c>
      <c r="K25" s="269">
        <v>-62748.49</v>
      </c>
      <c r="L25" s="269">
        <v>-41460.449999999997</v>
      </c>
      <c r="M25" s="269">
        <v>-59093.21</v>
      </c>
      <c r="N25" s="113">
        <v>-64694.648373821525</v>
      </c>
      <c r="O25" s="113">
        <v>-111548.2089530177</v>
      </c>
      <c r="P25" s="17">
        <f t="shared" si="1"/>
        <v>-1393538.8873268389</v>
      </c>
      <c r="R25" s="1"/>
      <c r="S25" s="1"/>
    </row>
    <row r="26" spans="1:25">
      <c r="A26" s="77">
        <f t="shared" si="0"/>
        <v>15</v>
      </c>
      <c r="B26" s="175">
        <v>4880</v>
      </c>
      <c r="C26" s="17" t="s">
        <v>235</v>
      </c>
      <c r="D26" s="178">
        <v>-59320</v>
      </c>
      <c r="E26" s="178">
        <v>-48866</v>
      </c>
      <c r="F26" s="178">
        <v>-64491</v>
      </c>
      <c r="G26" s="178">
        <v>-54927</v>
      </c>
      <c r="H26" s="178">
        <v>-49757</v>
      </c>
      <c r="I26" s="178">
        <v>-54928</v>
      </c>
      <c r="J26" s="269">
        <v>-48970</v>
      </c>
      <c r="K26" s="269">
        <v>-52828</v>
      </c>
      <c r="L26" s="269">
        <v>-47375.45</v>
      </c>
      <c r="M26" s="269">
        <v>-138366</v>
      </c>
      <c r="N26" s="113">
        <v>-126545</v>
      </c>
      <c r="O26" s="113">
        <v>-87101</v>
      </c>
      <c r="P26" s="17">
        <f t="shared" si="1"/>
        <v>-833474.45</v>
      </c>
      <c r="R26" s="1"/>
      <c r="S26" s="1"/>
    </row>
    <row r="27" spans="1:25">
      <c r="A27" s="77">
        <f t="shared" si="0"/>
        <v>16</v>
      </c>
      <c r="B27" s="175">
        <v>4893</v>
      </c>
      <c r="C27" s="17" t="s">
        <v>236</v>
      </c>
      <c r="D27" s="178">
        <v>-2135654.7199999997</v>
      </c>
      <c r="E27" s="178">
        <v>-1772397.93</v>
      </c>
      <c r="F27" s="178">
        <v>-1770851.04</v>
      </c>
      <c r="G27" s="178">
        <v>-1589667.64</v>
      </c>
      <c r="H27" s="178">
        <v>-1412282.73</v>
      </c>
      <c r="I27" s="178">
        <v>-1232115.18</v>
      </c>
      <c r="J27" s="269">
        <v>-1215794.3600000001</v>
      </c>
      <c r="K27" s="269">
        <v>-1345886.44</v>
      </c>
      <c r="L27" s="269">
        <v>-1235837.5599999998</v>
      </c>
      <c r="M27" s="269">
        <v>-1524018.88</v>
      </c>
      <c r="N27" s="113">
        <v>-1304753.0449999999</v>
      </c>
      <c r="O27" s="113">
        <v>-1422619.82</v>
      </c>
      <c r="P27" s="17">
        <f t="shared" si="1"/>
        <v>-17961879.344999995</v>
      </c>
      <c r="Q27" s="181"/>
      <c r="R27" s="154"/>
      <c r="S27" s="154"/>
      <c r="T27" s="154"/>
      <c r="U27" s="154"/>
      <c r="V27" s="154"/>
      <c r="W27" s="154"/>
      <c r="X27" s="154"/>
      <c r="Y27" s="154"/>
    </row>
    <row r="28" spans="1:25">
      <c r="A28" s="77">
        <f t="shared" si="0"/>
        <v>17</v>
      </c>
      <c r="B28" s="175">
        <v>4950</v>
      </c>
      <c r="C28" s="17" t="s">
        <v>88</v>
      </c>
      <c r="D28" s="178">
        <f>0</f>
        <v>0</v>
      </c>
      <c r="E28" s="178">
        <f>0</f>
        <v>0</v>
      </c>
      <c r="F28" s="178">
        <f>0</f>
        <v>0</v>
      </c>
      <c r="G28" s="178">
        <f>0</f>
        <v>0</v>
      </c>
      <c r="H28" s="178">
        <f>0</f>
        <v>0</v>
      </c>
      <c r="I28" s="178">
        <f>0</f>
        <v>0</v>
      </c>
      <c r="J28" s="269"/>
      <c r="K28" s="269">
        <v>0.1</v>
      </c>
      <c r="L28" s="269">
        <v>-1.19</v>
      </c>
      <c r="M28" s="269"/>
      <c r="N28" s="113">
        <v>-213081.41000000003</v>
      </c>
      <c r="O28" s="113">
        <v>-245950.37</v>
      </c>
      <c r="P28" s="17">
        <f t="shared" si="1"/>
        <v>-459032.87</v>
      </c>
      <c r="Q28" s="182"/>
    </row>
    <row r="29" spans="1:25">
      <c r="A29" s="77">
        <f t="shared" si="0"/>
        <v>18</v>
      </c>
      <c r="B29" s="175">
        <v>4960</v>
      </c>
      <c r="C29" s="176" t="s">
        <v>89</v>
      </c>
      <c r="D29" s="178">
        <v>651059</v>
      </c>
      <c r="E29" s="178">
        <v>688493</v>
      </c>
      <c r="F29" s="178">
        <v>452336</v>
      </c>
      <c r="G29" s="178">
        <v>0</v>
      </c>
      <c r="H29" s="178">
        <v>0</v>
      </c>
      <c r="I29" s="178">
        <v>0</v>
      </c>
      <c r="J29" s="269"/>
      <c r="K29" s="269"/>
      <c r="L29" s="269">
        <v>-367777.01</v>
      </c>
      <c r="M29" s="269"/>
      <c r="N29" s="113"/>
      <c r="O29" s="113"/>
      <c r="P29" s="17">
        <f t="shared" si="1"/>
        <v>1424110.99</v>
      </c>
      <c r="Q29" s="182"/>
    </row>
    <row r="30" spans="1:25" ht="12" customHeight="1">
      <c r="A30" s="77">
        <f t="shared" si="0"/>
        <v>19</v>
      </c>
      <c r="B30" s="175">
        <v>7560</v>
      </c>
      <c r="C30" s="154" t="s">
        <v>237</v>
      </c>
      <c r="D30" s="178">
        <f>0</f>
        <v>0</v>
      </c>
      <c r="E30" s="178">
        <f>0</f>
        <v>0</v>
      </c>
      <c r="F30" s="178">
        <f>0</f>
        <v>0</v>
      </c>
      <c r="G30" s="178">
        <f>0</f>
        <v>0</v>
      </c>
      <c r="H30" s="178">
        <f>0</f>
        <v>0</v>
      </c>
      <c r="I30" s="178">
        <f>0</f>
        <v>0</v>
      </c>
      <c r="J30" s="268"/>
      <c r="K30" s="268"/>
      <c r="L30" s="268"/>
      <c r="M30" s="268"/>
      <c r="N30" s="131">
        <v>0</v>
      </c>
      <c r="O30" s="131">
        <v>0</v>
      </c>
      <c r="P30" s="17">
        <f t="shared" si="1"/>
        <v>0</v>
      </c>
      <c r="S30" s="1"/>
    </row>
    <row r="31" spans="1:25">
      <c r="A31" s="77">
        <f t="shared" si="0"/>
        <v>20</v>
      </c>
      <c r="B31" s="175">
        <v>7590</v>
      </c>
      <c r="C31" s="176" t="s">
        <v>95</v>
      </c>
      <c r="D31" s="178">
        <f>0</f>
        <v>0</v>
      </c>
      <c r="E31" s="178">
        <f>0</f>
        <v>0</v>
      </c>
      <c r="F31" s="178">
        <f>0</f>
        <v>0</v>
      </c>
      <c r="G31" s="178">
        <f>0</f>
        <v>0</v>
      </c>
      <c r="H31" s="178">
        <f>0</f>
        <v>0</v>
      </c>
      <c r="I31" s="178">
        <f>0</f>
        <v>0</v>
      </c>
      <c r="J31" s="268"/>
      <c r="K31" s="268"/>
      <c r="L31" s="268"/>
      <c r="M31" s="268"/>
      <c r="N31" s="131">
        <v>0</v>
      </c>
      <c r="O31" s="131">
        <v>0</v>
      </c>
      <c r="P31" s="17">
        <f t="shared" si="1"/>
        <v>0</v>
      </c>
      <c r="S31" s="1"/>
    </row>
    <row r="32" spans="1:25">
      <c r="A32" s="77">
        <f t="shared" si="0"/>
        <v>21</v>
      </c>
      <c r="B32" s="175">
        <v>8001</v>
      </c>
      <c r="C32" s="17" t="s">
        <v>137</v>
      </c>
      <c r="D32" s="178">
        <f>0</f>
        <v>0</v>
      </c>
      <c r="E32" s="178">
        <f>0</f>
        <v>0</v>
      </c>
      <c r="F32" s="178">
        <f>0</f>
        <v>0</v>
      </c>
      <c r="G32" s="178">
        <f>0</f>
        <v>0</v>
      </c>
      <c r="H32" s="178">
        <f>0</f>
        <v>0</v>
      </c>
      <c r="I32" s="178">
        <f>0</f>
        <v>0</v>
      </c>
      <c r="J32" s="269"/>
      <c r="K32" s="269"/>
      <c r="L32" s="269"/>
      <c r="M32" s="269"/>
      <c r="N32" s="113">
        <v>0</v>
      </c>
      <c r="O32" s="113">
        <v>0</v>
      </c>
      <c r="P32" s="17">
        <f t="shared" si="1"/>
        <v>0</v>
      </c>
      <c r="Q32" s="75"/>
      <c r="R32" s="75"/>
      <c r="S32" s="1"/>
    </row>
    <row r="33" spans="1:19">
      <c r="A33" s="77">
        <f t="shared" si="0"/>
        <v>22</v>
      </c>
      <c r="B33" s="175">
        <v>8010</v>
      </c>
      <c r="C33" s="176" t="s">
        <v>238</v>
      </c>
      <c r="D33" s="178">
        <v>4142.43</v>
      </c>
      <c r="E33" s="178">
        <v>4390.79</v>
      </c>
      <c r="F33" s="178">
        <v>5052.87</v>
      </c>
      <c r="G33" s="178">
        <v>4211.0600000000004</v>
      </c>
      <c r="H33" s="178">
        <v>4530.34</v>
      </c>
      <c r="I33" s="178">
        <v>5322.71</v>
      </c>
      <c r="J33" s="269">
        <v>4940.37</v>
      </c>
      <c r="K33" s="269">
        <v>5341.21</v>
      </c>
      <c r="L33" s="269">
        <v>5233.51</v>
      </c>
      <c r="M33" s="269">
        <v>5832.34</v>
      </c>
      <c r="N33" s="113">
        <v>4318.9815720120605</v>
      </c>
      <c r="O33" s="113">
        <v>4014.4276462716489</v>
      </c>
      <c r="P33" s="17">
        <f t="shared" si="1"/>
        <v>57331.039218283717</v>
      </c>
      <c r="Q33" s="1"/>
      <c r="R33" s="1"/>
      <c r="S33" s="1"/>
    </row>
    <row r="34" spans="1:19">
      <c r="A34" s="77">
        <f t="shared" si="0"/>
        <v>23</v>
      </c>
      <c r="B34" s="175">
        <v>8040</v>
      </c>
      <c r="C34" s="17" t="s">
        <v>239</v>
      </c>
      <c r="D34" s="178">
        <v>6202228.0199999996</v>
      </c>
      <c r="E34" s="178">
        <v>6877704.7200000007</v>
      </c>
      <c r="F34" s="178">
        <v>2247878.71</v>
      </c>
      <c r="G34" s="178">
        <v>927969.08</v>
      </c>
      <c r="H34" s="178">
        <v>6008159.8899999997</v>
      </c>
      <c r="I34" s="178">
        <v>4785365.57</v>
      </c>
      <c r="J34" s="269">
        <v>4154886.42</v>
      </c>
      <c r="K34" s="269">
        <v>4698036.68</v>
      </c>
      <c r="L34" s="269">
        <v>4304767.51</v>
      </c>
      <c r="M34" s="269">
        <v>4456647.04</v>
      </c>
      <c r="N34" s="113">
        <v>4828545.1402501734</v>
      </c>
      <c r="O34" s="113">
        <v>2228393.9559807465</v>
      </c>
      <c r="P34" s="17">
        <f t="shared" si="1"/>
        <v>51720582.736230917</v>
      </c>
      <c r="Q34" s="1"/>
      <c r="R34" s="75"/>
      <c r="S34" s="1"/>
    </row>
    <row r="35" spans="1:19">
      <c r="A35" s="77">
        <f t="shared" si="0"/>
        <v>24</v>
      </c>
      <c r="B35" s="175">
        <v>8050</v>
      </c>
      <c r="C35" s="17" t="s">
        <v>240</v>
      </c>
      <c r="D35" s="178">
        <v>-1038.32</v>
      </c>
      <c r="E35" s="178">
        <v>-266.42</v>
      </c>
      <c r="F35" s="178">
        <v>-310.01</v>
      </c>
      <c r="G35" s="178">
        <v>-1325.87</v>
      </c>
      <c r="H35" s="178">
        <v>-63.36</v>
      </c>
      <c r="I35" s="178">
        <v>0</v>
      </c>
      <c r="J35" s="269">
        <v>-693.79</v>
      </c>
      <c r="K35" s="269">
        <v>-889.09</v>
      </c>
      <c r="L35" s="269">
        <v>-667.42</v>
      </c>
      <c r="M35" s="269">
        <v>-3139.04</v>
      </c>
      <c r="N35" s="113">
        <v>-72.123899498415383</v>
      </c>
      <c r="O35" s="113">
        <v>-1267.0630474528411</v>
      </c>
      <c r="P35" s="17">
        <f t="shared" si="1"/>
        <v>-9732.5069469512564</v>
      </c>
      <c r="Q35" s="1"/>
      <c r="R35" s="75"/>
      <c r="S35" s="1"/>
    </row>
    <row r="36" spans="1:19">
      <c r="A36" s="77">
        <f t="shared" si="0"/>
        <v>25</v>
      </c>
      <c r="B36" s="175">
        <v>8051</v>
      </c>
      <c r="C36" s="17" t="s">
        <v>241</v>
      </c>
      <c r="D36" s="178">
        <v>12247863.539999999</v>
      </c>
      <c r="E36" s="178">
        <v>10646486.09</v>
      </c>
      <c r="F36" s="178">
        <v>6624828.5599999996</v>
      </c>
      <c r="G36" s="178">
        <v>6433023.0899999999</v>
      </c>
      <c r="H36" s="178">
        <v>2509641.14</v>
      </c>
      <c r="I36" s="178">
        <v>813836.76</v>
      </c>
      <c r="J36" s="269">
        <v>877332.11</v>
      </c>
      <c r="K36" s="269">
        <v>643597.43999999994</v>
      </c>
      <c r="L36" s="269">
        <v>717396.06</v>
      </c>
      <c r="M36" s="269">
        <v>994006.84</v>
      </c>
      <c r="N36" s="113">
        <v>2799494.3176577878</v>
      </c>
      <c r="O36" s="113">
        <v>5211307.2135423655</v>
      </c>
      <c r="P36" s="17">
        <f t="shared" si="1"/>
        <v>50518813.161200158</v>
      </c>
      <c r="Q36" s="1"/>
      <c r="R36" s="1"/>
      <c r="S36" s="1"/>
    </row>
    <row r="37" spans="1:19">
      <c r="A37" s="77">
        <f t="shared" si="0"/>
        <v>26</v>
      </c>
      <c r="B37" s="175">
        <v>8052</v>
      </c>
      <c r="C37" s="17" t="s">
        <v>242</v>
      </c>
      <c r="D37" s="178">
        <v>5664066.96</v>
      </c>
      <c r="E37" s="178">
        <v>4986155.1500000004</v>
      </c>
      <c r="F37" s="178">
        <v>3093000.9</v>
      </c>
      <c r="G37" s="178">
        <v>2940052.18</v>
      </c>
      <c r="H37" s="178">
        <v>1392501.77</v>
      </c>
      <c r="I37" s="178">
        <v>720018.14</v>
      </c>
      <c r="J37" s="269">
        <v>794275.78</v>
      </c>
      <c r="K37" s="269">
        <v>670271.05000000005</v>
      </c>
      <c r="L37" s="269">
        <v>980365.67</v>
      </c>
      <c r="M37" s="269">
        <v>876031.19</v>
      </c>
      <c r="N37" s="113">
        <v>1468924.1463515474</v>
      </c>
      <c r="O37" s="113">
        <v>2433567.1194687164</v>
      </c>
      <c r="P37" s="17">
        <f t="shared" si="1"/>
        <v>26019230.055820268</v>
      </c>
      <c r="Q37" s="1"/>
      <c r="R37" s="1"/>
      <c r="S37" s="1"/>
    </row>
    <row r="38" spans="1:19">
      <c r="A38" s="77">
        <f t="shared" si="0"/>
        <v>27</v>
      </c>
      <c r="B38" s="175">
        <v>8053</v>
      </c>
      <c r="C38" s="17" t="s">
        <v>243</v>
      </c>
      <c r="D38" s="178">
        <v>839872.67</v>
      </c>
      <c r="E38" s="178">
        <v>1154836.7</v>
      </c>
      <c r="F38" s="178">
        <v>782933.51</v>
      </c>
      <c r="G38" s="178">
        <v>531775.71</v>
      </c>
      <c r="H38" s="178">
        <v>326707.57</v>
      </c>
      <c r="I38" s="178">
        <v>154525.03</v>
      </c>
      <c r="J38" s="269">
        <v>150469.75</v>
      </c>
      <c r="K38" s="269">
        <v>148266.60999999999</v>
      </c>
      <c r="L38" s="269">
        <v>121393.99</v>
      </c>
      <c r="M38" s="269">
        <v>157848.16</v>
      </c>
      <c r="N38" s="113">
        <v>228686.11565799391</v>
      </c>
      <c r="O38" s="113">
        <v>318471.91582604626</v>
      </c>
      <c r="P38" s="17">
        <f t="shared" si="1"/>
        <v>4915787.7314840388</v>
      </c>
      <c r="Q38" s="1"/>
      <c r="R38" s="1"/>
      <c r="S38" s="1"/>
    </row>
    <row r="39" spans="1:19">
      <c r="A39" s="77">
        <f t="shared" si="0"/>
        <v>28</v>
      </c>
      <c r="B39" s="175">
        <v>8054</v>
      </c>
      <c r="C39" s="17" t="s">
        <v>244</v>
      </c>
      <c r="D39" s="178">
        <v>1022753.76</v>
      </c>
      <c r="E39" s="178">
        <v>979168.91</v>
      </c>
      <c r="F39" s="178">
        <v>585698.86</v>
      </c>
      <c r="G39" s="178">
        <v>571222.75</v>
      </c>
      <c r="H39" s="178">
        <v>290609.27</v>
      </c>
      <c r="I39" s="178">
        <v>141188.26999999999</v>
      </c>
      <c r="J39" s="269">
        <v>126044.48</v>
      </c>
      <c r="K39" s="269">
        <v>100019.38</v>
      </c>
      <c r="L39" s="269">
        <v>120293.78</v>
      </c>
      <c r="M39" s="269">
        <v>148788.81</v>
      </c>
      <c r="N39" s="113">
        <v>274988.49662852997</v>
      </c>
      <c r="O39" s="113">
        <v>460088.04176891362</v>
      </c>
      <c r="P39" s="17">
        <f t="shared" si="1"/>
        <v>4820864.808397444</v>
      </c>
      <c r="Q39" s="1"/>
      <c r="S39" s="1"/>
    </row>
    <row r="40" spans="1:19">
      <c r="A40" s="77">
        <f t="shared" si="0"/>
        <v>29</v>
      </c>
      <c r="B40" s="175">
        <v>8058</v>
      </c>
      <c r="C40" s="17" t="s">
        <v>245</v>
      </c>
      <c r="D40" s="178">
        <v>-125247.93</v>
      </c>
      <c r="E40" s="178">
        <v>-4775431.7300000004</v>
      </c>
      <c r="F40" s="178">
        <v>1386749.3599999999</v>
      </c>
      <c r="G40" s="178">
        <v>-2097362</v>
      </c>
      <c r="H40" s="178">
        <v>-2064133.79</v>
      </c>
      <c r="I40" s="178">
        <v>-132916.89000000001</v>
      </c>
      <c r="J40" s="269">
        <v>-56144.47</v>
      </c>
      <c r="K40" s="269">
        <v>-13346.17</v>
      </c>
      <c r="L40" s="269">
        <v>16290.89</v>
      </c>
      <c r="M40" s="269">
        <v>1534936.18</v>
      </c>
      <c r="N40" s="113">
        <v>1984840.1719477675</v>
      </c>
      <c r="O40" s="113">
        <v>3086269.6882969714</v>
      </c>
      <c r="P40" s="17">
        <f t="shared" si="1"/>
        <v>-1255496.6897552614</v>
      </c>
      <c r="Q40" s="1"/>
      <c r="R40" s="1"/>
      <c r="S40" s="1"/>
    </row>
    <row r="41" spans="1:19">
      <c r="A41" s="77">
        <f t="shared" si="0"/>
        <v>30</v>
      </c>
      <c r="B41" s="175">
        <v>8059</v>
      </c>
      <c r="C41" s="17" t="s">
        <v>246</v>
      </c>
      <c r="D41" s="178">
        <v>-12305786.710000001</v>
      </c>
      <c r="E41" s="178">
        <v>-14904062.199999999</v>
      </c>
      <c r="F41" s="178">
        <v>-9380793.1899999995</v>
      </c>
      <c r="G41" s="178">
        <v>-8938833.0299999993</v>
      </c>
      <c r="H41" s="178">
        <v>-5948837.0899999999</v>
      </c>
      <c r="I41" s="178">
        <v>-3054463.42</v>
      </c>
      <c r="J41" s="269">
        <v>-2459005.4</v>
      </c>
      <c r="K41" s="269">
        <v>-2905076.38</v>
      </c>
      <c r="L41" s="269">
        <v>-2673745.9700000002</v>
      </c>
      <c r="M41" s="269">
        <v>-2718278.08</v>
      </c>
      <c r="N41" s="113">
        <v>-3530039.1282410589</v>
      </c>
      <c r="O41" s="113">
        <v>-5662828.095563788</v>
      </c>
      <c r="P41" s="17">
        <f t="shared" si="1"/>
        <v>-74481748.693804845</v>
      </c>
      <c r="Q41" s="1"/>
      <c r="R41" s="1"/>
      <c r="S41" s="1"/>
    </row>
    <row r="42" spans="1:19">
      <c r="A42" s="77">
        <f t="shared" si="0"/>
        <v>31</v>
      </c>
      <c r="B42" s="175">
        <v>8060</v>
      </c>
      <c r="C42" s="17" t="s">
        <v>247</v>
      </c>
      <c r="D42" s="178">
        <v>2208043.6</v>
      </c>
      <c r="E42" s="178">
        <v>2687186.07</v>
      </c>
      <c r="F42" s="178">
        <v>1880162.88</v>
      </c>
      <c r="G42" s="178">
        <v>1445651.89</v>
      </c>
      <c r="H42" s="178">
        <v>-953989.42</v>
      </c>
      <c r="I42" s="178">
        <v>-1317365.48</v>
      </c>
      <c r="J42" s="269">
        <v>-1329961.1299999999</v>
      </c>
      <c r="K42" s="269">
        <v>-1303661.05</v>
      </c>
      <c r="L42" s="269">
        <v>-1269846.25</v>
      </c>
      <c r="M42" s="269">
        <v>-1329590.1299999999</v>
      </c>
      <c r="N42" s="113">
        <v>-1230718.8626861146</v>
      </c>
      <c r="O42" s="113">
        <v>428966.49338164646</v>
      </c>
      <c r="P42" s="17">
        <f t="shared" si="1"/>
        <v>-85121.389304468641</v>
      </c>
      <c r="Q42" s="1"/>
      <c r="R42" s="1"/>
      <c r="S42" s="1"/>
    </row>
    <row r="43" spans="1:19">
      <c r="A43" s="77">
        <f t="shared" si="0"/>
        <v>32</v>
      </c>
      <c r="B43" s="175">
        <v>8081</v>
      </c>
      <c r="C43" s="17" t="s">
        <v>248</v>
      </c>
      <c r="D43" s="178">
        <v>2111350.42</v>
      </c>
      <c r="E43" s="178">
        <v>2831484.03</v>
      </c>
      <c r="F43" s="178">
        <v>3028402.48</v>
      </c>
      <c r="G43" s="178">
        <v>4186572.5</v>
      </c>
      <c r="H43" s="178">
        <v>93596.59</v>
      </c>
      <c r="I43" s="178">
        <v>0</v>
      </c>
      <c r="J43" s="269"/>
      <c r="K43" s="269"/>
      <c r="L43" s="269"/>
      <c r="M43" s="269"/>
      <c r="N43" s="113">
        <v>18607.384816867878</v>
      </c>
      <c r="O43" s="113">
        <v>1414768.4063697604</v>
      </c>
      <c r="P43" s="17">
        <f t="shared" si="1"/>
        <v>13684781.811186628</v>
      </c>
      <c r="Q43" s="1"/>
      <c r="R43" s="1"/>
      <c r="S43" s="1"/>
    </row>
    <row r="44" spans="1:19">
      <c r="A44" s="77">
        <f t="shared" si="0"/>
        <v>33</v>
      </c>
      <c r="B44" s="175">
        <v>8082</v>
      </c>
      <c r="C44" s="17" t="s">
        <v>249</v>
      </c>
      <c r="D44" s="178">
        <v>-767259.71</v>
      </c>
      <c r="E44" s="178">
        <v>-82686.990000000005</v>
      </c>
      <c r="F44" s="178">
        <v>-93914.68</v>
      </c>
      <c r="G44" s="178">
        <v>-68390.820000000007</v>
      </c>
      <c r="H44" s="178">
        <v>-1292343.8</v>
      </c>
      <c r="I44" s="178">
        <v>-2081696.93</v>
      </c>
      <c r="J44" s="269">
        <v>-1995068.88</v>
      </c>
      <c r="K44" s="269">
        <v>-2158256.65</v>
      </c>
      <c r="L44" s="269">
        <v>-2028296.54</v>
      </c>
      <c r="M44" s="269">
        <v>-2043541.56</v>
      </c>
      <c r="N44" s="113">
        <v>-1769235.0825297958</v>
      </c>
      <c r="O44" s="113">
        <v>-313866.95897423191</v>
      </c>
      <c r="P44" s="17">
        <f t="shared" si="1"/>
        <v>-14694558.601504028</v>
      </c>
      <c r="Q44" s="182"/>
      <c r="S44" s="1"/>
    </row>
    <row r="45" spans="1:19">
      <c r="A45" s="77">
        <f t="shared" si="0"/>
        <v>34</v>
      </c>
      <c r="B45" s="175">
        <v>8120</v>
      </c>
      <c r="C45" s="17" t="s">
        <v>250</v>
      </c>
      <c r="D45" s="178">
        <v>-3733.119999999999</v>
      </c>
      <c r="E45" s="178">
        <v>-4846.1900000000005</v>
      </c>
      <c r="F45" s="178">
        <v>-8115.1899999999987</v>
      </c>
      <c r="G45" s="178">
        <v>-3818.7199999999993</v>
      </c>
      <c r="H45" s="178">
        <v>-1045</v>
      </c>
      <c r="I45" s="178">
        <v>7015.07</v>
      </c>
      <c r="J45" s="269">
        <v>193.84999999999991</v>
      </c>
      <c r="K45" s="269">
        <v>-112.14999999999986</v>
      </c>
      <c r="L45" s="269">
        <v>113.19000000000051</v>
      </c>
      <c r="M45" s="269">
        <v>-197.96000000000004</v>
      </c>
      <c r="N45" s="113">
        <v>7593.3452546804374</v>
      </c>
      <c r="O45" s="113">
        <v>-2933.3443691687239</v>
      </c>
      <c r="P45" s="17">
        <f t="shared" si="1"/>
        <v>-9886.2191144882872</v>
      </c>
      <c r="Q45" s="1"/>
      <c r="R45" s="1"/>
      <c r="S45" s="1"/>
    </row>
    <row r="46" spans="1:19">
      <c r="A46" s="77">
        <f t="shared" si="0"/>
        <v>35</v>
      </c>
      <c r="B46" s="175">
        <v>8580</v>
      </c>
      <c r="C46" s="176" t="s">
        <v>251</v>
      </c>
      <c r="D46" s="178">
        <v>2548320.27</v>
      </c>
      <c r="E46" s="178">
        <v>2586250</v>
      </c>
      <c r="F46" s="178">
        <v>2313520.94</v>
      </c>
      <c r="G46" s="178">
        <v>2444145.19</v>
      </c>
      <c r="H46" s="178">
        <v>2088946.8499999999</v>
      </c>
      <c r="I46" s="178">
        <v>1662837.5500000003</v>
      </c>
      <c r="J46" s="269">
        <v>1624902.4100000001</v>
      </c>
      <c r="K46" s="269">
        <v>1664505.28</v>
      </c>
      <c r="L46" s="269">
        <v>1662555.1600000001</v>
      </c>
      <c r="M46" s="269">
        <v>1632069.5299999998</v>
      </c>
      <c r="N46" s="113">
        <v>1678593.6907174131</v>
      </c>
      <c r="O46" s="113">
        <v>1901818.8342070479</v>
      </c>
      <c r="P46" s="17">
        <f t="shared" si="1"/>
        <v>23808465.704924461</v>
      </c>
      <c r="Q46" s="75"/>
      <c r="R46" s="1"/>
      <c r="S46" s="1"/>
    </row>
    <row r="47" spans="1:19" ht="22.5" customHeight="1">
      <c r="A47" s="77">
        <f t="shared" si="0"/>
        <v>36</v>
      </c>
      <c r="B47" s="175">
        <v>8140</v>
      </c>
      <c r="C47" s="17" t="s">
        <v>252</v>
      </c>
      <c r="D47" s="178">
        <f>0</f>
        <v>0</v>
      </c>
      <c r="E47" s="178">
        <f>0</f>
        <v>0</v>
      </c>
      <c r="F47" s="178">
        <f>0</f>
        <v>0</v>
      </c>
      <c r="G47" s="178">
        <f>0</f>
        <v>0</v>
      </c>
      <c r="H47" s="178">
        <f>0</f>
        <v>0</v>
      </c>
      <c r="I47" s="178">
        <f>0</f>
        <v>0</v>
      </c>
      <c r="J47" s="268"/>
      <c r="K47" s="268"/>
      <c r="L47" s="268"/>
      <c r="M47" s="268"/>
      <c r="N47" s="131">
        <v>0</v>
      </c>
      <c r="O47" s="131">
        <v>0</v>
      </c>
      <c r="P47" s="17">
        <f t="shared" si="1"/>
        <v>0</v>
      </c>
      <c r="S47" s="1"/>
    </row>
    <row r="48" spans="1:19" ht="21.75" customHeight="1">
      <c r="A48" s="77">
        <f t="shared" si="0"/>
        <v>37</v>
      </c>
      <c r="B48" s="175">
        <v>8160</v>
      </c>
      <c r="C48" s="17" t="s">
        <v>253</v>
      </c>
      <c r="D48" s="178">
        <v>17162.68</v>
      </c>
      <c r="E48" s="178">
        <v>8905.0399999999991</v>
      </c>
      <c r="F48" s="178">
        <v>2878.4</v>
      </c>
      <c r="G48" s="178">
        <v>3990.9499999999994</v>
      </c>
      <c r="H48" s="178">
        <v>33606.07</v>
      </c>
      <c r="I48" s="178">
        <v>124066.81999999999</v>
      </c>
      <c r="J48" s="268">
        <v>32714.84</v>
      </c>
      <c r="K48" s="268">
        <v>30158.39</v>
      </c>
      <c r="L48" s="268">
        <v>135125.62000000002</v>
      </c>
      <c r="M48" s="268">
        <v>31874.399999999998</v>
      </c>
      <c r="N48" s="131">
        <v>20422.114539138543</v>
      </c>
      <c r="O48" s="131">
        <v>16331.63300529869</v>
      </c>
      <c r="P48" s="17">
        <f t="shared" si="1"/>
        <v>457236.95754443732</v>
      </c>
      <c r="Q48" s="1"/>
      <c r="R48" s="1"/>
      <c r="S48" s="1"/>
    </row>
    <row r="49" spans="1:22">
      <c r="A49" s="77">
        <f t="shared" si="0"/>
        <v>38</v>
      </c>
      <c r="B49" s="175">
        <v>8170</v>
      </c>
      <c r="C49" s="17" t="s">
        <v>254</v>
      </c>
      <c r="D49" s="178">
        <v>5748.35</v>
      </c>
      <c r="E49" s="178">
        <v>1963.5899999999997</v>
      </c>
      <c r="F49" s="178">
        <v>613.67999999999995</v>
      </c>
      <c r="G49" s="178">
        <v>812.28000000000009</v>
      </c>
      <c r="H49" s="178">
        <v>1432.28</v>
      </c>
      <c r="I49" s="178">
        <v>1515.31</v>
      </c>
      <c r="J49" s="268">
        <v>2573.84</v>
      </c>
      <c r="K49" s="268">
        <v>3862.8499999999995</v>
      </c>
      <c r="L49" s="268">
        <v>9477.9</v>
      </c>
      <c r="M49" s="268">
        <v>2279.14</v>
      </c>
      <c r="N49" s="131">
        <v>1803.8230220036885</v>
      </c>
      <c r="O49" s="131">
        <v>1718.4069285868406</v>
      </c>
      <c r="P49" s="17">
        <f t="shared" si="1"/>
        <v>33801.449950590533</v>
      </c>
      <c r="Q49" s="1"/>
      <c r="R49" s="1"/>
      <c r="S49" s="1"/>
    </row>
    <row r="50" spans="1:22">
      <c r="A50" s="77">
        <f t="shared" si="0"/>
        <v>39</v>
      </c>
      <c r="B50" s="175">
        <v>8180</v>
      </c>
      <c r="C50" s="17" t="s">
        <v>255</v>
      </c>
      <c r="D50" s="178">
        <v>3767.84</v>
      </c>
      <c r="E50" s="178">
        <v>2066.5099999999998</v>
      </c>
      <c r="F50" s="178">
        <v>2175.2800000000002</v>
      </c>
      <c r="G50" s="178">
        <v>1614.34</v>
      </c>
      <c r="H50" s="178">
        <v>4831.5599999999995</v>
      </c>
      <c r="I50" s="178">
        <v>1735.18</v>
      </c>
      <c r="J50" s="268">
        <v>6268.3</v>
      </c>
      <c r="K50" s="268">
        <v>4332.3999999999996</v>
      </c>
      <c r="L50" s="268">
        <v>3931.3399999999997</v>
      </c>
      <c r="M50" s="268">
        <v>3666.2599999999998</v>
      </c>
      <c r="N50" s="131">
        <v>2073.1447490603532</v>
      </c>
      <c r="O50" s="131">
        <v>1826.5187889123015</v>
      </c>
      <c r="P50" s="17">
        <f t="shared" si="1"/>
        <v>38288.67353797266</v>
      </c>
      <c r="Q50" s="1"/>
      <c r="R50" s="1"/>
      <c r="S50" s="1"/>
    </row>
    <row r="51" spans="1:22" ht="15.75">
      <c r="A51" s="77">
        <f t="shared" si="0"/>
        <v>40</v>
      </c>
      <c r="B51" s="175">
        <v>8190</v>
      </c>
      <c r="C51" s="17" t="s">
        <v>256</v>
      </c>
      <c r="D51" s="178">
        <v>94.86</v>
      </c>
      <c r="E51" s="178">
        <v>114.33</v>
      </c>
      <c r="F51" s="178">
        <v>104.41</v>
      </c>
      <c r="G51" s="178">
        <v>0</v>
      </c>
      <c r="H51" s="178">
        <v>100.72</v>
      </c>
      <c r="I51" s="178">
        <v>103.52</v>
      </c>
      <c r="J51" s="268">
        <v>94.29</v>
      </c>
      <c r="K51" s="268">
        <v>44.7</v>
      </c>
      <c r="L51" s="268">
        <v>97.09</v>
      </c>
      <c r="M51" s="268">
        <v>95.76</v>
      </c>
      <c r="N51" s="131">
        <v>63.95139486456457</v>
      </c>
      <c r="O51" s="131">
        <v>63.998205734828169</v>
      </c>
      <c r="P51" s="17">
        <f t="shared" si="1"/>
        <v>977.6296005993928</v>
      </c>
      <c r="Q51" s="1"/>
      <c r="R51" s="183"/>
      <c r="S51" s="184"/>
    </row>
    <row r="52" spans="1:22" ht="15.75">
      <c r="A52" s="77">
        <f t="shared" si="0"/>
        <v>41</v>
      </c>
      <c r="B52" s="175">
        <v>8200</v>
      </c>
      <c r="C52" s="17" t="s">
        <v>257</v>
      </c>
      <c r="D52" s="178">
        <v>327.27999999999997</v>
      </c>
      <c r="E52" s="178">
        <v>1967.46</v>
      </c>
      <c r="F52" s="178">
        <v>796.03</v>
      </c>
      <c r="G52" s="178">
        <v>-61.56</v>
      </c>
      <c r="H52" s="178">
        <v>574.07999999999993</v>
      </c>
      <c r="I52" s="178">
        <v>278.54000000000002</v>
      </c>
      <c r="J52" s="268">
        <v>1538.8700000000001</v>
      </c>
      <c r="K52" s="268">
        <v>187.60999999999996</v>
      </c>
      <c r="L52" s="268">
        <v>185.19</v>
      </c>
      <c r="M52" s="268">
        <v>71.86</v>
      </c>
      <c r="N52" s="131">
        <v>485.44594923180341</v>
      </c>
      <c r="O52" s="131">
        <v>430.91484164235453</v>
      </c>
      <c r="P52" s="17">
        <f t="shared" si="1"/>
        <v>6781.7207908741566</v>
      </c>
      <c r="Q52" s="1"/>
      <c r="R52" s="185"/>
      <c r="S52" s="186"/>
    </row>
    <row r="53" spans="1:22">
      <c r="A53" s="77">
        <f t="shared" si="0"/>
        <v>42</v>
      </c>
      <c r="B53" s="175">
        <v>8210</v>
      </c>
      <c r="C53" s="17" t="s">
        <v>258</v>
      </c>
      <c r="D53" s="178">
        <v>16004.170000000002</v>
      </c>
      <c r="E53" s="178">
        <v>8232.48</v>
      </c>
      <c r="F53" s="178">
        <v>979.35999999999956</v>
      </c>
      <c r="G53" s="178">
        <v>-180.35</v>
      </c>
      <c r="H53" s="178">
        <v>1240.8499999999999</v>
      </c>
      <c r="I53" s="178">
        <v>3290.67</v>
      </c>
      <c r="J53" s="268">
        <v>1425.85</v>
      </c>
      <c r="K53" s="268">
        <v>15299.560000000001</v>
      </c>
      <c r="L53" s="268">
        <v>-348.02</v>
      </c>
      <c r="M53" s="268">
        <v>229.48</v>
      </c>
      <c r="N53" s="131">
        <v>4189.4259084446021</v>
      </c>
      <c r="O53" s="131">
        <v>3885.606924738413</v>
      </c>
      <c r="P53" s="17">
        <f t="shared" si="1"/>
        <v>54249.08283318302</v>
      </c>
      <c r="Q53" s="1"/>
      <c r="R53" s="187"/>
      <c r="S53" s="1"/>
    </row>
    <row r="54" spans="1:22">
      <c r="A54" s="77">
        <f t="shared" si="0"/>
        <v>43</v>
      </c>
      <c r="B54" s="175">
        <v>8240</v>
      </c>
      <c r="C54" s="17" t="s">
        <v>259</v>
      </c>
      <c r="D54" s="178">
        <f>0</f>
        <v>0</v>
      </c>
      <c r="E54" s="178">
        <f>0</f>
        <v>0</v>
      </c>
      <c r="F54" s="178">
        <f>0</f>
        <v>0</v>
      </c>
      <c r="G54" s="178">
        <f>0</f>
        <v>0</v>
      </c>
      <c r="H54" s="178">
        <f>0</f>
        <v>0</v>
      </c>
      <c r="I54" s="178">
        <f>0</f>
        <v>0</v>
      </c>
      <c r="J54" s="268"/>
      <c r="K54" s="268"/>
      <c r="L54" s="268"/>
      <c r="M54" s="268"/>
      <c r="N54" s="131">
        <v>0</v>
      </c>
      <c r="O54" s="131">
        <v>0</v>
      </c>
      <c r="P54" s="17">
        <f t="shared" si="1"/>
        <v>0</v>
      </c>
      <c r="Q54" s="1"/>
      <c r="R54" s="187"/>
      <c r="S54" s="1"/>
    </row>
    <row r="55" spans="1:22">
      <c r="A55" s="77">
        <f t="shared" si="0"/>
        <v>44</v>
      </c>
      <c r="B55" s="175">
        <v>8250</v>
      </c>
      <c r="C55" s="17" t="s">
        <v>260</v>
      </c>
      <c r="D55" s="178">
        <v>2637.08</v>
      </c>
      <c r="E55" s="178">
        <v>772.91000000000008</v>
      </c>
      <c r="F55" s="178">
        <v>854.21</v>
      </c>
      <c r="G55" s="178">
        <v>948.66000000000008</v>
      </c>
      <c r="H55" s="178">
        <v>406.31</v>
      </c>
      <c r="I55" s="178">
        <v>535.35</v>
      </c>
      <c r="J55" s="268">
        <v>287.87</v>
      </c>
      <c r="K55" s="268">
        <v>518.61</v>
      </c>
      <c r="L55" s="268">
        <v>981.01</v>
      </c>
      <c r="M55" s="268">
        <v>307.63</v>
      </c>
      <c r="N55" s="131">
        <v>762.04843985293314</v>
      </c>
      <c r="O55" s="131">
        <v>762.56768467664222</v>
      </c>
      <c r="P55" s="17">
        <f t="shared" si="1"/>
        <v>9774.2561245295747</v>
      </c>
      <c r="Q55" s="1"/>
      <c r="R55" s="1"/>
      <c r="S55" s="1"/>
    </row>
    <row r="56" spans="1:22">
      <c r="A56" s="77">
        <f t="shared" si="0"/>
        <v>45</v>
      </c>
      <c r="B56" s="175">
        <v>8310</v>
      </c>
      <c r="C56" s="17" t="s">
        <v>261</v>
      </c>
      <c r="D56" s="178">
        <v>459.78</v>
      </c>
      <c r="E56" s="178">
        <v>1020</v>
      </c>
      <c r="F56" s="178">
        <v>824.38</v>
      </c>
      <c r="G56" s="178">
        <v>88</v>
      </c>
      <c r="H56" s="178">
        <v>2405</v>
      </c>
      <c r="I56" s="178">
        <v>3015.25</v>
      </c>
      <c r="J56" s="268">
        <v>3530.2</v>
      </c>
      <c r="K56" s="268">
        <v>3407.9</v>
      </c>
      <c r="L56" s="268">
        <v>3463.06</v>
      </c>
      <c r="M56" s="268">
        <v>4589.8500000000004</v>
      </c>
      <c r="N56" s="131">
        <v>878.68104816800246</v>
      </c>
      <c r="O56" s="131">
        <v>694.81336498519988</v>
      </c>
      <c r="P56" s="17">
        <f t="shared" si="1"/>
        <v>24376.914413153201</v>
      </c>
      <c r="Q56" s="1"/>
      <c r="R56" s="187"/>
      <c r="S56" s="1"/>
    </row>
    <row r="57" spans="1:22">
      <c r="A57" s="77">
        <f t="shared" si="0"/>
        <v>46</v>
      </c>
      <c r="B57" s="175">
        <v>8340</v>
      </c>
      <c r="C57" s="17" t="s">
        <v>262</v>
      </c>
      <c r="D57" s="178">
        <v>0</v>
      </c>
      <c r="E57" s="178">
        <v>31.29</v>
      </c>
      <c r="F57" s="178">
        <v>1242.82</v>
      </c>
      <c r="G57" s="178">
        <v>-177.55</v>
      </c>
      <c r="H57" s="178">
        <v>1034.3799999999999</v>
      </c>
      <c r="I57" s="178">
        <v>-318.56</v>
      </c>
      <c r="J57" s="268">
        <v>18</v>
      </c>
      <c r="K57" s="268">
        <v>39.58</v>
      </c>
      <c r="L57" s="268">
        <v>16.93</v>
      </c>
      <c r="M57" s="268">
        <v>778.08999999999992</v>
      </c>
      <c r="N57" s="131">
        <v>283.09128028956007</v>
      </c>
      <c r="O57" s="131">
        <v>271.55655942253367</v>
      </c>
      <c r="P57" s="17">
        <f t="shared" si="1"/>
        <v>3219.6278397120932</v>
      </c>
      <c r="Q57" s="1"/>
      <c r="R57" s="187"/>
      <c r="S57" s="1"/>
    </row>
    <row r="58" spans="1:22">
      <c r="A58" s="77">
        <f t="shared" si="0"/>
        <v>47</v>
      </c>
      <c r="B58" s="175">
        <v>8350</v>
      </c>
      <c r="C58" s="17" t="s">
        <v>263</v>
      </c>
      <c r="D58" s="178">
        <f>0</f>
        <v>0</v>
      </c>
      <c r="E58" s="178">
        <f>0</f>
        <v>0</v>
      </c>
      <c r="F58" s="178">
        <f>0</f>
        <v>0</v>
      </c>
      <c r="G58" s="178">
        <f>0</f>
        <v>0</v>
      </c>
      <c r="H58" s="178">
        <f>0</f>
        <v>0</v>
      </c>
      <c r="I58" s="178">
        <f>0</f>
        <v>0</v>
      </c>
      <c r="J58" s="268">
        <v>19.91</v>
      </c>
      <c r="K58" s="268"/>
      <c r="L58" s="268"/>
      <c r="M58" s="268"/>
      <c r="N58" s="131">
        <v>0</v>
      </c>
      <c r="O58" s="131">
        <v>0</v>
      </c>
      <c r="P58" s="17">
        <f t="shared" si="1"/>
        <v>19.91</v>
      </c>
      <c r="Q58" s="1"/>
      <c r="R58" s="187"/>
      <c r="S58" s="1"/>
    </row>
    <row r="59" spans="1:22">
      <c r="A59" s="77">
        <f t="shared" si="0"/>
        <v>48</v>
      </c>
      <c r="B59" s="175">
        <v>8360</v>
      </c>
      <c r="C59" s="17" t="s">
        <v>264</v>
      </c>
      <c r="D59" s="178">
        <f>0</f>
        <v>0</v>
      </c>
      <c r="E59" s="178">
        <f>0</f>
        <v>0</v>
      </c>
      <c r="F59" s="178">
        <f>0</f>
        <v>0</v>
      </c>
      <c r="G59" s="178">
        <f>0</f>
        <v>0</v>
      </c>
      <c r="H59" s="178">
        <f>0</f>
        <v>0</v>
      </c>
      <c r="I59" s="178">
        <f>0</f>
        <v>0</v>
      </c>
      <c r="J59" s="268"/>
      <c r="K59" s="268"/>
      <c r="L59" s="268"/>
      <c r="M59" s="268"/>
      <c r="N59" s="131">
        <v>0</v>
      </c>
      <c r="O59" s="131">
        <v>0</v>
      </c>
      <c r="P59" s="17">
        <f t="shared" si="1"/>
        <v>0</v>
      </c>
      <c r="Q59" s="1"/>
      <c r="R59" s="187"/>
      <c r="S59" s="1"/>
    </row>
    <row r="60" spans="1:22">
      <c r="A60" s="77">
        <f t="shared" si="0"/>
        <v>49</v>
      </c>
      <c r="B60" s="175">
        <v>8370</v>
      </c>
      <c r="C60" s="17" t="s">
        <v>117</v>
      </c>
      <c r="D60" s="178">
        <f>0</f>
        <v>0</v>
      </c>
      <c r="E60" s="178">
        <f>0</f>
        <v>0</v>
      </c>
      <c r="F60" s="178">
        <f>0</f>
        <v>0</v>
      </c>
      <c r="G60" s="178">
        <f>0</f>
        <v>0</v>
      </c>
      <c r="H60" s="178">
        <f>0</f>
        <v>0</v>
      </c>
      <c r="I60" s="178">
        <f>0</f>
        <v>0</v>
      </c>
      <c r="J60" s="268"/>
      <c r="K60" s="268"/>
      <c r="L60" s="268"/>
      <c r="M60" s="268"/>
      <c r="N60" s="131">
        <v>0</v>
      </c>
      <c r="O60" s="131">
        <v>0</v>
      </c>
      <c r="P60" s="17">
        <f t="shared" si="1"/>
        <v>0</v>
      </c>
      <c r="Q60" s="1"/>
      <c r="R60" s="187"/>
      <c r="S60" s="1"/>
    </row>
    <row r="61" spans="1:22">
      <c r="A61" s="77">
        <f t="shared" si="0"/>
        <v>50</v>
      </c>
      <c r="B61" s="175">
        <v>8410</v>
      </c>
      <c r="C61" s="17" t="s">
        <v>265</v>
      </c>
      <c r="D61" s="178">
        <v>19063.29</v>
      </c>
      <c r="E61" s="178">
        <v>-7360.12</v>
      </c>
      <c r="F61" s="178">
        <v>6379.6500000000005</v>
      </c>
      <c r="G61" s="178">
        <v>5083.41</v>
      </c>
      <c r="H61" s="178">
        <v>5229.17</v>
      </c>
      <c r="I61" s="178">
        <v>9242.4</v>
      </c>
      <c r="J61" s="268">
        <v>5427.76</v>
      </c>
      <c r="K61" s="268">
        <v>9944.9500000000007</v>
      </c>
      <c r="L61" s="268">
        <v>7508.09</v>
      </c>
      <c r="M61" s="268">
        <v>16919.969999999998</v>
      </c>
      <c r="N61" s="131">
        <v>5935.7716037573427</v>
      </c>
      <c r="O61" s="131">
        <v>5594.2378667647063</v>
      </c>
      <c r="P61" s="17">
        <f t="shared" si="1"/>
        <v>88968.579470522061</v>
      </c>
      <c r="Q61" s="1"/>
      <c r="R61" s="1"/>
      <c r="S61" s="1"/>
    </row>
    <row r="62" spans="1:22">
      <c r="A62" s="77">
        <f t="shared" si="0"/>
        <v>51</v>
      </c>
      <c r="B62" s="175">
        <v>8500</v>
      </c>
      <c r="C62" s="154" t="s">
        <v>141</v>
      </c>
      <c r="D62" s="178">
        <v>0</v>
      </c>
      <c r="E62" s="178">
        <v>0</v>
      </c>
      <c r="F62" s="178">
        <v>0</v>
      </c>
      <c r="G62" s="178">
        <v>0</v>
      </c>
      <c r="H62" s="178">
        <v>28.57</v>
      </c>
      <c r="I62" s="178">
        <v>0</v>
      </c>
      <c r="J62" s="268"/>
      <c r="K62" s="268"/>
      <c r="L62" s="268"/>
      <c r="M62" s="268"/>
      <c r="N62" s="131">
        <v>2.8051729977777491</v>
      </c>
      <c r="O62" s="131">
        <v>2.100998534874619</v>
      </c>
      <c r="P62" s="17">
        <f t="shared" si="1"/>
        <v>33.476171532652366</v>
      </c>
      <c r="Q62" s="1"/>
      <c r="R62" s="1"/>
      <c r="S62" s="1"/>
    </row>
    <row r="63" spans="1:22">
      <c r="A63" s="77">
        <f t="shared" si="0"/>
        <v>52</v>
      </c>
      <c r="B63" s="175">
        <v>8520</v>
      </c>
      <c r="C63" s="17" t="s">
        <v>122</v>
      </c>
      <c r="D63" s="178">
        <f>0</f>
        <v>0</v>
      </c>
      <c r="E63" s="178">
        <f>0</f>
        <v>0</v>
      </c>
      <c r="F63" s="178">
        <f>0</f>
        <v>0</v>
      </c>
      <c r="G63" s="178">
        <f>0</f>
        <v>0</v>
      </c>
      <c r="H63" s="178">
        <f>0</f>
        <v>0</v>
      </c>
      <c r="I63" s="178">
        <f>0</f>
        <v>0</v>
      </c>
      <c r="J63" s="268"/>
      <c r="K63" s="268"/>
      <c r="L63" s="268"/>
      <c r="M63" s="268"/>
      <c r="N63" s="131">
        <v>0</v>
      </c>
      <c r="O63" s="131">
        <v>0</v>
      </c>
      <c r="P63" s="17">
        <f t="shared" si="1"/>
        <v>0</v>
      </c>
      <c r="Q63" s="1"/>
      <c r="R63" s="1"/>
      <c r="S63" s="1"/>
      <c r="U63" s="179"/>
      <c r="V63" s="154"/>
    </row>
    <row r="64" spans="1:22">
      <c r="A64" s="77">
        <f t="shared" si="0"/>
        <v>53</v>
      </c>
      <c r="B64" s="175">
        <v>8550</v>
      </c>
      <c r="C64" s="17" t="s">
        <v>266</v>
      </c>
      <c r="D64" s="178">
        <v>39.590000000000003</v>
      </c>
      <c r="E64" s="178">
        <v>34.520000000000003</v>
      </c>
      <c r="F64" s="178">
        <v>37.520000000000003</v>
      </c>
      <c r="G64" s="178">
        <v>34.909999999999997</v>
      </c>
      <c r="H64" s="178">
        <v>35.21</v>
      </c>
      <c r="I64" s="178">
        <v>35.22</v>
      </c>
      <c r="J64" s="268">
        <v>34.26</v>
      </c>
      <c r="K64" s="268">
        <v>32.85</v>
      </c>
      <c r="L64" s="268">
        <v>32.32</v>
      </c>
      <c r="M64" s="268">
        <v>30.68</v>
      </c>
      <c r="N64" s="131">
        <v>26.795021905925722</v>
      </c>
      <c r="O64" s="131">
        <v>26.814635212200042</v>
      </c>
      <c r="P64" s="17">
        <f t="shared" si="1"/>
        <v>400.68965711812581</v>
      </c>
      <c r="Q64" s="1"/>
      <c r="R64" s="1"/>
      <c r="S64" s="1"/>
      <c r="U64" s="179"/>
      <c r="V64" s="154"/>
    </row>
    <row r="65" spans="1:19">
      <c r="A65" s="77">
        <f t="shared" si="0"/>
        <v>54</v>
      </c>
      <c r="B65" s="175">
        <v>8560</v>
      </c>
      <c r="C65" s="17" t="s">
        <v>267</v>
      </c>
      <c r="D65" s="178">
        <v>12455.669999999998</v>
      </c>
      <c r="E65" s="178">
        <v>29430.539999999997</v>
      </c>
      <c r="F65" s="178">
        <v>47533.689999999988</v>
      </c>
      <c r="G65" s="178">
        <v>35350.81</v>
      </c>
      <c r="H65" s="178">
        <v>49826.01</v>
      </c>
      <c r="I65" s="178">
        <v>43467.520000000011</v>
      </c>
      <c r="J65" s="268">
        <v>61203.139999999992</v>
      </c>
      <c r="K65" s="268">
        <v>18759.450000000004</v>
      </c>
      <c r="L65" s="268">
        <v>35959.960000000006</v>
      </c>
      <c r="M65" s="268">
        <v>55413.710000000006</v>
      </c>
      <c r="N65" s="131">
        <v>29064.460045144631</v>
      </c>
      <c r="O65" s="131">
        <v>26134.464902759213</v>
      </c>
      <c r="P65" s="17">
        <f t="shared" si="1"/>
        <v>444599.4249479039</v>
      </c>
      <c r="Q65" s="1"/>
      <c r="R65" s="187"/>
      <c r="S65" s="1"/>
    </row>
    <row r="66" spans="1:19">
      <c r="A66" s="77">
        <f t="shared" si="0"/>
        <v>55</v>
      </c>
      <c r="B66" s="175">
        <v>8570</v>
      </c>
      <c r="C66" s="17" t="s">
        <v>268</v>
      </c>
      <c r="D66" s="178">
        <v>2184.08</v>
      </c>
      <c r="E66" s="178">
        <v>10618.989999999998</v>
      </c>
      <c r="F66" s="178">
        <v>-1840.6700000000005</v>
      </c>
      <c r="G66" s="178">
        <v>1397.6299999999999</v>
      </c>
      <c r="H66" s="178">
        <v>2143.36</v>
      </c>
      <c r="I66" s="178">
        <v>1419.27</v>
      </c>
      <c r="J66" s="268">
        <v>3697.6400000000003</v>
      </c>
      <c r="K66" s="268">
        <v>529.74</v>
      </c>
      <c r="L66" s="268">
        <v>904.44</v>
      </c>
      <c r="M66" s="268">
        <v>1414.3200000000002</v>
      </c>
      <c r="N66" s="131">
        <v>2327.2566024910539</v>
      </c>
      <c r="O66" s="131">
        <v>2244.8174348832599</v>
      </c>
      <c r="P66" s="17">
        <f t="shared" si="1"/>
        <v>27040.874037374313</v>
      </c>
      <c r="Q66" s="1"/>
      <c r="R66" s="1"/>
      <c r="S66" s="1"/>
    </row>
    <row r="67" spans="1:19">
      <c r="A67" s="77">
        <f t="shared" si="0"/>
        <v>56</v>
      </c>
      <c r="B67" s="175">
        <v>8630</v>
      </c>
      <c r="C67" s="17" t="s">
        <v>269</v>
      </c>
      <c r="D67" s="178">
        <v>0</v>
      </c>
      <c r="E67" s="178">
        <v>4742.46</v>
      </c>
      <c r="F67" s="178">
        <v>1145.7</v>
      </c>
      <c r="G67" s="178">
        <v>774.21</v>
      </c>
      <c r="H67" s="178">
        <v>2447.31</v>
      </c>
      <c r="I67" s="178">
        <v>-617.11999999999989</v>
      </c>
      <c r="J67" s="268">
        <v>2424.7800000000002</v>
      </c>
      <c r="K67" s="268">
        <v>2495.7200000000003</v>
      </c>
      <c r="L67" s="268">
        <v>12567.45</v>
      </c>
      <c r="M67" s="268">
        <v>2533.04</v>
      </c>
      <c r="N67" s="131">
        <v>1331.1032610051536</v>
      </c>
      <c r="O67" s="131">
        <v>1433.9122552099207</v>
      </c>
      <c r="P67" s="17">
        <f t="shared" si="1"/>
        <v>31278.56551621508</v>
      </c>
      <c r="Q67" s="1"/>
      <c r="R67" s="187"/>
      <c r="S67" s="1"/>
    </row>
    <row r="68" spans="1:19">
      <c r="A68" s="77">
        <f t="shared" si="0"/>
        <v>57</v>
      </c>
      <c r="B68" s="175">
        <v>8640</v>
      </c>
      <c r="C68" s="17" t="s">
        <v>270</v>
      </c>
      <c r="D68" s="178">
        <f>0</f>
        <v>0</v>
      </c>
      <c r="E68" s="178">
        <f>0</f>
        <v>0</v>
      </c>
      <c r="F68" s="178">
        <f>0</f>
        <v>0</v>
      </c>
      <c r="G68" s="178">
        <f>0</f>
        <v>0</v>
      </c>
      <c r="H68" s="178">
        <f>0</f>
        <v>0</v>
      </c>
      <c r="I68" s="178">
        <f>0</f>
        <v>0</v>
      </c>
      <c r="J68" s="268"/>
      <c r="K68" s="268"/>
      <c r="L68" s="268"/>
      <c r="M68" s="268"/>
      <c r="N68" s="131">
        <v>0</v>
      </c>
      <c r="O68" s="131">
        <v>0</v>
      </c>
      <c r="P68" s="17">
        <f t="shared" si="1"/>
        <v>0</v>
      </c>
      <c r="Q68" s="1"/>
      <c r="R68" s="187"/>
      <c r="S68" s="1"/>
    </row>
    <row r="69" spans="1:19">
      <c r="A69" s="77">
        <f t="shared" si="0"/>
        <v>58</v>
      </c>
      <c r="B69" s="175">
        <v>8650</v>
      </c>
      <c r="C69" s="17" t="s">
        <v>271</v>
      </c>
      <c r="D69" s="178">
        <f>0</f>
        <v>0</v>
      </c>
      <c r="E69" s="178">
        <f>0</f>
        <v>0</v>
      </c>
      <c r="F69" s="178">
        <f>0</f>
        <v>0</v>
      </c>
      <c r="G69" s="178">
        <f>0</f>
        <v>0</v>
      </c>
      <c r="H69" s="178">
        <f>0</f>
        <v>0</v>
      </c>
      <c r="I69" s="178">
        <f>0</f>
        <v>0</v>
      </c>
      <c r="J69" s="268"/>
      <c r="K69" s="268"/>
      <c r="L69" s="268"/>
      <c r="M69" s="268"/>
      <c r="N69" s="131">
        <v>0</v>
      </c>
      <c r="O69" s="131">
        <v>0</v>
      </c>
      <c r="P69" s="17">
        <f t="shared" si="1"/>
        <v>0</v>
      </c>
      <c r="Q69" s="1"/>
      <c r="R69" s="1"/>
      <c r="S69" s="1"/>
    </row>
    <row r="70" spans="1:19">
      <c r="A70" s="77">
        <f t="shared" si="0"/>
        <v>59</v>
      </c>
      <c r="B70" s="175">
        <v>8700</v>
      </c>
      <c r="C70" s="17" t="s">
        <v>272</v>
      </c>
      <c r="D70" s="178">
        <v>161945.13000000003</v>
      </c>
      <c r="E70" s="178">
        <v>57921.109999999986</v>
      </c>
      <c r="F70" s="178">
        <v>123487.73999999977</v>
      </c>
      <c r="G70" s="178">
        <v>161656.09</v>
      </c>
      <c r="H70" s="178">
        <v>183227.56000000032</v>
      </c>
      <c r="I70" s="178">
        <v>205824.88000000012</v>
      </c>
      <c r="J70" s="268">
        <v>55073.50000000008</v>
      </c>
      <c r="K70" s="268">
        <v>371482.36000000004</v>
      </c>
      <c r="L70" s="268">
        <v>50435.969999999958</v>
      </c>
      <c r="M70" s="268">
        <v>-110410.80999999984</v>
      </c>
      <c r="N70" s="131">
        <v>74571.454034588663</v>
      </c>
      <c r="O70" s="131">
        <v>67879.947821622816</v>
      </c>
      <c r="P70" s="17">
        <f t="shared" si="1"/>
        <v>1403094.931856212</v>
      </c>
      <c r="Q70" s="1"/>
      <c r="R70" s="187"/>
      <c r="S70" s="1"/>
    </row>
    <row r="71" spans="1:19">
      <c r="A71" s="77">
        <f t="shared" si="0"/>
        <v>60</v>
      </c>
      <c r="B71" s="175">
        <v>8710</v>
      </c>
      <c r="C71" s="17" t="s">
        <v>273</v>
      </c>
      <c r="D71" s="178">
        <v>69.58</v>
      </c>
      <c r="E71" s="178">
        <v>218.74</v>
      </c>
      <c r="F71" s="178">
        <v>43.39</v>
      </c>
      <c r="G71" s="178">
        <v>22.45</v>
      </c>
      <c r="H71" s="178">
        <v>22.2</v>
      </c>
      <c r="I71" s="178">
        <v>90.38</v>
      </c>
      <c r="J71" s="268">
        <v>0</v>
      </c>
      <c r="K71" s="268">
        <v>19.940000000000001</v>
      </c>
      <c r="L71" s="268">
        <v>22.16</v>
      </c>
      <c r="M71" s="268">
        <v>356.81</v>
      </c>
      <c r="N71" s="131">
        <v>57.640726940921645</v>
      </c>
      <c r="O71" s="131">
        <v>57.682918555294485</v>
      </c>
      <c r="P71" s="17">
        <f t="shared" si="1"/>
        <v>980.97364549621614</v>
      </c>
      <c r="Q71" s="1"/>
      <c r="R71" s="187"/>
      <c r="S71" s="1"/>
    </row>
    <row r="72" spans="1:19">
      <c r="A72" s="77">
        <f t="shared" si="0"/>
        <v>61</v>
      </c>
      <c r="B72" s="175">
        <v>8711</v>
      </c>
      <c r="C72" s="176" t="s">
        <v>274</v>
      </c>
      <c r="D72" s="178">
        <v>0</v>
      </c>
      <c r="E72" s="178">
        <v>0</v>
      </c>
      <c r="F72" s="178">
        <v>3088.43</v>
      </c>
      <c r="G72" s="178">
        <v>3033.77</v>
      </c>
      <c r="H72" s="178">
        <v>10112.4</v>
      </c>
      <c r="I72" s="178">
        <v>0</v>
      </c>
      <c r="J72" s="268">
        <v>7980.34</v>
      </c>
      <c r="K72" s="268"/>
      <c r="L72" s="268">
        <v>11653.91</v>
      </c>
      <c r="M72" s="268">
        <v>6059.58</v>
      </c>
      <c r="N72" s="131">
        <v>1594.009854733029</v>
      </c>
      <c r="O72" s="131">
        <v>1193.8701720082422</v>
      </c>
      <c r="P72" s="17">
        <f t="shared" si="1"/>
        <v>44716.310026741266</v>
      </c>
      <c r="Q72" s="1"/>
      <c r="R72" s="187"/>
      <c r="S72" s="1"/>
    </row>
    <row r="73" spans="1:19">
      <c r="A73" s="77">
        <f t="shared" si="0"/>
        <v>62</v>
      </c>
      <c r="B73" s="175">
        <v>8720</v>
      </c>
      <c r="C73" s="176" t="s">
        <v>275</v>
      </c>
      <c r="D73" s="178">
        <f>0</f>
        <v>0</v>
      </c>
      <c r="E73" s="178">
        <f>0</f>
        <v>0</v>
      </c>
      <c r="F73" s="178">
        <f>0</f>
        <v>0</v>
      </c>
      <c r="G73" s="178">
        <f>0</f>
        <v>0</v>
      </c>
      <c r="H73" s="178">
        <f>0</f>
        <v>0</v>
      </c>
      <c r="I73" s="178">
        <f>0</f>
        <v>0</v>
      </c>
      <c r="J73" s="268"/>
      <c r="K73" s="268"/>
      <c r="L73" s="268"/>
      <c r="M73" s="268"/>
      <c r="N73" s="131">
        <v>0</v>
      </c>
      <c r="O73" s="131">
        <v>0</v>
      </c>
      <c r="P73" s="17">
        <f t="shared" si="1"/>
        <v>0</v>
      </c>
      <c r="Q73" s="1"/>
      <c r="R73" s="187"/>
      <c r="S73" s="1"/>
    </row>
    <row r="74" spans="1:19">
      <c r="A74" s="77">
        <f t="shared" si="0"/>
        <v>63</v>
      </c>
      <c r="B74" s="175">
        <v>8740</v>
      </c>
      <c r="C74" s="17" t="s">
        <v>276</v>
      </c>
      <c r="D74" s="178">
        <v>361665.04000000004</v>
      </c>
      <c r="E74" s="178">
        <v>388134.93</v>
      </c>
      <c r="F74" s="178">
        <v>427162.31999999977</v>
      </c>
      <c r="G74" s="178">
        <v>365967.21999999991</v>
      </c>
      <c r="H74" s="178">
        <v>433283.29000000027</v>
      </c>
      <c r="I74" s="178">
        <v>539226.75999999989</v>
      </c>
      <c r="J74" s="268">
        <v>457443.2699999999</v>
      </c>
      <c r="K74" s="268">
        <v>459097.14</v>
      </c>
      <c r="L74" s="268">
        <v>503164.57999999973</v>
      </c>
      <c r="M74" s="268">
        <v>454512.7100000002</v>
      </c>
      <c r="N74" s="131">
        <v>339290.35114020645</v>
      </c>
      <c r="O74" s="131">
        <v>314148.09584082488</v>
      </c>
      <c r="P74" s="17">
        <f t="shared" si="1"/>
        <v>5043095.7069810312</v>
      </c>
      <c r="Q74" s="1"/>
      <c r="R74" s="187"/>
      <c r="S74" s="1"/>
    </row>
    <row r="75" spans="1:19">
      <c r="A75" s="77">
        <f t="shared" si="0"/>
        <v>64</v>
      </c>
      <c r="B75" s="175">
        <v>8750</v>
      </c>
      <c r="C75" s="17" t="s">
        <v>277</v>
      </c>
      <c r="D75" s="178">
        <v>105325.39000000001</v>
      </c>
      <c r="E75" s="178">
        <v>39732.149999999994</v>
      </c>
      <c r="F75" s="178">
        <v>29160.480000000007</v>
      </c>
      <c r="G75" s="178">
        <v>41974.970000000008</v>
      </c>
      <c r="H75" s="178">
        <v>68724.280000000013</v>
      </c>
      <c r="I75" s="178">
        <v>49620.76</v>
      </c>
      <c r="J75" s="268">
        <v>48335.380000000012</v>
      </c>
      <c r="K75" s="268">
        <v>58520.320000000007</v>
      </c>
      <c r="L75" s="268">
        <v>38160.189999999995</v>
      </c>
      <c r="M75" s="268">
        <v>30121.94</v>
      </c>
      <c r="N75" s="131">
        <v>47858.610910155126</v>
      </c>
      <c r="O75" s="131">
        <v>43928.836512083435</v>
      </c>
      <c r="P75" s="17">
        <f t="shared" si="1"/>
        <v>601463.30742223863</v>
      </c>
      <c r="Q75" s="1"/>
      <c r="R75" s="187"/>
      <c r="S75" s="1"/>
    </row>
    <row r="76" spans="1:19">
      <c r="A76" s="77">
        <f t="shared" si="0"/>
        <v>65</v>
      </c>
      <c r="B76" s="175">
        <v>8760</v>
      </c>
      <c r="C76" s="17" t="s">
        <v>278</v>
      </c>
      <c r="D76" s="178">
        <v>5807.1399999999994</v>
      </c>
      <c r="E76" s="178">
        <v>9697.42</v>
      </c>
      <c r="F76" s="178">
        <v>17156.93</v>
      </c>
      <c r="G76" s="178">
        <v>7738.0599999999986</v>
      </c>
      <c r="H76" s="178">
        <v>12852.27</v>
      </c>
      <c r="I76" s="178">
        <v>12595.01</v>
      </c>
      <c r="J76" s="268">
        <v>15778.8</v>
      </c>
      <c r="K76" s="268">
        <v>24869.209999999995</v>
      </c>
      <c r="L76" s="268">
        <v>21913.62</v>
      </c>
      <c r="M76" s="268">
        <v>20772.62</v>
      </c>
      <c r="N76" s="131">
        <v>10238.514678301608</v>
      </c>
      <c r="O76" s="131">
        <v>9903.9023533120962</v>
      </c>
      <c r="P76" s="17">
        <f t="shared" si="1"/>
        <v>169323.49703161369</v>
      </c>
      <c r="Q76" s="1"/>
      <c r="R76" s="187"/>
      <c r="S76" s="1"/>
    </row>
    <row r="77" spans="1:19">
      <c r="A77" s="77">
        <f t="shared" ref="A77:A113" si="3">A76+1</f>
        <v>66</v>
      </c>
      <c r="B77" s="175">
        <v>8770</v>
      </c>
      <c r="C77" s="17" t="s">
        <v>279</v>
      </c>
      <c r="D77" s="178">
        <v>665.18999999999994</v>
      </c>
      <c r="E77" s="178">
        <v>466.99</v>
      </c>
      <c r="F77" s="178">
        <v>206.28000000000003</v>
      </c>
      <c r="G77" s="178">
        <v>412.46</v>
      </c>
      <c r="H77" s="178">
        <v>14620.42</v>
      </c>
      <c r="I77" s="178">
        <v>10311.620000000001</v>
      </c>
      <c r="J77" s="268">
        <v>16660.059999999994</v>
      </c>
      <c r="K77" s="268">
        <v>8266.6299999999992</v>
      </c>
      <c r="L77" s="268">
        <v>93.66</v>
      </c>
      <c r="M77" s="268">
        <v>525.89</v>
      </c>
      <c r="N77" s="131">
        <v>2860.7212723795883</v>
      </c>
      <c r="O77" s="131">
        <v>2277.5577819320715</v>
      </c>
      <c r="P77" s="17">
        <f t="shared" si="1"/>
        <v>57367.479054311654</v>
      </c>
      <c r="Q77" s="1"/>
      <c r="R77" s="187"/>
      <c r="S77" s="1"/>
    </row>
    <row r="78" spans="1:19">
      <c r="A78" s="77">
        <f t="shared" si="3"/>
        <v>67</v>
      </c>
      <c r="B78" s="175">
        <v>8780</v>
      </c>
      <c r="C78" s="17" t="s">
        <v>280</v>
      </c>
      <c r="D78" s="178">
        <v>123136.80000000002</v>
      </c>
      <c r="E78" s="178">
        <v>64566.010000000017</v>
      </c>
      <c r="F78" s="178">
        <v>51528.95</v>
      </c>
      <c r="G78" s="178">
        <v>67477.26999999999</v>
      </c>
      <c r="H78" s="178">
        <v>71004.609999999971</v>
      </c>
      <c r="I78" s="178">
        <v>67138.600000000006</v>
      </c>
      <c r="J78" s="268">
        <v>94402.840000000011</v>
      </c>
      <c r="K78" s="268">
        <v>91466.53</v>
      </c>
      <c r="L78" s="268">
        <v>86659.310000000027</v>
      </c>
      <c r="M78" s="268">
        <v>119886.03</v>
      </c>
      <c r="N78" s="131">
        <v>70021.073356759895</v>
      </c>
      <c r="O78" s="131">
        <v>66763.458529532974</v>
      </c>
      <c r="P78" s="17">
        <f t="shared" ref="P78:P108" si="4">SUM(D78:O78)</f>
        <v>974051.48188629292</v>
      </c>
      <c r="Q78" s="1"/>
      <c r="R78" s="187"/>
      <c r="S78" s="1"/>
    </row>
    <row r="79" spans="1:19">
      <c r="A79" s="77">
        <f t="shared" si="3"/>
        <v>68</v>
      </c>
      <c r="B79" s="175">
        <v>8790</v>
      </c>
      <c r="C79" s="17" t="s">
        <v>281</v>
      </c>
      <c r="D79" s="178">
        <v>0</v>
      </c>
      <c r="E79" s="178">
        <v>0</v>
      </c>
      <c r="F79" s="178">
        <v>0</v>
      </c>
      <c r="G79" s="178">
        <v>1827.44</v>
      </c>
      <c r="H79" s="178">
        <v>0</v>
      </c>
      <c r="I79" s="178">
        <v>0</v>
      </c>
      <c r="J79" s="268"/>
      <c r="K79" s="268">
        <v>212</v>
      </c>
      <c r="L79" s="268"/>
      <c r="M79" s="268"/>
      <c r="N79" s="131">
        <v>179.42895845498668</v>
      </c>
      <c r="O79" s="131">
        <v>134.38742606129762</v>
      </c>
      <c r="P79" s="17">
        <f t="shared" si="4"/>
        <v>2353.256384516284</v>
      </c>
      <c r="Q79" s="1"/>
      <c r="R79" s="187"/>
      <c r="S79" s="1"/>
    </row>
    <row r="80" spans="1:19">
      <c r="A80" s="77">
        <f t="shared" si="3"/>
        <v>69</v>
      </c>
      <c r="B80" s="175">
        <v>8800</v>
      </c>
      <c r="C80" s="17" t="s">
        <v>282</v>
      </c>
      <c r="D80" s="178">
        <v>732.66</v>
      </c>
      <c r="E80" s="178">
        <v>123.07000000000001</v>
      </c>
      <c r="F80" s="178">
        <v>1232.1099999999999</v>
      </c>
      <c r="G80" s="178">
        <v>444.54</v>
      </c>
      <c r="H80" s="178">
        <v>325.12</v>
      </c>
      <c r="I80" s="178">
        <v>698.71</v>
      </c>
      <c r="J80" s="268">
        <v>19.3</v>
      </c>
      <c r="K80" s="268">
        <v>390.22</v>
      </c>
      <c r="L80" s="268">
        <v>695.82999999999993</v>
      </c>
      <c r="M80" s="268">
        <v>1731.4700000000003</v>
      </c>
      <c r="N80" s="131">
        <v>172.66332538048425</v>
      </c>
      <c r="O80" s="131">
        <v>379.83266688366467</v>
      </c>
      <c r="P80" s="17">
        <f t="shared" si="4"/>
        <v>6945.525992264149</v>
      </c>
      <c r="Q80" s="1"/>
      <c r="R80" s="1"/>
      <c r="S80" s="1"/>
    </row>
    <row r="81" spans="1:21">
      <c r="A81" s="77">
        <f t="shared" si="3"/>
        <v>70</v>
      </c>
      <c r="B81" s="175">
        <v>8810</v>
      </c>
      <c r="C81" s="17" t="s">
        <v>283</v>
      </c>
      <c r="D81" s="178">
        <v>38427.110000000008</v>
      </c>
      <c r="E81" s="178">
        <v>45087.55000000001</v>
      </c>
      <c r="F81" s="178">
        <v>46694.98000000001</v>
      </c>
      <c r="G81" s="178">
        <v>54738.010000000017</v>
      </c>
      <c r="H81" s="178">
        <v>40066.099999999991</v>
      </c>
      <c r="I81" s="178">
        <v>36209.22</v>
      </c>
      <c r="J81" s="268">
        <v>34937.530000000006</v>
      </c>
      <c r="K81" s="268">
        <v>38894.750000000007</v>
      </c>
      <c r="L81" s="268">
        <v>35704.710000000014</v>
      </c>
      <c r="M81" s="268">
        <v>27200.929999999997</v>
      </c>
      <c r="N81" s="131">
        <v>31809.136003741121</v>
      </c>
      <c r="O81" s="131">
        <v>32705.070598880568</v>
      </c>
      <c r="P81" s="17">
        <f t="shared" si="4"/>
        <v>462475.09660262178</v>
      </c>
      <c r="Q81" s="1"/>
      <c r="R81" s="1"/>
      <c r="S81" s="1"/>
    </row>
    <row r="82" spans="1:21">
      <c r="A82" s="77">
        <f t="shared" si="3"/>
        <v>71</v>
      </c>
      <c r="B82" s="175">
        <v>8850</v>
      </c>
      <c r="C82" s="17" t="s">
        <v>284</v>
      </c>
      <c r="D82" s="178">
        <v>37.75</v>
      </c>
      <c r="E82" s="178">
        <v>168.29</v>
      </c>
      <c r="F82" s="178">
        <v>0</v>
      </c>
      <c r="G82" s="178">
        <v>20.89</v>
      </c>
      <c r="H82" s="178">
        <v>183.35000000000002</v>
      </c>
      <c r="I82" s="178">
        <v>8.3800000000000008</v>
      </c>
      <c r="J82" s="268">
        <v>346.43</v>
      </c>
      <c r="K82" s="268">
        <v>168.57999999999998</v>
      </c>
      <c r="L82" s="268"/>
      <c r="M82" s="268"/>
      <c r="N82" s="131">
        <v>56.714711945342145</v>
      </c>
      <c r="O82" s="131">
        <v>278.14672498149207</v>
      </c>
      <c r="P82" s="17">
        <f t="shared" si="4"/>
        <v>1268.5314369268344</v>
      </c>
      <c r="Q82" s="1"/>
      <c r="R82" s="1"/>
      <c r="S82" s="1"/>
    </row>
    <row r="83" spans="1:21">
      <c r="A83" s="77">
        <f t="shared" si="3"/>
        <v>72</v>
      </c>
      <c r="B83" s="175">
        <v>8860</v>
      </c>
      <c r="C83" s="17" t="s">
        <v>285</v>
      </c>
      <c r="D83" s="178">
        <v>0</v>
      </c>
      <c r="E83" s="178">
        <v>0</v>
      </c>
      <c r="F83" s="178">
        <v>0</v>
      </c>
      <c r="G83" s="178">
        <v>0</v>
      </c>
      <c r="H83" s="178">
        <v>79.86</v>
      </c>
      <c r="I83" s="178">
        <v>0</v>
      </c>
      <c r="J83" s="268"/>
      <c r="K83" s="268"/>
      <c r="L83" s="268">
        <v>39.33</v>
      </c>
      <c r="M83" s="268"/>
      <c r="N83" s="131">
        <v>7.8411311026437183</v>
      </c>
      <c r="O83" s="131">
        <v>5.8727946445602743</v>
      </c>
      <c r="P83" s="17">
        <f t="shared" si="4"/>
        <v>132.903925747204</v>
      </c>
      <c r="Q83" s="1"/>
      <c r="R83" s="1"/>
      <c r="S83" s="1"/>
    </row>
    <row r="84" spans="1:21">
      <c r="A84" s="77">
        <f t="shared" si="3"/>
        <v>73</v>
      </c>
      <c r="B84" s="175">
        <v>8870</v>
      </c>
      <c r="C84" s="17" t="s">
        <v>286</v>
      </c>
      <c r="D84" s="178">
        <v>3557.6</v>
      </c>
      <c r="E84" s="178">
        <v>2537.9399999999996</v>
      </c>
      <c r="F84" s="178">
        <v>2437.12</v>
      </c>
      <c r="G84" s="178">
        <v>1169.1400000000001</v>
      </c>
      <c r="H84" s="178">
        <v>2175.04</v>
      </c>
      <c r="I84" s="178">
        <v>4206.62</v>
      </c>
      <c r="J84" s="268">
        <v>987.44</v>
      </c>
      <c r="K84" s="268">
        <v>11765.86</v>
      </c>
      <c r="L84" s="268">
        <v>465.34999999999991</v>
      </c>
      <c r="M84" s="268">
        <v>1020.2</v>
      </c>
      <c r="N84" s="131">
        <v>2349.6694936267832</v>
      </c>
      <c r="O84" s="131">
        <v>2182.9113581903021</v>
      </c>
      <c r="P84" s="17">
        <f t="shared" si="4"/>
        <v>34854.890851817079</v>
      </c>
      <c r="Q84" s="1"/>
      <c r="R84" s="188"/>
      <c r="S84" s="1"/>
    </row>
    <row r="85" spans="1:21">
      <c r="A85" s="77">
        <f t="shared" si="3"/>
        <v>74</v>
      </c>
      <c r="B85" s="175">
        <v>8890</v>
      </c>
      <c r="C85" s="189" t="s">
        <v>287</v>
      </c>
      <c r="D85" s="178">
        <v>9671.44</v>
      </c>
      <c r="E85" s="178">
        <v>8890.89</v>
      </c>
      <c r="F85" s="178">
        <v>3151.4299999999994</v>
      </c>
      <c r="G85" s="178">
        <v>8057.46</v>
      </c>
      <c r="H85" s="178">
        <v>1172.2100000000003</v>
      </c>
      <c r="I85" s="178">
        <v>8114.9599999999991</v>
      </c>
      <c r="J85" s="268">
        <v>2422.0500000000002</v>
      </c>
      <c r="K85" s="268">
        <v>5255.4800000000005</v>
      </c>
      <c r="L85" s="268">
        <v>3235.9</v>
      </c>
      <c r="M85" s="268">
        <v>7223.66</v>
      </c>
      <c r="N85" s="131">
        <v>5538.8637672558198</v>
      </c>
      <c r="O85" s="131">
        <v>5186.9428402003514</v>
      </c>
      <c r="P85" s="17">
        <f t="shared" si="4"/>
        <v>67921.286607456175</v>
      </c>
      <c r="Q85" s="1"/>
      <c r="R85" s="1"/>
      <c r="S85" s="1"/>
    </row>
    <row r="86" spans="1:21">
      <c r="A86" s="77">
        <f t="shared" si="3"/>
        <v>75</v>
      </c>
      <c r="B86" s="175">
        <v>8900</v>
      </c>
      <c r="C86" s="17" t="s">
        <v>288</v>
      </c>
      <c r="D86" s="178">
        <v>567.77</v>
      </c>
      <c r="E86" s="178">
        <v>-223.67000000000002</v>
      </c>
      <c r="F86" s="178">
        <v>463.96</v>
      </c>
      <c r="G86" s="178">
        <v>0</v>
      </c>
      <c r="H86" s="178">
        <v>419.53</v>
      </c>
      <c r="I86" s="178">
        <v>0</v>
      </c>
      <c r="J86" s="268">
        <v>341.78999999999996</v>
      </c>
      <c r="K86" s="268">
        <v>-128.16999999999999</v>
      </c>
      <c r="L86" s="268"/>
      <c r="M86" s="268"/>
      <c r="N86" s="131">
        <v>140.93557443948436</v>
      </c>
      <c r="O86" s="131">
        <v>117.10898514009861</v>
      </c>
      <c r="P86" s="17">
        <f t="shared" si="4"/>
        <v>1699.2545595795827</v>
      </c>
      <c r="Q86" s="1"/>
      <c r="R86" s="1"/>
      <c r="S86" s="1"/>
    </row>
    <row r="87" spans="1:21">
      <c r="A87" s="77">
        <f t="shared" si="3"/>
        <v>76</v>
      </c>
      <c r="B87" s="175">
        <v>8910</v>
      </c>
      <c r="C87" s="17" t="s">
        <v>289</v>
      </c>
      <c r="D87" s="178">
        <v>0</v>
      </c>
      <c r="E87" s="178">
        <v>0</v>
      </c>
      <c r="F87" s="178">
        <v>0</v>
      </c>
      <c r="G87" s="178">
        <v>0</v>
      </c>
      <c r="H87" s="178">
        <v>0</v>
      </c>
      <c r="I87" s="178">
        <v>560</v>
      </c>
      <c r="J87" s="268">
        <v>240</v>
      </c>
      <c r="K87" s="268"/>
      <c r="L87" s="268">
        <v>207.35</v>
      </c>
      <c r="M87" s="268"/>
      <c r="N87" s="131">
        <v>69.158004642662135</v>
      </c>
      <c r="O87" s="131">
        <v>69.208626625026596</v>
      </c>
      <c r="P87" s="17">
        <f t="shared" si="4"/>
        <v>1145.7166312676889</v>
      </c>
      <c r="Q87" s="1"/>
      <c r="R87" s="1"/>
      <c r="S87" s="1"/>
    </row>
    <row r="88" spans="1:21">
      <c r="A88" s="77">
        <f t="shared" si="3"/>
        <v>77</v>
      </c>
      <c r="B88" s="175">
        <v>8920</v>
      </c>
      <c r="C88" s="17" t="s">
        <v>290</v>
      </c>
      <c r="D88" s="178">
        <v>1873.3599999999997</v>
      </c>
      <c r="E88" s="178">
        <v>303.95000000000005</v>
      </c>
      <c r="F88" s="178">
        <v>-33.83</v>
      </c>
      <c r="G88" s="178">
        <v>509.33999999999992</v>
      </c>
      <c r="H88" s="178">
        <v>172.07999999999998</v>
      </c>
      <c r="I88" s="178">
        <v>732.34999999999991</v>
      </c>
      <c r="J88" s="268">
        <v>575.1099999999999</v>
      </c>
      <c r="K88" s="268">
        <v>703.1099999999999</v>
      </c>
      <c r="L88" s="268">
        <v>166.61</v>
      </c>
      <c r="M88" s="268">
        <v>97.25</v>
      </c>
      <c r="N88" s="131">
        <v>555.12586313738802</v>
      </c>
      <c r="O88" s="131">
        <v>532.32480931207874</v>
      </c>
      <c r="P88" s="17">
        <f t="shared" si="4"/>
        <v>6186.7806724494658</v>
      </c>
      <c r="Q88" s="1"/>
      <c r="R88" s="1"/>
      <c r="S88" s="1"/>
    </row>
    <row r="89" spans="1:21">
      <c r="A89" s="77">
        <f t="shared" si="3"/>
        <v>78</v>
      </c>
      <c r="B89" s="175">
        <v>8930</v>
      </c>
      <c r="C89" s="17" t="s">
        <v>291</v>
      </c>
      <c r="D89" s="178">
        <f>0</f>
        <v>0</v>
      </c>
      <c r="E89" s="178">
        <f>0</f>
        <v>0</v>
      </c>
      <c r="F89" s="178">
        <f>0</f>
        <v>0</v>
      </c>
      <c r="G89" s="178">
        <f>0</f>
        <v>0</v>
      </c>
      <c r="H89" s="178">
        <f>0</f>
        <v>0</v>
      </c>
      <c r="I89" s="178">
        <f>0</f>
        <v>0</v>
      </c>
      <c r="J89" s="268"/>
      <c r="K89" s="268"/>
      <c r="L89" s="268"/>
      <c r="M89" s="268"/>
      <c r="N89" s="131">
        <v>0</v>
      </c>
      <c r="O89" s="131">
        <v>0</v>
      </c>
      <c r="P89" s="17">
        <f t="shared" si="4"/>
        <v>0</v>
      </c>
      <c r="Q89" s="1"/>
      <c r="R89" s="1"/>
      <c r="S89" s="1"/>
    </row>
    <row r="90" spans="1:21">
      <c r="A90" s="77">
        <f t="shared" si="3"/>
        <v>79</v>
      </c>
      <c r="B90" s="175">
        <v>8940</v>
      </c>
      <c r="C90" s="17" t="s">
        <v>292</v>
      </c>
      <c r="D90" s="178">
        <v>657.09</v>
      </c>
      <c r="E90" s="178">
        <v>430.48</v>
      </c>
      <c r="F90" s="178">
        <v>559.29</v>
      </c>
      <c r="G90" s="178">
        <v>1701.3700000000001</v>
      </c>
      <c r="H90" s="178">
        <v>1255.1400000000001</v>
      </c>
      <c r="I90" s="178">
        <v>161.74</v>
      </c>
      <c r="J90" s="268">
        <v>809.83</v>
      </c>
      <c r="K90" s="268">
        <v>2325.2400000000002</v>
      </c>
      <c r="L90" s="268">
        <v>1631.06</v>
      </c>
      <c r="M90" s="268">
        <v>1589.6999999999996</v>
      </c>
      <c r="N90" s="131">
        <v>468.26758060475908</v>
      </c>
      <c r="O90" s="131">
        <v>351.43612554071899</v>
      </c>
      <c r="P90" s="17">
        <f t="shared" si="4"/>
        <v>11940.643706145476</v>
      </c>
      <c r="Q90" s="1"/>
      <c r="R90" s="1"/>
      <c r="S90" s="1"/>
    </row>
    <row r="91" spans="1:21">
      <c r="A91" s="77">
        <f t="shared" si="3"/>
        <v>80</v>
      </c>
      <c r="B91" s="175">
        <v>9010</v>
      </c>
      <c r="C91" s="154" t="s">
        <v>293</v>
      </c>
      <c r="D91" s="178">
        <f>0</f>
        <v>0</v>
      </c>
      <c r="E91" s="178">
        <f>0</f>
        <v>0</v>
      </c>
      <c r="F91" s="178">
        <f>0</f>
        <v>0</v>
      </c>
      <c r="G91" s="178">
        <f>0</f>
        <v>0</v>
      </c>
      <c r="H91" s="178">
        <f>0</f>
        <v>0</v>
      </c>
      <c r="I91" s="178">
        <f>0</f>
        <v>0</v>
      </c>
      <c r="J91" s="268"/>
      <c r="K91" s="268"/>
      <c r="L91" s="268"/>
      <c r="M91" s="268"/>
      <c r="N91" s="131">
        <v>0</v>
      </c>
      <c r="O91" s="131">
        <v>0</v>
      </c>
      <c r="P91" s="17">
        <f t="shared" si="4"/>
        <v>0</v>
      </c>
      <c r="Q91" s="1"/>
      <c r="R91" s="1"/>
      <c r="S91" s="1"/>
    </row>
    <row r="92" spans="1:21">
      <c r="A92" s="77">
        <f t="shared" si="3"/>
        <v>81</v>
      </c>
      <c r="B92" s="175">
        <v>9020</v>
      </c>
      <c r="C92" s="17" t="s">
        <v>294</v>
      </c>
      <c r="D92" s="178">
        <v>101007.06999999999</v>
      </c>
      <c r="E92" s="178">
        <v>103317.64999999997</v>
      </c>
      <c r="F92" s="178">
        <v>108554.81999999999</v>
      </c>
      <c r="G92" s="178">
        <v>100537.97999999997</v>
      </c>
      <c r="H92" s="178">
        <v>125550.17</v>
      </c>
      <c r="I92" s="178">
        <v>81656.400000000009</v>
      </c>
      <c r="J92" s="268">
        <v>96263.98000000001</v>
      </c>
      <c r="K92" s="268">
        <v>103315.36</v>
      </c>
      <c r="L92" s="268">
        <v>112268.27999999998</v>
      </c>
      <c r="M92" s="268">
        <v>114621.40000000001</v>
      </c>
      <c r="N92" s="131">
        <v>82129.76217465676</v>
      </c>
      <c r="O92" s="131">
        <v>74466.673614374537</v>
      </c>
      <c r="P92" s="17">
        <f t="shared" si="4"/>
        <v>1203689.5457890313</v>
      </c>
      <c r="Q92" s="75"/>
      <c r="R92" s="75"/>
      <c r="S92" s="75"/>
      <c r="T92" s="75"/>
      <c r="U92" s="75"/>
    </row>
    <row r="93" spans="1:21">
      <c r="A93" s="77">
        <f t="shared" si="3"/>
        <v>82</v>
      </c>
      <c r="B93" s="175">
        <v>9030</v>
      </c>
      <c r="C93" s="17" t="s">
        <v>295</v>
      </c>
      <c r="D93" s="178">
        <v>97694.84</v>
      </c>
      <c r="E93" s="178">
        <v>100440.28</v>
      </c>
      <c r="F93" s="178">
        <v>127619.04</v>
      </c>
      <c r="G93" s="178">
        <v>120053.23</v>
      </c>
      <c r="H93" s="178">
        <v>127428.33000000003</v>
      </c>
      <c r="I93" s="178">
        <v>142633.01999999996</v>
      </c>
      <c r="J93" s="268">
        <v>122442.04</v>
      </c>
      <c r="K93" s="268">
        <v>103522.38</v>
      </c>
      <c r="L93" s="268">
        <v>97166.270000000033</v>
      </c>
      <c r="M93" s="268">
        <v>104502.35999999997</v>
      </c>
      <c r="N93" s="131">
        <v>90993.18934483231</v>
      </c>
      <c r="O93" s="131">
        <v>78242.394439525349</v>
      </c>
      <c r="P93" s="17">
        <f t="shared" si="4"/>
        <v>1312737.3737843577</v>
      </c>
      <c r="Q93" s="75"/>
      <c r="R93" s="75"/>
      <c r="S93" s="75"/>
      <c r="T93" s="75"/>
      <c r="U93" s="75"/>
    </row>
    <row r="94" spans="1:21">
      <c r="A94" s="77">
        <f t="shared" si="3"/>
        <v>83</v>
      </c>
      <c r="B94" s="175">
        <v>9040</v>
      </c>
      <c r="C94" s="17" t="s">
        <v>296</v>
      </c>
      <c r="D94" s="178">
        <v>47272</v>
      </c>
      <c r="E94" s="178">
        <v>43913</v>
      </c>
      <c r="F94" s="178">
        <v>37532</v>
      </c>
      <c r="G94" s="178">
        <v>54899</v>
      </c>
      <c r="H94" s="178">
        <v>22112</v>
      </c>
      <c r="I94" s="178">
        <v>145471</v>
      </c>
      <c r="J94" s="268">
        <v>22562</v>
      </c>
      <c r="K94" s="268">
        <v>22016</v>
      </c>
      <c r="L94" s="268">
        <v>413203.87</v>
      </c>
      <c r="M94" s="268">
        <v>27566</v>
      </c>
      <c r="N94" s="131">
        <v>37759.1276</v>
      </c>
      <c r="O94" s="131">
        <v>48564.006300000001</v>
      </c>
      <c r="P94" s="17">
        <f t="shared" si="4"/>
        <v>922870.00390000001</v>
      </c>
      <c r="Q94" s="1"/>
      <c r="R94" s="1"/>
      <c r="S94" s="1"/>
    </row>
    <row r="95" spans="1:21">
      <c r="A95" s="77">
        <f t="shared" si="3"/>
        <v>84</v>
      </c>
      <c r="B95" s="175">
        <v>9090</v>
      </c>
      <c r="C95" s="17" t="s">
        <v>297</v>
      </c>
      <c r="D95" s="178">
        <v>12026.800000000001</v>
      </c>
      <c r="E95" s="178">
        <v>8468.51</v>
      </c>
      <c r="F95" s="178">
        <v>11705.92</v>
      </c>
      <c r="G95" s="178">
        <v>11387.3</v>
      </c>
      <c r="H95" s="178">
        <v>12611.04</v>
      </c>
      <c r="I95" s="178">
        <v>11147.93</v>
      </c>
      <c r="J95" s="268">
        <v>9315.3700000000008</v>
      </c>
      <c r="K95" s="268">
        <v>15010.720000000001</v>
      </c>
      <c r="L95" s="268">
        <v>8468.52</v>
      </c>
      <c r="M95" s="268">
        <v>5021.2199999999993</v>
      </c>
      <c r="N95" s="131">
        <v>11123.950129011935</v>
      </c>
      <c r="O95" s="131">
        <v>10450.339238712655</v>
      </c>
      <c r="P95" s="17">
        <f t="shared" si="4"/>
        <v>126737.61936772459</v>
      </c>
      <c r="Q95" s="1"/>
      <c r="R95" s="1"/>
      <c r="S95" s="1"/>
    </row>
    <row r="96" spans="1:21">
      <c r="A96" s="77">
        <f t="shared" si="3"/>
        <v>85</v>
      </c>
      <c r="B96" s="175">
        <v>9100</v>
      </c>
      <c r="C96" s="17" t="s">
        <v>298</v>
      </c>
      <c r="D96" s="178">
        <f>0</f>
        <v>0</v>
      </c>
      <c r="E96" s="178">
        <f>0</f>
        <v>0</v>
      </c>
      <c r="F96" s="178">
        <f>0</f>
        <v>0</v>
      </c>
      <c r="G96" s="178">
        <f>0</f>
        <v>0</v>
      </c>
      <c r="H96" s="178">
        <f>0</f>
        <v>0</v>
      </c>
      <c r="I96" s="178">
        <f>0</f>
        <v>0</v>
      </c>
      <c r="J96" s="268"/>
      <c r="K96" s="268"/>
      <c r="L96" s="268">
        <v>85</v>
      </c>
      <c r="M96" s="268"/>
      <c r="N96" s="131">
        <v>0</v>
      </c>
      <c r="O96" s="131">
        <v>0</v>
      </c>
      <c r="P96" s="17">
        <f t="shared" si="4"/>
        <v>85</v>
      </c>
      <c r="Q96" s="1"/>
      <c r="R96" s="1"/>
      <c r="S96" s="1"/>
    </row>
    <row r="97" spans="1:19">
      <c r="A97" s="77">
        <f t="shared" si="3"/>
        <v>86</v>
      </c>
      <c r="B97" s="175">
        <v>9110</v>
      </c>
      <c r="C97" s="17" t="s">
        <v>299</v>
      </c>
      <c r="D97" s="178">
        <v>19520.36</v>
      </c>
      <c r="E97" s="178">
        <v>21068.82</v>
      </c>
      <c r="F97" s="178">
        <v>25225.98</v>
      </c>
      <c r="G97" s="178">
        <v>21668.09</v>
      </c>
      <c r="H97" s="178">
        <v>22385.53</v>
      </c>
      <c r="I97" s="178">
        <v>21581.869999999995</v>
      </c>
      <c r="J97" s="268">
        <v>23821.849999999995</v>
      </c>
      <c r="K97" s="268">
        <v>21262.18</v>
      </c>
      <c r="L97" s="268">
        <v>21137.489999999998</v>
      </c>
      <c r="M97" s="268">
        <v>26051.070000000003</v>
      </c>
      <c r="N97" s="131">
        <v>22089.241353389702</v>
      </c>
      <c r="O97" s="131">
        <v>20700.147111104408</v>
      </c>
      <c r="P97" s="17">
        <f t="shared" si="4"/>
        <v>266512.62846449408</v>
      </c>
      <c r="Q97" s="1"/>
      <c r="R97" s="188"/>
      <c r="S97" s="1"/>
    </row>
    <row r="98" spans="1:19">
      <c r="A98" s="77">
        <f t="shared" si="3"/>
        <v>87</v>
      </c>
      <c r="B98" s="175">
        <v>9120</v>
      </c>
      <c r="C98" s="17" t="s">
        <v>300</v>
      </c>
      <c r="D98" s="178">
        <v>14361.869999999999</v>
      </c>
      <c r="E98" s="178">
        <v>15310.52</v>
      </c>
      <c r="F98" s="178">
        <v>4892.2999999999993</v>
      </c>
      <c r="G98" s="178">
        <v>9360</v>
      </c>
      <c r="H98" s="178">
        <v>7556.7900000000009</v>
      </c>
      <c r="I98" s="178">
        <v>22228.080000000002</v>
      </c>
      <c r="J98" s="268">
        <v>4364.1399999999994</v>
      </c>
      <c r="K98" s="268">
        <v>16579.91</v>
      </c>
      <c r="L98" s="268">
        <v>11905.43</v>
      </c>
      <c r="M98" s="268">
        <v>4642</v>
      </c>
      <c r="N98" s="131">
        <v>17667.391076124215</v>
      </c>
      <c r="O98" s="131">
        <v>6972.8745914273049</v>
      </c>
      <c r="P98" s="17">
        <f t="shared" si="4"/>
        <v>135841.30566755153</v>
      </c>
      <c r="Q98" s="1"/>
      <c r="R98" s="188"/>
      <c r="S98" s="1"/>
    </row>
    <row r="99" spans="1:19">
      <c r="A99" s="77">
        <f t="shared" si="3"/>
        <v>88</v>
      </c>
      <c r="B99" s="175">
        <v>9130</v>
      </c>
      <c r="C99" s="17" t="s">
        <v>301</v>
      </c>
      <c r="D99" s="178">
        <v>3358</v>
      </c>
      <c r="E99" s="178">
        <v>3434.5</v>
      </c>
      <c r="F99" s="178">
        <v>7296.82</v>
      </c>
      <c r="G99" s="178">
        <v>1606</v>
      </c>
      <c r="H99" s="178">
        <v>5853.73</v>
      </c>
      <c r="I99" s="178">
        <v>670.66</v>
      </c>
      <c r="J99" s="268">
        <v>1665.79</v>
      </c>
      <c r="K99" s="268">
        <v>460.31</v>
      </c>
      <c r="L99" s="268">
        <v>1304</v>
      </c>
      <c r="M99" s="268">
        <v>2744.4</v>
      </c>
      <c r="N99" s="131">
        <v>5444.1087735265628</v>
      </c>
      <c r="O99" s="131">
        <v>2060.0705605021894</v>
      </c>
      <c r="P99" s="17">
        <f t="shared" si="4"/>
        <v>35898.389334028754</v>
      </c>
      <c r="Q99" s="1"/>
      <c r="R99" s="1"/>
      <c r="S99" s="1"/>
    </row>
    <row r="100" spans="1:19">
      <c r="A100" s="77">
        <f t="shared" si="3"/>
        <v>89</v>
      </c>
      <c r="B100" s="175">
        <v>9200</v>
      </c>
      <c r="C100" s="176" t="s">
        <v>302</v>
      </c>
      <c r="D100" s="178">
        <v>10060.35</v>
      </c>
      <c r="E100" s="178">
        <v>10881.92</v>
      </c>
      <c r="F100" s="178">
        <v>11970.02</v>
      </c>
      <c r="G100" s="178">
        <v>11635.840000000002</v>
      </c>
      <c r="H100" s="178">
        <v>12840.22</v>
      </c>
      <c r="I100" s="178">
        <v>11987.77</v>
      </c>
      <c r="J100" s="268">
        <v>11761.189999999999</v>
      </c>
      <c r="K100" s="268">
        <v>12523.89</v>
      </c>
      <c r="L100" s="268">
        <v>11204.369999999999</v>
      </c>
      <c r="M100" s="268">
        <v>12487.98</v>
      </c>
      <c r="N100" s="131">
        <v>10925.429788215586</v>
      </c>
      <c r="O100" s="131">
        <v>10511.932760455609</v>
      </c>
      <c r="P100" s="17">
        <f t="shared" si="4"/>
        <v>138790.91254867119</v>
      </c>
      <c r="Q100" s="1"/>
      <c r="R100" s="188"/>
      <c r="S100" s="1"/>
    </row>
    <row r="101" spans="1:19">
      <c r="A101" s="77">
        <f t="shared" si="3"/>
        <v>90</v>
      </c>
      <c r="B101" s="175">
        <v>9210</v>
      </c>
      <c r="C101" s="17" t="s">
        <v>303</v>
      </c>
      <c r="D101" s="178">
        <v>2618.4899999999998</v>
      </c>
      <c r="E101" s="178">
        <v>1092.6300000000001</v>
      </c>
      <c r="F101" s="178">
        <v>2815.3300000000004</v>
      </c>
      <c r="G101" s="178">
        <v>2162.7400000000002</v>
      </c>
      <c r="H101" s="178">
        <v>-50</v>
      </c>
      <c r="I101" s="178">
        <v>2570.1599999999994</v>
      </c>
      <c r="J101" s="268">
        <v>379.17</v>
      </c>
      <c r="K101" s="268">
        <v>1179.76</v>
      </c>
      <c r="L101" s="268">
        <v>668.38</v>
      </c>
      <c r="M101" s="268">
        <v>671.02</v>
      </c>
      <c r="N101" s="131">
        <v>1810.3147078657089</v>
      </c>
      <c r="O101" s="131">
        <v>1455.547228047757</v>
      </c>
      <c r="P101" s="17">
        <f t="shared" si="4"/>
        <v>17373.541935913468</v>
      </c>
      <c r="Q101" s="1"/>
      <c r="R101" s="188"/>
      <c r="S101" s="1"/>
    </row>
    <row r="102" spans="1:19">
      <c r="A102" s="77">
        <f t="shared" si="3"/>
        <v>91</v>
      </c>
      <c r="B102" s="175">
        <v>9220</v>
      </c>
      <c r="C102" s="17" t="s">
        <v>304</v>
      </c>
      <c r="D102" s="178">
        <v>1077087.21</v>
      </c>
      <c r="E102" s="178">
        <v>921577.6399999999</v>
      </c>
      <c r="F102" s="178">
        <v>1144943.74</v>
      </c>
      <c r="G102" s="178">
        <v>997870.45000000007</v>
      </c>
      <c r="H102" s="178">
        <v>1306075.25</v>
      </c>
      <c r="I102" s="178">
        <v>776411.64000000013</v>
      </c>
      <c r="J102" s="268">
        <v>1249960.79</v>
      </c>
      <c r="K102" s="268">
        <v>942359.86</v>
      </c>
      <c r="L102" s="268">
        <v>894565.61</v>
      </c>
      <c r="M102" s="268">
        <v>1059266.28</v>
      </c>
      <c r="N102" s="131">
        <f>-('C.2.2 B 02'!N46+'C.2.2 B 12'!N34+'C.2.2 B 91'!N59)</f>
        <v>1158532.8420704855</v>
      </c>
      <c r="O102" s="131">
        <f>-('C.2.2 B 02'!O46+'C.2.2 B 12'!O34+'C.2.2 B 91'!O59)</f>
        <v>1143337.8515960025</v>
      </c>
      <c r="P102" s="17">
        <f>SUM(D102:O102)</f>
        <v>12671989.163666487</v>
      </c>
      <c r="Q102" s="75"/>
      <c r="R102" s="190"/>
      <c r="S102" s="17"/>
    </row>
    <row r="103" spans="1:19">
      <c r="A103" s="77">
        <f t="shared" si="3"/>
        <v>92</v>
      </c>
      <c r="B103" s="175">
        <v>9230</v>
      </c>
      <c r="C103" s="17" t="s">
        <v>305</v>
      </c>
      <c r="D103" s="178">
        <v>160</v>
      </c>
      <c r="E103" s="178">
        <v>0</v>
      </c>
      <c r="F103" s="178">
        <v>15003.95</v>
      </c>
      <c r="G103" s="178">
        <v>6064.95</v>
      </c>
      <c r="H103" s="178">
        <v>256.70999999999998</v>
      </c>
      <c r="I103" s="178">
        <v>185986.05</v>
      </c>
      <c r="J103" s="268">
        <v>6000</v>
      </c>
      <c r="K103" s="268">
        <v>86000</v>
      </c>
      <c r="L103" s="268">
        <v>13171.93</v>
      </c>
      <c r="M103" s="268">
        <v>392</v>
      </c>
      <c r="N103" s="131">
        <v>23387.523992428542</v>
      </c>
      <c r="O103" s="131">
        <v>18508.708988949806</v>
      </c>
      <c r="P103" s="17">
        <f t="shared" si="4"/>
        <v>354931.82298137835</v>
      </c>
      <c r="Q103" s="1"/>
      <c r="R103" s="188"/>
      <c r="S103" s="1"/>
    </row>
    <row r="104" spans="1:19">
      <c r="A104" s="77">
        <f t="shared" si="3"/>
        <v>93</v>
      </c>
      <c r="B104" s="175">
        <v>9240</v>
      </c>
      <c r="C104" s="17" t="s">
        <v>306</v>
      </c>
      <c r="D104" s="178">
        <v>14262.050000000001</v>
      </c>
      <c r="E104" s="178">
        <v>14560.55</v>
      </c>
      <c r="F104" s="178">
        <v>13925.159999999996</v>
      </c>
      <c r="G104" s="178">
        <v>13180.759999999998</v>
      </c>
      <c r="H104" s="178">
        <v>14464.279999999999</v>
      </c>
      <c r="I104" s="178">
        <v>14123.289999999997</v>
      </c>
      <c r="J104" s="268">
        <v>14206.489999999998</v>
      </c>
      <c r="K104" s="268">
        <v>13883.929999999997</v>
      </c>
      <c r="L104" s="268">
        <v>13867.829999999998</v>
      </c>
      <c r="M104" s="268">
        <v>14577.439999999999</v>
      </c>
      <c r="N104" s="131">
        <v>0</v>
      </c>
      <c r="O104" s="131">
        <v>2476.444918942836</v>
      </c>
      <c r="P104" s="17">
        <f t="shared" si="4"/>
        <v>143528.22491894281</v>
      </c>
      <c r="Q104" s="1"/>
      <c r="R104" s="188"/>
      <c r="S104" s="1"/>
    </row>
    <row r="105" spans="1:19">
      <c r="A105" s="77">
        <f t="shared" si="3"/>
        <v>94</v>
      </c>
      <c r="B105" s="175">
        <v>9250</v>
      </c>
      <c r="C105" s="17" t="s">
        <v>307</v>
      </c>
      <c r="D105" s="178">
        <v>2590.35</v>
      </c>
      <c r="E105" s="178">
        <v>3244.3199999999997</v>
      </c>
      <c r="F105" s="178">
        <v>7378.8200000000006</v>
      </c>
      <c r="G105" s="178">
        <v>4033.83</v>
      </c>
      <c r="H105" s="178">
        <v>26251.22</v>
      </c>
      <c r="I105" s="178">
        <v>1996.4799999999998</v>
      </c>
      <c r="J105" s="268">
        <v>4215.9400000000005</v>
      </c>
      <c r="K105" s="268">
        <v>9277.3799999999992</v>
      </c>
      <c r="L105" s="268">
        <v>952.1</v>
      </c>
      <c r="M105" s="268">
        <v>4136.29</v>
      </c>
      <c r="N105" s="131">
        <v>5618.4472624900245</v>
      </c>
      <c r="O105" s="131">
        <v>4333.3296955949236</v>
      </c>
      <c r="P105" s="17">
        <f t="shared" si="4"/>
        <v>74028.506958084952</v>
      </c>
      <c r="Q105" s="1"/>
      <c r="R105" s="188"/>
      <c r="S105" s="1"/>
    </row>
    <row r="106" spans="1:19">
      <c r="A106" s="77">
        <f t="shared" si="3"/>
        <v>95</v>
      </c>
      <c r="B106" s="175">
        <v>9260</v>
      </c>
      <c r="C106" s="17" t="s">
        <v>308</v>
      </c>
      <c r="D106" s="178">
        <v>186990.49999999994</v>
      </c>
      <c r="E106" s="178">
        <v>142600.23000000004</v>
      </c>
      <c r="F106" s="178">
        <v>136940.19000000003</v>
      </c>
      <c r="G106" s="178">
        <v>137078.23000000004</v>
      </c>
      <c r="H106" s="178">
        <v>173568.5800000001</v>
      </c>
      <c r="I106" s="178">
        <v>139491.36999999994</v>
      </c>
      <c r="J106" s="268">
        <v>154423.14000000004</v>
      </c>
      <c r="K106" s="268">
        <v>156858.75999999983</v>
      </c>
      <c r="L106" s="268">
        <v>137338.29999999999</v>
      </c>
      <c r="M106" s="268">
        <v>164009.96999999994</v>
      </c>
      <c r="N106" s="131">
        <v>163969.49996972448</v>
      </c>
      <c r="O106" s="131">
        <v>158310.77061674808</v>
      </c>
      <c r="P106" s="17">
        <f>SUM(D106:O106)</f>
        <v>1851579.5405864727</v>
      </c>
      <c r="Q106" s="1"/>
      <c r="R106" s="188"/>
      <c r="S106" s="1"/>
    </row>
    <row r="107" spans="1:19">
      <c r="A107" s="77">
        <f t="shared" si="3"/>
        <v>96</v>
      </c>
      <c r="B107" s="175">
        <v>9270</v>
      </c>
      <c r="C107" s="17" t="s">
        <v>309</v>
      </c>
      <c r="D107" s="178">
        <v>0</v>
      </c>
      <c r="E107" s="178">
        <v>408.39</v>
      </c>
      <c r="F107" s="178">
        <v>0</v>
      </c>
      <c r="G107" s="178">
        <v>0</v>
      </c>
      <c r="H107" s="178">
        <v>0</v>
      </c>
      <c r="I107" s="178">
        <v>0</v>
      </c>
      <c r="J107" s="268">
        <v>143.63</v>
      </c>
      <c r="K107" s="268">
        <v>0</v>
      </c>
      <c r="L107" s="268">
        <v>164.9</v>
      </c>
      <c r="M107" s="268">
        <v>9.89</v>
      </c>
      <c r="N107" s="131">
        <v>100.06069305227264</v>
      </c>
      <c r="O107" s="131">
        <v>37.863330178633703</v>
      </c>
      <c r="P107" s="17">
        <f t="shared" si="4"/>
        <v>864.73402323090636</v>
      </c>
      <c r="Q107" s="1"/>
      <c r="R107" s="188"/>
      <c r="S107" s="1"/>
    </row>
    <row r="108" spans="1:19">
      <c r="A108" s="77">
        <f t="shared" si="3"/>
        <v>97</v>
      </c>
      <c r="B108" s="175">
        <v>9280</v>
      </c>
      <c r="C108" s="17" t="s">
        <v>310</v>
      </c>
      <c r="D108" s="178">
        <v>-5239.2</v>
      </c>
      <c r="E108" s="178">
        <v>5750.21</v>
      </c>
      <c r="F108" s="178">
        <v>22134.719999999998</v>
      </c>
      <c r="G108" s="178">
        <v>21252.720000000001</v>
      </c>
      <c r="H108" s="178">
        <v>-139296.40000000002</v>
      </c>
      <c r="I108" s="178">
        <v>20951.13</v>
      </c>
      <c r="J108" s="268">
        <v>22778.05</v>
      </c>
      <c r="K108" s="268">
        <v>14487.1</v>
      </c>
      <c r="L108" s="268">
        <v>33076.6</v>
      </c>
      <c r="M108" s="268">
        <v>116399.93</v>
      </c>
      <c r="N108" s="131">
        <v>56040.102290235074</v>
      </c>
      <c r="O108" s="131">
        <v>52179.31832828898</v>
      </c>
      <c r="P108" s="17">
        <f t="shared" si="4"/>
        <v>220514.280618524</v>
      </c>
      <c r="Q108" s="1"/>
      <c r="R108" s="188"/>
      <c r="S108" s="1"/>
    </row>
    <row r="109" spans="1:19">
      <c r="A109" s="77">
        <f t="shared" si="3"/>
        <v>98</v>
      </c>
      <c r="B109" s="175">
        <v>9302</v>
      </c>
      <c r="C109" s="17" t="s">
        <v>311</v>
      </c>
      <c r="D109" s="178">
        <v>20219.580000000002</v>
      </c>
      <c r="E109" s="178">
        <v>4981.92</v>
      </c>
      <c r="F109" s="178">
        <v>4023.58</v>
      </c>
      <c r="G109" s="178">
        <v>13198.58</v>
      </c>
      <c r="H109" s="178">
        <v>3648.58</v>
      </c>
      <c r="I109" s="178">
        <v>5221.66</v>
      </c>
      <c r="J109" s="268">
        <v>5926.14</v>
      </c>
      <c r="K109" s="268">
        <v>5083.58</v>
      </c>
      <c r="L109" s="268">
        <v>18753.580000000002</v>
      </c>
      <c r="M109" s="268">
        <v>17466.16</v>
      </c>
      <c r="N109" s="131">
        <v>7550.7980645098341</v>
      </c>
      <c r="O109" s="131">
        <v>913.21355825836713</v>
      </c>
      <c r="P109" s="17">
        <f t="shared" ref="P109:P111" si="5">SUM(D109:O109)</f>
        <v>106987.37162276822</v>
      </c>
      <c r="Q109" s="1"/>
      <c r="R109" s="188"/>
      <c r="S109" s="1"/>
    </row>
    <row r="110" spans="1:19">
      <c r="A110" s="77">
        <f t="shared" si="3"/>
        <v>99</v>
      </c>
      <c r="B110" s="175">
        <v>9310</v>
      </c>
      <c r="C110" s="176" t="s">
        <v>200</v>
      </c>
      <c r="D110" s="178">
        <v>1304.52</v>
      </c>
      <c r="E110" s="178">
        <v>1304.52</v>
      </c>
      <c r="F110" s="178">
        <v>1304.52</v>
      </c>
      <c r="G110" s="178">
        <v>1304.52</v>
      </c>
      <c r="H110" s="178">
        <v>1299.57</v>
      </c>
      <c r="I110" s="178">
        <v>1299.57</v>
      </c>
      <c r="J110" s="268">
        <v>1299.57</v>
      </c>
      <c r="K110" s="268">
        <v>1299.57</v>
      </c>
      <c r="L110" s="268">
        <v>1299.57</v>
      </c>
      <c r="M110" s="268">
        <v>1299.57</v>
      </c>
      <c r="N110" s="131">
        <v>965.39881616555567</v>
      </c>
      <c r="O110" s="131">
        <v>966.10546468873281</v>
      </c>
      <c r="P110" s="17">
        <f t="shared" si="5"/>
        <v>14947.004280854288</v>
      </c>
      <c r="Q110" s="1"/>
      <c r="R110" s="188"/>
      <c r="S110" s="1"/>
    </row>
    <row r="111" spans="1:19">
      <c r="A111" s="77">
        <f t="shared" si="3"/>
        <v>100</v>
      </c>
      <c r="B111" s="175">
        <v>9320</v>
      </c>
      <c r="C111" s="154" t="s">
        <v>312</v>
      </c>
      <c r="D111" s="178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11000</v>
      </c>
      <c r="J111" s="268">
        <v>0</v>
      </c>
      <c r="K111" s="268"/>
      <c r="L111" s="268"/>
      <c r="M111" s="268"/>
      <c r="N111" s="131">
        <v>1876.5518370186846</v>
      </c>
      <c r="O111" s="131">
        <v>410.21647050581043</v>
      </c>
      <c r="P111" s="17">
        <f t="shared" si="5"/>
        <v>13286.768307524495</v>
      </c>
      <c r="Q111" s="1"/>
      <c r="R111" s="1"/>
      <c r="S111" s="1"/>
    </row>
    <row r="112" spans="1:19">
      <c r="A112" s="77">
        <f t="shared" si="3"/>
        <v>101</v>
      </c>
      <c r="B112" s="1"/>
      <c r="C112" s="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2"/>
      <c r="P112" s="1"/>
      <c r="Q112" s="1"/>
      <c r="R112" s="1"/>
      <c r="S112" s="1"/>
    </row>
    <row r="113" spans="1:19" ht="15.75" thickBot="1">
      <c r="A113" s="9">
        <f t="shared" si="3"/>
        <v>102</v>
      </c>
      <c r="B113" s="1"/>
      <c r="C113" s="1" t="s">
        <v>313</v>
      </c>
      <c r="D113" s="193">
        <f t="shared" ref="D113:O113" si="6">SUM(D14:D112)</f>
        <v>-6672482.2500000037</v>
      </c>
      <c r="E113" s="193">
        <f t="shared" si="6"/>
        <v>-6217457.6300000008</v>
      </c>
      <c r="F113" s="193">
        <f t="shared" si="6"/>
        <v>-4422971.9699999988</v>
      </c>
      <c r="G113" s="193">
        <f t="shared" si="6"/>
        <v>-3199298.8199999989</v>
      </c>
      <c r="H113" s="193">
        <f t="shared" si="6"/>
        <v>-902644.24999999965</v>
      </c>
      <c r="I113" s="193">
        <f t="shared" si="6"/>
        <v>-492418.05999999761</v>
      </c>
      <c r="J113" s="194">
        <f t="shared" si="6"/>
        <v>-650087.68000000063</v>
      </c>
      <c r="K113" s="193">
        <f t="shared" si="6"/>
        <v>-421343.28000000078</v>
      </c>
      <c r="L113" s="193">
        <f t="shared" si="6"/>
        <v>-731379.94000000041</v>
      </c>
      <c r="M113" s="193">
        <f t="shared" si="6"/>
        <v>-1758254.149999999</v>
      </c>
      <c r="N113" s="193">
        <f t="shared" si="6"/>
        <v>-2962056.0951020145</v>
      </c>
      <c r="O113" s="193">
        <f t="shared" si="6"/>
        <v>-5018724.737569944</v>
      </c>
      <c r="P113" s="193">
        <f>SUM(P12:P112)</f>
        <v>-29394639.361228723</v>
      </c>
      <c r="Q113" s="195"/>
      <c r="R113" s="17"/>
      <c r="S113" s="1"/>
    </row>
    <row r="114" spans="1:19" ht="15.75" thickTop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"/>
      <c r="B115" s="1"/>
      <c r="C115" s="1" t="s">
        <v>314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R115" s="1"/>
      <c r="S115" s="1"/>
    </row>
    <row r="116" spans="1:19">
      <c r="A116" s="1"/>
      <c r="B116" s="1"/>
      <c r="C116" s="196" t="s">
        <v>315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75"/>
      <c r="P116" s="1"/>
      <c r="Q116" s="1"/>
      <c r="R116" s="1"/>
      <c r="S116" s="1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1"/>
      <c r="Q117" s="17"/>
      <c r="R117" s="1"/>
      <c r="S117" s="1"/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7"/>
      <c r="K118" s="17"/>
      <c r="L118" s="1"/>
      <c r="M118" s="1"/>
      <c r="N118" s="1"/>
      <c r="P118" s="154"/>
      <c r="Q118" s="154"/>
      <c r="R118" s="1"/>
      <c r="S118" s="1"/>
    </row>
    <row r="119" spans="1:19">
      <c r="A119" s="1"/>
      <c r="B119" s="1" t="s">
        <v>316</v>
      </c>
      <c r="C119" s="196"/>
      <c r="D119" s="1"/>
      <c r="E119" s="1"/>
      <c r="F119" s="17"/>
      <c r="G119" s="1"/>
      <c r="H119" s="1"/>
      <c r="I119" s="1"/>
      <c r="J119" s="17"/>
      <c r="K119" s="17"/>
      <c r="L119" s="1"/>
      <c r="M119" s="1"/>
      <c r="N119" s="1"/>
      <c r="P119" s="177">
        <f>SUM(P30:P111)</f>
        <v>114734572.0944986</v>
      </c>
      <c r="R119" s="1"/>
      <c r="S119" s="1"/>
    </row>
    <row r="120" spans="1:19">
      <c r="A120" s="1"/>
      <c r="B120" s="1" t="s">
        <v>317</v>
      </c>
      <c r="C120" s="1"/>
      <c r="D120" s="197"/>
      <c r="E120" s="197"/>
      <c r="F120" s="19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7"/>
      <c r="R120" s="1"/>
      <c r="S120" s="1"/>
    </row>
    <row r="121" spans="1:19">
      <c r="A121" s="1"/>
      <c r="B121" s="1" t="s">
        <v>318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7"/>
      <c r="P121" s="1"/>
      <c r="Q121" s="17"/>
      <c r="R121" s="1"/>
      <c r="S121" s="1"/>
    </row>
    <row r="122" spans="1:19">
      <c r="A122" s="1"/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t="s">
        <v>319</v>
      </c>
      <c r="P122" s="1">
        <f>SUM(P47:P111)+P30+P31-P102</f>
        <v>17053269.982799999</v>
      </c>
      <c r="Q122" s="1"/>
      <c r="R122" s="1"/>
      <c r="S122" s="1"/>
    </row>
    <row r="123" spans="1:19">
      <c r="A123" s="1"/>
      <c r="B123" s="1"/>
      <c r="C123" s="1"/>
      <c r="D123" s="1">
        <f>SUM(D47:D111)+D30+D31-D102</f>
        <v>1422291.2999999998</v>
      </c>
      <c r="E123" s="1">
        <f t="shared" ref="E123:O123" si="7">SUM(E47:E111)+E30+E31-E102</f>
        <v>1161373.8199999998</v>
      </c>
      <c r="F123" s="1">
        <f t="shared" si="7"/>
        <v>1308387.2100000002</v>
      </c>
      <c r="G123" s="1">
        <f t="shared" si="7"/>
        <v>1295849.9900000002</v>
      </c>
      <c r="H123" s="1">
        <f t="shared" si="7"/>
        <v>1361516.6900000004</v>
      </c>
      <c r="I123" s="1">
        <f t="shared" si="7"/>
        <v>1943285.7999999998</v>
      </c>
      <c r="J123" s="1">
        <f t="shared" si="7"/>
        <v>1359181.71</v>
      </c>
      <c r="K123" s="1">
        <f t="shared" si="7"/>
        <v>1745684.3400000003</v>
      </c>
      <c r="L123" s="1">
        <f t="shared" si="7"/>
        <v>1860188.3399999999</v>
      </c>
      <c r="M123" s="1">
        <f t="shared" si="7"/>
        <v>1297490.8700000003</v>
      </c>
      <c r="N123" s="1">
        <f t="shared" si="7"/>
        <v>1196940.9963000002</v>
      </c>
      <c r="O123" s="1">
        <f t="shared" si="7"/>
        <v>1101078.9165000003</v>
      </c>
      <c r="P123" s="17"/>
      <c r="Q123" s="1"/>
      <c r="R123" s="1"/>
      <c r="S123" s="1"/>
    </row>
    <row r="124" spans="1:19">
      <c r="A124" s="1"/>
      <c r="B124" s="1"/>
      <c r="C124" s="1"/>
      <c r="D124" s="1">
        <v>1422291.3</v>
      </c>
      <c r="E124" s="1">
        <v>1161373.82</v>
      </c>
      <c r="F124" s="1">
        <v>1308387.2099999997</v>
      </c>
      <c r="G124" s="1">
        <v>1295849.9899999998</v>
      </c>
      <c r="H124" s="1">
        <v>1361516.6900000002</v>
      </c>
      <c r="I124" s="1">
        <v>1943285.7999999996</v>
      </c>
      <c r="J124" s="1">
        <v>1313767.3699999999</v>
      </c>
      <c r="K124" s="1">
        <v>1146960.99</v>
      </c>
      <c r="L124" s="1">
        <v>1074936.31</v>
      </c>
      <c r="M124" s="1">
        <v>1174001.7989999999</v>
      </c>
      <c r="N124" s="1">
        <v>1196940.9963</v>
      </c>
      <c r="O124" s="1">
        <v>1101078.9165000001</v>
      </c>
      <c r="P124" s="17"/>
      <c r="Q124" s="1"/>
      <c r="R124" s="1"/>
      <c r="S124" s="1"/>
    </row>
    <row r="125" spans="1:19">
      <c r="A125" s="1"/>
      <c r="B125" s="1"/>
      <c r="C125" s="75"/>
      <c r="D125" s="198">
        <f>D123-D124</f>
        <v>0</v>
      </c>
      <c r="E125" s="198">
        <f t="shared" ref="E125:O125" si="8">E123-E124</f>
        <v>0</v>
      </c>
      <c r="F125" s="198">
        <f t="shared" si="8"/>
        <v>0</v>
      </c>
      <c r="G125" s="198">
        <f t="shared" si="8"/>
        <v>0</v>
      </c>
      <c r="H125" s="198">
        <f t="shared" si="8"/>
        <v>0</v>
      </c>
      <c r="I125" s="198">
        <f t="shared" si="8"/>
        <v>0</v>
      </c>
      <c r="J125" s="198">
        <f t="shared" si="8"/>
        <v>45414.340000000084</v>
      </c>
      <c r="K125" s="198">
        <f t="shared" si="8"/>
        <v>598723.35000000033</v>
      </c>
      <c r="L125" s="198">
        <f t="shared" si="8"/>
        <v>785252.0299999998</v>
      </c>
      <c r="M125" s="198">
        <f t="shared" si="8"/>
        <v>123489.07100000046</v>
      </c>
      <c r="N125" s="198">
        <f t="shared" si="8"/>
        <v>0</v>
      </c>
      <c r="O125" s="198">
        <f t="shared" si="8"/>
        <v>0</v>
      </c>
      <c r="P125" s="17"/>
      <c r="Q125" s="1"/>
      <c r="R125" s="1"/>
      <c r="S125" s="1"/>
    </row>
    <row r="126" spans="1:1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96"/>
      <c r="O126" s="157"/>
      <c r="P126" s="17"/>
      <c r="Q126" s="1"/>
      <c r="R126" s="1"/>
      <c r="S126" s="1"/>
    </row>
    <row r="127" spans="1:19">
      <c r="A127" s="1"/>
      <c r="B127" s="1"/>
      <c r="C127" s="7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1"/>
      <c r="Q127" s="1"/>
      <c r="R127" s="1"/>
      <c r="S127" s="1"/>
    </row>
    <row r="128" spans="1:19">
      <c r="A128" s="1"/>
      <c r="B128" s="1"/>
      <c r="C128" s="14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57"/>
      <c r="P128" s="1"/>
      <c r="Q128" s="1"/>
      <c r="R128" s="1"/>
      <c r="S128" s="1"/>
    </row>
    <row r="129" spans="1:19">
      <c r="A129" s="1"/>
      <c r="B129" s="1"/>
      <c r="C129" s="14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57"/>
      <c r="P129" s="17"/>
      <c r="Q129" s="1"/>
      <c r="R129" s="1"/>
      <c r="S129" s="1"/>
    </row>
    <row r="130" spans="1:19">
      <c r="A130" s="1"/>
      <c r="B130" s="1"/>
      <c r="C130" s="14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7"/>
      <c r="P130" s="1"/>
      <c r="Q130" s="1"/>
      <c r="R130" s="1"/>
      <c r="S130" s="1"/>
    </row>
    <row r="131" spans="1:19">
      <c r="A131" s="1"/>
      <c r="B131" s="1"/>
      <c r="C131" s="14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7"/>
      <c r="P131" s="1"/>
      <c r="Q131" s="1"/>
      <c r="R131" s="1"/>
      <c r="S131" s="1"/>
    </row>
    <row r="132" spans="1:19">
      <c r="P132" s="1"/>
    </row>
    <row r="133" spans="1:19">
      <c r="P133" s="1"/>
    </row>
    <row r="134" spans="1:19">
      <c r="P134" s="1"/>
    </row>
    <row r="135" spans="1:19">
      <c r="P135" s="1"/>
    </row>
    <row r="137" spans="1:19"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</row>
    <row r="138" spans="1:19">
      <c r="J138" s="154"/>
      <c r="K138" s="154"/>
      <c r="L138" s="154"/>
      <c r="M138" s="154"/>
      <c r="N138" s="154"/>
      <c r="O138" s="154"/>
    </row>
    <row r="139" spans="1:19">
      <c r="D139" s="200"/>
    </row>
    <row r="141" spans="1:19">
      <c r="J141" s="201"/>
    </row>
    <row r="143" spans="1:19">
      <c r="C14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5" footer="0.25"/>
  <pageSetup scale="48" fitToHeight="2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view="pageBreakPreview" zoomScale="80" zoomScaleNormal="70" zoomScaleSheetLayoutView="80" workbookViewId="0">
      <selection activeCell="M32" sqref="M32"/>
    </sheetView>
  </sheetViews>
  <sheetFormatPr defaultColWidth="7.109375" defaultRowHeight="15"/>
  <cols>
    <col min="1" max="1" width="4.6640625" style="154" customWidth="1"/>
    <col min="2" max="2" width="7.21875" style="154" customWidth="1"/>
    <col min="3" max="3" width="54.21875" style="154" customWidth="1"/>
    <col min="4" max="4" width="13.109375" style="154" bestFit="1" customWidth="1"/>
    <col min="5" max="6" width="11.109375" style="154" customWidth="1"/>
    <col min="7" max="8" width="13.109375" style="154" bestFit="1" customWidth="1"/>
    <col min="9" max="9" width="11.109375" style="154" customWidth="1"/>
    <col min="10" max="10" width="10.88671875" style="154" customWidth="1"/>
    <col min="11" max="14" width="13.109375" style="154" bestFit="1" customWidth="1"/>
    <col min="15" max="15" width="12.44140625" style="154" customWidth="1"/>
    <col min="16" max="16" width="12.44140625" style="154" bestFit="1" customWidth="1"/>
    <col min="17" max="17" width="12.44140625" style="154" customWidth="1"/>
    <col min="18" max="18" width="12.5546875" style="154" customWidth="1"/>
    <col min="19" max="19" width="11.33203125" style="154" bestFit="1" customWidth="1"/>
    <col min="20" max="16384" width="7.109375" style="154"/>
  </cols>
  <sheetData>
    <row r="1" spans="1:17">
      <c r="A1" s="276" t="s">
        <v>361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17"/>
    </row>
    <row r="2" spans="1:17">
      <c r="A2" s="276" t="s">
        <v>362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17"/>
    </row>
    <row r="3" spans="1:17" ht="15.75">
      <c r="A3" s="276" t="s">
        <v>330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7"/>
    </row>
    <row r="4" spans="1:17">
      <c r="A4" s="276" t="s">
        <v>364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17"/>
    </row>
    <row r="5" spans="1:17">
      <c r="A5" s="17"/>
      <c r="B5" s="202"/>
      <c r="C5" s="202"/>
      <c r="D5" s="202"/>
      <c r="E5" s="202"/>
      <c r="F5" s="202"/>
      <c r="G5" s="203"/>
      <c r="H5" s="202"/>
      <c r="I5" s="202"/>
      <c r="J5" s="202"/>
      <c r="K5" s="202"/>
      <c r="L5" s="202"/>
      <c r="M5" s="202"/>
      <c r="N5" s="202"/>
      <c r="O5" s="202"/>
      <c r="P5" s="17"/>
      <c r="Q5" s="17"/>
    </row>
    <row r="6" spans="1:17" ht="15.75">
      <c r="A6" s="156" t="str">
        <f>'C.2.2 B 09'!A6</f>
        <v>Data:___X____Base Period________Forecasted Period</v>
      </c>
      <c r="B6" s="17"/>
      <c r="C6" s="156"/>
      <c r="D6" s="20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57" t="s">
        <v>214</v>
      </c>
      <c r="Q6" s="17"/>
    </row>
    <row r="7" spans="1:17">
      <c r="A7" s="156" t="str">
        <f>'C.2.2 B 09'!A7</f>
        <v>Type of Filing:___X____Original________Updated ________Revised</v>
      </c>
      <c r="B7" s="17"/>
      <c r="C7" s="15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59" t="s">
        <v>215</v>
      </c>
      <c r="Q7" s="17"/>
    </row>
    <row r="8" spans="1:17">
      <c r="A8" s="160" t="str">
        <f>'C.2.2 B 09'!A8</f>
        <v>Workpaper Reference No(s).____________________</v>
      </c>
      <c r="B8" s="161"/>
      <c r="C8" s="206"/>
      <c r="D8" s="162"/>
      <c r="E8" s="162"/>
      <c r="F8" s="162"/>
      <c r="G8" s="162"/>
      <c r="H8" s="162"/>
      <c r="I8" s="162"/>
      <c r="J8" s="162"/>
      <c r="K8" s="162"/>
      <c r="L8" s="162"/>
      <c r="M8" s="161"/>
      <c r="N8" s="161"/>
      <c r="O8" s="161"/>
      <c r="P8" s="163" t="str">
        <f>'C.1'!J9</f>
        <v>Witness: Waller, Densman</v>
      </c>
      <c r="Q8" s="17"/>
    </row>
    <row r="9" spans="1:17">
      <c r="A9" s="164" t="s">
        <v>9</v>
      </c>
      <c r="B9" s="165" t="s">
        <v>216</v>
      </c>
      <c r="C9" s="166"/>
      <c r="D9" s="207" t="str">
        <f>'C.2.2 B 09'!D9</f>
        <v>actual</v>
      </c>
      <c r="E9" s="207" t="str">
        <f>'C.2.2 B 09'!F9</f>
        <v>actual</v>
      </c>
      <c r="F9" s="207" t="str">
        <f>'C.2.2 B 09'!F9</f>
        <v>actual</v>
      </c>
      <c r="G9" s="207" t="str">
        <f>'C.2.2 B 09'!G9</f>
        <v>actual</v>
      </c>
      <c r="H9" s="207" t="str">
        <f>'C.2.2 B 09'!H9</f>
        <v>actual</v>
      </c>
      <c r="I9" s="207" t="str">
        <f>'C.2.2 B 09'!I9</f>
        <v>actual</v>
      </c>
      <c r="J9" s="207" t="str">
        <f>'C.2.2 B 09'!J9</f>
        <v>actual</v>
      </c>
      <c r="K9" s="207" t="str">
        <f>'C.2.2 B 09'!K9</f>
        <v>actual</v>
      </c>
      <c r="L9" s="207" t="str">
        <f>'C.2.2 B 09'!L9</f>
        <v>actual</v>
      </c>
      <c r="M9" s="207" t="str">
        <f>'C.2.2 B 09'!M9</f>
        <v>actual</v>
      </c>
      <c r="N9" s="207" t="str">
        <f>'C.2.2 B 09'!N9</f>
        <v>Budgeted</v>
      </c>
      <c r="O9" s="207" t="str">
        <f>'C.2.2 B 09'!O9</f>
        <v>Budgeted</v>
      </c>
      <c r="P9" s="209"/>
      <c r="Q9" s="77"/>
    </row>
    <row r="10" spans="1:17">
      <c r="A10" s="169" t="s">
        <v>12</v>
      </c>
      <c r="B10" s="170" t="s">
        <v>12</v>
      </c>
      <c r="C10" s="171" t="s">
        <v>219</v>
      </c>
      <c r="D10" s="210">
        <f>'C.2.2 B 09'!D10</f>
        <v>43101</v>
      </c>
      <c r="E10" s="210">
        <f>'C.2.2 B 09'!F10</f>
        <v>43160</v>
      </c>
      <c r="F10" s="210">
        <f>'C.2.2 B 09'!F10</f>
        <v>43160</v>
      </c>
      <c r="G10" s="210">
        <f>'C.2.2 B 09'!G10</f>
        <v>43191</v>
      </c>
      <c r="H10" s="210">
        <f>'C.2.2 B 09'!H10</f>
        <v>43221</v>
      </c>
      <c r="I10" s="210">
        <f>'C.2.2 B 09'!I10</f>
        <v>43252</v>
      </c>
      <c r="J10" s="210">
        <f>'C.2.2 B 09'!J10</f>
        <v>43282</v>
      </c>
      <c r="K10" s="210">
        <f>'C.2.2 B 09'!K10</f>
        <v>43313</v>
      </c>
      <c r="L10" s="210">
        <f>'C.2.2 B 09'!L10</f>
        <v>43344</v>
      </c>
      <c r="M10" s="210">
        <f>'C.2.2 B 09'!M10</f>
        <v>43374</v>
      </c>
      <c r="N10" s="210">
        <f>'C.2.2 B 09'!N10</f>
        <v>43405</v>
      </c>
      <c r="O10" s="210">
        <f>'C.2.2 B 09'!O10</f>
        <v>43435</v>
      </c>
      <c r="P10" s="210" t="str">
        <f>'C.2.2 B 09'!P10</f>
        <v>Total</v>
      </c>
      <c r="Q10" s="225"/>
    </row>
    <row r="11" spans="1:17">
      <c r="A11" s="17"/>
      <c r="B11" s="17"/>
      <c r="C11" s="17"/>
      <c r="D11" s="64" t="s">
        <v>221</v>
      </c>
      <c r="E11" s="64" t="s">
        <v>221</v>
      </c>
      <c r="F11" s="64" t="s">
        <v>221</v>
      </c>
      <c r="G11" s="64" t="s">
        <v>221</v>
      </c>
      <c r="H11" s="64" t="s">
        <v>221</v>
      </c>
      <c r="I11" s="64" t="s">
        <v>221</v>
      </c>
      <c r="J11" s="64" t="s">
        <v>221</v>
      </c>
      <c r="K11" s="64" t="s">
        <v>221</v>
      </c>
      <c r="L11" s="64" t="s">
        <v>221</v>
      </c>
      <c r="M11" s="64" t="s">
        <v>221</v>
      </c>
      <c r="N11" s="64" t="s">
        <v>221</v>
      </c>
      <c r="O11" s="64" t="s">
        <v>221</v>
      </c>
      <c r="P11" s="64" t="s">
        <v>221</v>
      </c>
      <c r="Q11" s="64"/>
    </row>
    <row r="12" spans="1:17">
      <c r="A12" s="77">
        <v>1</v>
      </c>
      <c r="B12" s="175">
        <v>4030</v>
      </c>
      <c r="C12" s="17" t="s">
        <v>59</v>
      </c>
      <c r="D12" s="178">
        <v>5.7639226724859327E-11</v>
      </c>
      <c r="E12" s="178">
        <v>0</v>
      </c>
      <c r="F12" s="178">
        <v>0</v>
      </c>
      <c r="G12" s="178">
        <v>-1.1641532182693481E-10</v>
      </c>
      <c r="H12" s="178">
        <v>9.7315933089703321E-11</v>
      </c>
      <c r="I12" s="178">
        <v>-8.7311491370201111E-11</v>
      </c>
      <c r="J12" s="269">
        <v>-1.3278622645884752E-10</v>
      </c>
      <c r="K12" s="269">
        <v>1.1713296999005252E-11</v>
      </c>
      <c r="L12" s="269">
        <v>1.2732925824820995E-11</v>
      </c>
      <c r="M12" s="269">
        <v>4.1836756281554699E-11</v>
      </c>
      <c r="N12" s="113">
        <v>0</v>
      </c>
      <c r="O12" s="113">
        <v>0</v>
      </c>
      <c r="P12" s="17">
        <f t="shared" ref="P12:P25" si="0">SUM(D12:O12)</f>
        <v>-1.1527490073603985E-10</v>
      </c>
      <c r="Q12" s="158"/>
    </row>
    <row r="13" spans="1:17">
      <c r="A13" s="77">
        <f>A12+1</f>
        <v>2</v>
      </c>
      <c r="B13" s="175">
        <v>4081</v>
      </c>
      <c r="C13" s="17" t="s">
        <v>225</v>
      </c>
      <c r="D13" s="178">
        <v>1.3926637620897964E-11</v>
      </c>
      <c r="E13" s="178">
        <v>-1.6143530956469476E-11</v>
      </c>
      <c r="F13" s="178">
        <v>-6.986056177993305E-11</v>
      </c>
      <c r="G13" s="178">
        <v>1.0000000021543443E-2</v>
      </c>
      <c r="H13" s="178">
        <v>2.1827872842550278E-11</v>
      </c>
      <c r="I13" s="178">
        <v>-2.9103830456733704E-11</v>
      </c>
      <c r="J13" s="269">
        <v>-9.999999967394535E-3</v>
      </c>
      <c r="K13" s="269">
        <v>9.9999999530471229E-3</v>
      </c>
      <c r="L13" s="269">
        <v>1.0000000105947038E-2</v>
      </c>
      <c r="M13" s="269">
        <v>-1.0000000056379577E-2</v>
      </c>
      <c r="N13" s="113">
        <v>0</v>
      </c>
      <c r="O13" s="113">
        <v>0</v>
      </c>
      <c r="P13" s="17">
        <f t="shared" si="0"/>
        <v>9.999999977410079E-3</v>
      </c>
      <c r="Q13" s="17"/>
    </row>
    <row r="14" spans="1:17">
      <c r="A14" s="77">
        <f t="shared" ref="A14:A35" si="1">A13+1</f>
        <v>3</v>
      </c>
      <c r="B14" s="175">
        <v>8700</v>
      </c>
      <c r="C14" s="17" t="s">
        <v>272</v>
      </c>
      <c r="D14" s="178">
        <v>0</v>
      </c>
      <c r="E14" s="178">
        <v>395</v>
      </c>
      <c r="F14" s="178">
        <v>0</v>
      </c>
      <c r="G14" s="178">
        <v>0</v>
      </c>
      <c r="H14" s="178">
        <v>1136.92</v>
      </c>
      <c r="I14" s="178">
        <v>3315.76</v>
      </c>
      <c r="J14" s="269">
        <v>899.07</v>
      </c>
      <c r="K14" s="269">
        <v>1626.55</v>
      </c>
      <c r="L14" s="269"/>
      <c r="M14" s="269"/>
      <c r="N14" s="113">
        <v>851.17315243804569</v>
      </c>
      <c r="O14" s="113">
        <v>985.18111044666125</v>
      </c>
      <c r="P14" s="17">
        <f t="shared" si="0"/>
        <v>9209.6542628847074</v>
      </c>
      <c r="Q14" s="17"/>
    </row>
    <row r="15" spans="1:17">
      <c r="A15" s="77">
        <f t="shared" si="1"/>
        <v>4</v>
      </c>
      <c r="B15" s="175">
        <v>8740</v>
      </c>
      <c r="C15" s="17" t="s">
        <v>276</v>
      </c>
      <c r="D15" s="178">
        <v>1599.32</v>
      </c>
      <c r="E15" s="178">
        <v>1400.53</v>
      </c>
      <c r="F15" s="178">
        <v>1614.3</v>
      </c>
      <c r="G15" s="178">
        <v>1672.3899999999999</v>
      </c>
      <c r="H15" s="178">
        <v>1408.5</v>
      </c>
      <c r="I15" s="178">
        <v>1470.71</v>
      </c>
      <c r="J15" s="269">
        <v>2529.37</v>
      </c>
      <c r="K15" s="269">
        <v>2733.37</v>
      </c>
      <c r="L15" s="269">
        <v>2531.81</v>
      </c>
      <c r="M15" s="269">
        <v>2703.89</v>
      </c>
      <c r="N15" s="113">
        <v>1723.8940021102183</v>
      </c>
      <c r="O15" s="113">
        <v>1723.8940021102183</v>
      </c>
      <c r="P15" s="17">
        <f t="shared" si="0"/>
        <v>23111.978004220433</v>
      </c>
      <c r="Q15" s="17"/>
    </row>
    <row r="16" spans="1:17">
      <c r="A16" s="77">
        <f t="shared" si="1"/>
        <v>5</v>
      </c>
      <c r="B16" s="175">
        <v>8800</v>
      </c>
      <c r="C16" s="17" t="s">
        <v>282</v>
      </c>
      <c r="D16" s="178">
        <f>0</f>
        <v>0</v>
      </c>
      <c r="E16" s="178">
        <f>0</f>
        <v>0</v>
      </c>
      <c r="F16" s="178">
        <f>0</f>
        <v>0</v>
      </c>
      <c r="G16" s="178">
        <f>0</f>
        <v>0</v>
      </c>
      <c r="H16" s="178">
        <f>0</f>
        <v>0</v>
      </c>
      <c r="I16" s="178">
        <f>0</f>
        <v>0</v>
      </c>
      <c r="J16" s="269"/>
      <c r="K16" s="269"/>
      <c r="L16" s="269"/>
      <c r="M16" s="269"/>
      <c r="N16" s="113">
        <v>0</v>
      </c>
      <c r="O16" s="113">
        <v>0</v>
      </c>
      <c r="P16" s="17">
        <f t="shared" si="0"/>
        <v>0</v>
      </c>
      <c r="Q16" s="17"/>
    </row>
    <row r="17" spans="1:17">
      <c r="A17" s="77">
        <f>A16+1</f>
        <v>6</v>
      </c>
      <c r="B17" s="175">
        <v>9010</v>
      </c>
      <c r="C17" s="17" t="s">
        <v>293</v>
      </c>
      <c r="D17" s="178">
        <v>352196.32999999996</v>
      </c>
      <c r="E17" s="178">
        <v>307312.05</v>
      </c>
      <c r="F17" s="178">
        <v>349670.04999999993</v>
      </c>
      <c r="G17" s="178">
        <v>327959.96000000002</v>
      </c>
      <c r="H17" s="178">
        <v>361871.54000000004</v>
      </c>
      <c r="I17" s="178">
        <v>319906.17</v>
      </c>
      <c r="J17" s="269">
        <v>338689.34999999992</v>
      </c>
      <c r="K17" s="269">
        <v>359484.08999999997</v>
      </c>
      <c r="L17" s="269">
        <v>346146.01</v>
      </c>
      <c r="M17" s="269">
        <v>354101.64000000007</v>
      </c>
      <c r="N17" s="113">
        <v>432744.33587342472</v>
      </c>
      <c r="O17" s="113">
        <v>412755.17005839758</v>
      </c>
      <c r="P17" s="17">
        <f t="shared" si="0"/>
        <v>4262836.6959318221</v>
      </c>
      <c r="Q17" s="17"/>
    </row>
    <row r="18" spans="1:17">
      <c r="A18" s="77">
        <f t="shared" si="1"/>
        <v>7</v>
      </c>
      <c r="B18" s="175">
        <v>9020</v>
      </c>
      <c r="C18" s="17" t="s">
        <v>294</v>
      </c>
      <c r="D18" s="178">
        <f>0</f>
        <v>0</v>
      </c>
      <c r="E18" s="178">
        <f>0</f>
        <v>0</v>
      </c>
      <c r="F18" s="178">
        <f>0</f>
        <v>0</v>
      </c>
      <c r="G18" s="178">
        <f>0</f>
        <v>0</v>
      </c>
      <c r="H18" s="178">
        <f>0</f>
        <v>0</v>
      </c>
      <c r="I18" s="178">
        <f>0</f>
        <v>0</v>
      </c>
      <c r="J18" s="269">
        <v>213.1</v>
      </c>
      <c r="K18" s="269"/>
      <c r="L18" s="269"/>
      <c r="M18" s="269"/>
      <c r="N18" s="113">
        <v>0</v>
      </c>
      <c r="O18" s="113">
        <v>0</v>
      </c>
      <c r="P18" s="17">
        <f t="shared" si="0"/>
        <v>213.1</v>
      </c>
      <c r="Q18" s="17"/>
    </row>
    <row r="19" spans="1:17">
      <c r="A19" s="77">
        <f t="shared" si="1"/>
        <v>8</v>
      </c>
      <c r="B19" s="175">
        <v>9030</v>
      </c>
      <c r="C19" s="17" t="s">
        <v>295</v>
      </c>
      <c r="D19" s="178">
        <v>1741679.5099999995</v>
      </c>
      <c r="E19" s="178">
        <v>1492515.87</v>
      </c>
      <c r="F19" s="178">
        <v>1708357.45</v>
      </c>
      <c r="G19" s="178">
        <v>1522186.24</v>
      </c>
      <c r="H19" s="178">
        <v>1617145.7900000003</v>
      </c>
      <c r="I19" s="178">
        <v>1504396.51</v>
      </c>
      <c r="J19" s="269">
        <v>1539796.0199999998</v>
      </c>
      <c r="K19" s="269">
        <v>1489810.8499999999</v>
      </c>
      <c r="L19" s="269">
        <v>1411448.1300000001</v>
      </c>
      <c r="M19" s="269">
        <v>1612313.0799999998</v>
      </c>
      <c r="N19" s="113">
        <v>1880332.0047753695</v>
      </c>
      <c r="O19" s="113">
        <v>1794672.0841757173</v>
      </c>
      <c r="P19" s="17">
        <f t="shared" si="0"/>
        <v>19314653.538951088</v>
      </c>
      <c r="Q19" s="17"/>
    </row>
    <row r="20" spans="1:17">
      <c r="A20" s="77">
        <f t="shared" si="1"/>
        <v>9</v>
      </c>
      <c r="B20" s="175">
        <v>9200</v>
      </c>
      <c r="C20" s="17" t="s">
        <v>302</v>
      </c>
      <c r="D20" s="178">
        <v>372337.49999999988</v>
      </c>
      <c r="E20" s="178">
        <v>306657.81</v>
      </c>
      <c r="F20" s="178">
        <v>349705.97000000003</v>
      </c>
      <c r="G20" s="178">
        <v>390956.49000000005</v>
      </c>
      <c r="H20" s="178">
        <v>367637.88000000006</v>
      </c>
      <c r="I20" s="178">
        <v>344048.59999999992</v>
      </c>
      <c r="J20" s="269">
        <v>368535.07999999996</v>
      </c>
      <c r="K20" s="269">
        <v>375909.25999999989</v>
      </c>
      <c r="L20" s="269">
        <v>255686.94999999992</v>
      </c>
      <c r="M20" s="269">
        <v>370865.95</v>
      </c>
      <c r="N20" s="113">
        <v>417906.00648276997</v>
      </c>
      <c r="O20" s="113">
        <v>398790.66969390755</v>
      </c>
      <c r="P20" s="17">
        <f t="shared" si="0"/>
        <v>4319038.1661766777</v>
      </c>
      <c r="Q20" s="17"/>
    </row>
    <row r="21" spans="1:17">
      <c r="A21" s="77">
        <f t="shared" si="1"/>
        <v>10</v>
      </c>
      <c r="B21" s="175">
        <v>9210</v>
      </c>
      <c r="C21" s="17" t="s">
        <v>303</v>
      </c>
      <c r="D21" s="178">
        <v>589411.78000000014</v>
      </c>
      <c r="E21" s="178">
        <v>605657.49</v>
      </c>
      <c r="F21" s="178">
        <v>714835.34000000008</v>
      </c>
      <c r="G21" s="178">
        <v>706341.24000000022</v>
      </c>
      <c r="H21" s="178">
        <v>644057.04999999993</v>
      </c>
      <c r="I21" s="178">
        <v>628961.27</v>
      </c>
      <c r="J21" s="269">
        <v>695623.86999999976</v>
      </c>
      <c r="K21" s="269">
        <v>658076.2899999998</v>
      </c>
      <c r="L21" s="269">
        <v>812977.11999999965</v>
      </c>
      <c r="M21" s="269">
        <v>750175.30000000016</v>
      </c>
      <c r="N21" s="113">
        <v>150561.90957695534</v>
      </c>
      <c r="O21" s="113">
        <v>151915.91380028042</v>
      </c>
      <c r="P21" s="17">
        <f t="shared" si="0"/>
        <v>7108594.5733772349</v>
      </c>
      <c r="Q21" s="17"/>
    </row>
    <row r="22" spans="1:17">
      <c r="A22" s="77">
        <f t="shared" si="1"/>
        <v>11</v>
      </c>
      <c r="B22" s="175">
        <v>9220</v>
      </c>
      <c r="C22" s="17" t="s">
        <v>304</v>
      </c>
      <c r="D22" s="178">
        <v>-4107535.8400000003</v>
      </c>
      <c r="E22" s="178">
        <v>-3616023.3699999996</v>
      </c>
      <c r="F22" s="178">
        <v>-3896278.8499999996</v>
      </c>
      <c r="G22" s="178">
        <v>-3884435.4500000007</v>
      </c>
      <c r="H22" s="178">
        <v>-4070220.4099999997</v>
      </c>
      <c r="I22" s="178">
        <v>-3717146.5799999996</v>
      </c>
      <c r="J22" s="269">
        <v>-3921979.8700000015</v>
      </c>
      <c r="K22" s="269">
        <v>-3819195.2899999991</v>
      </c>
      <c r="L22" s="269">
        <v>-3931348.36</v>
      </c>
      <c r="M22" s="269">
        <v>-4066731.3499999982</v>
      </c>
      <c r="N22" s="113">
        <f t="shared" ref="N22:O22" si="2">-(SUM(N12:N21)+SUM(N23:N28))</f>
        <v>-3873414.9432999995</v>
      </c>
      <c r="O22" s="113">
        <f t="shared" si="2"/>
        <v>-3711715.1247</v>
      </c>
      <c r="P22" s="17">
        <f t="shared" si="0"/>
        <v>-46616025.438000001</v>
      </c>
      <c r="Q22" s="158"/>
    </row>
    <row r="23" spans="1:17">
      <c r="A23" s="77">
        <f t="shared" si="1"/>
        <v>12</v>
      </c>
      <c r="B23" s="175">
        <v>9230</v>
      </c>
      <c r="C23" s="17" t="s">
        <v>305</v>
      </c>
      <c r="D23" s="178">
        <v>85331.510000000009</v>
      </c>
      <c r="E23" s="178">
        <v>57129.81</v>
      </c>
      <c r="F23" s="178">
        <v>52402.36</v>
      </c>
      <c r="G23" s="178">
        <v>61633.69</v>
      </c>
      <c r="H23" s="178">
        <v>103506.25</v>
      </c>
      <c r="I23" s="178">
        <v>59967.729999999996</v>
      </c>
      <c r="J23" s="269">
        <v>55816.85</v>
      </c>
      <c r="K23" s="269">
        <v>63367.899999999994</v>
      </c>
      <c r="L23" s="269">
        <v>336281.58</v>
      </c>
      <c r="M23" s="269">
        <v>40038.06</v>
      </c>
      <c r="N23" s="113">
        <v>34085.951459102653</v>
      </c>
      <c r="O23" s="113">
        <v>30999.572912707095</v>
      </c>
      <c r="P23" s="17">
        <f t="shared" si="0"/>
        <v>980561.26437180978</v>
      </c>
      <c r="Q23" s="17"/>
    </row>
    <row r="24" spans="1:17">
      <c r="A24" s="77">
        <f t="shared" si="1"/>
        <v>13</v>
      </c>
      <c r="B24" s="175">
        <v>9240</v>
      </c>
      <c r="C24" s="17" t="s">
        <v>306</v>
      </c>
      <c r="D24" s="178">
        <v>8105.89</v>
      </c>
      <c r="E24" s="178">
        <v>8105.89</v>
      </c>
      <c r="F24" s="178">
        <v>7660.39</v>
      </c>
      <c r="G24" s="178">
        <v>7660.39</v>
      </c>
      <c r="H24" s="178">
        <v>7660.39</v>
      </c>
      <c r="I24" s="178">
        <v>7660.39</v>
      </c>
      <c r="J24" s="269">
        <v>7660.39</v>
      </c>
      <c r="K24" s="269">
        <v>7660.39</v>
      </c>
      <c r="L24" s="269">
        <v>7660.39</v>
      </c>
      <c r="M24" s="269">
        <v>7660.39</v>
      </c>
      <c r="N24" s="113">
        <v>0</v>
      </c>
      <c r="O24" s="113">
        <v>0</v>
      </c>
      <c r="P24" s="17">
        <f t="shared" si="0"/>
        <v>77494.900000000009</v>
      </c>
      <c r="Q24" s="17"/>
    </row>
    <row r="25" spans="1:17">
      <c r="A25" s="77">
        <f t="shared" si="1"/>
        <v>14</v>
      </c>
      <c r="B25" s="175">
        <v>9250</v>
      </c>
      <c r="C25" s="154" t="s">
        <v>307</v>
      </c>
      <c r="D25" s="178">
        <v>17.28</v>
      </c>
      <c r="E25" s="178">
        <v>17.28</v>
      </c>
      <c r="F25" s="178">
        <v>17.28</v>
      </c>
      <c r="G25" s="178">
        <v>0</v>
      </c>
      <c r="H25" s="178">
        <v>0</v>
      </c>
      <c r="I25" s="178">
        <v>0</v>
      </c>
      <c r="J25" s="269"/>
      <c r="K25" s="269"/>
      <c r="L25" s="269"/>
      <c r="M25" s="269"/>
      <c r="N25" s="113">
        <v>0</v>
      </c>
      <c r="O25" s="113">
        <v>0</v>
      </c>
      <c r="P25" s="17">
        <f t="shared" si="0"/>
        <v>51.84</v>
      </c>
      <c r="Q25" s="17"/>
    </row>
    <row r="26" spans="1:17">
      <c r="A26" s="77">
        <f t="shared" si="1"/>
        <v>15</v>
      </c>
      <c r="B26" s="175">
        <v>9260</v>
      </c>
      <c r="C26" s="17" t="s">
        <v>308</v>
      </c>
      <c r="D26" s="178">
        <v>823774.28000000014</v>
      </c>
      <c r="E26" s="178">
        <v>704864.38000000012</v>
      </c>
      <c r="F26" s="178">
        <v>579503.47000000009</v>
      </c>
      <c r="G26" s="178">
        <v>731729.77999999991</v>
      </c>
      <c r="H26" s="178">
        <v>834566.24999999965</v>
      </c>
      <c r="I26" s="178">
        <v>715361.59</v>
      </c>
      <c r="J26" s="269">
        <v>780545.6100000001</v>
      </c>
      <c r="K26" s="269">
        <v>729220.4099999998</v>
      </c>
      <c r="L26" s="269">
        <v>626442.83999999985</v>
      </c>
      <c r="M26" s="269">
        <v>797772.34</v>
      </c>
      <c r="N26" s="113">
        <v>823530.30407971423</v>
      </c>
      <c r="O26" s="113">
        <v>787853.33520255669</v>
      </c>
      <c r="P26" s="17">
        <f>SUM(D26:O26)</f>
        <v>8935164.5892822705</v>
      </c>
      <c r="Q26" s="17"/>
    </row>
    <row r="27" spans="1:17">
      <c r="A27" s="77">
        <f t="shared" si="1"/>
        <v>16</v>
      </c>
      <c r="B27" s="175">
        <v>9310</v>
      </c>
      <c r="C27" s="17" t="s">
        <v>200</v>
      </c>
      <c r="D27" s="178">
        <v>131073.48000000001</v>
      </c>
      <c r="E27" s="178">
        <v>131911.15</v>
      </c>
      <c r="F27" s="178">
        <v>131577.41</v>
      </c>
      <c r="G27" s="178">
        <v>134295.28</v>
      </c>
      <c r="H27" s="178">
        <v>131229.85999999999</v>
      </c>
      <c r="I27" s="178">
        <v>131089.63999999998</v>
      </c>
      <c r="J27" s="269">
        <v>131083.84</v>
      </c>
      <c r="K27" s="269">
        <v>131086.69999999998</v>
      </c>
      <c r="L27" s="269">
        <v>131301.96000000002</v>
      </c>
      <c r="M27" s="269">
        <v>131100.71</v>
      </c>
      <c r="N27" s="113">
        <v>131675.40025483278</v>
      </c>
      <c r="O27" s="113">
        <v>132010.25789532339</v>
      </c>
      <c r="P27" s="17">
        <f>SUM(D27:O27)</f>
        <v>1579435.6881501563</v>
      </c>
      <c r="Q27" s="17"/>
    </row>
    <row r="28" spans="1:17">
      <c r="A28" s="77">
        <f t="shared" si="1"/>
        <v>17</v>
      </c>
      <c r="B28" s="175">
        <v>9320</v>
      </c>
      <c r="C28" s="17" t="s">
        <v>312</v>
      </c>
      <c r="D28" s="178">
        <v>2008.94</v>
      </c>
      <c r="E28" s="178">
        <v>56.08</v>
      </c>
      <c r="F28" s="178">
        <v>934.84</v>
      </c>
      <c r="G28" s="178">
        <v>0</v>
      </c>
      <c r="H28" s="178">
        <v>0</v>
      </c>
      <c r="I28" s="178">
        <v>968.25</v>
      </c>
      <c r="J28" s="269">
        <v>587.33000000000004</v>
      </c>
      <c r="K28" s="269">
        <v>219.54</v>
      </c>
      <c r="L28" s="269">
        <v>871.57</v>
      </c>
      <c r="M28" s="269"/>
      <c r="N28" s="113">
        <v>3.9636432819734515</v>
      </c>
      <c r="O28" s="113">
        <v>9.0458485527945491</v>
      </c>
      <c r="P28" s="17">
        <f>SUM(D28:O28)</f>
        <v>5659.5594918347679</v>
      </c>
      <c r="Q28" s="17"/>
    </row>
    <row r="29" spans="1:17">
      <c r="A29" s="77">
        <f t="shared" si="1"/>
        <v>18</v>
      </c>
      <c r="B29" s="17"/>
      <c r="C29" s="215"/>
      <c r="D29" s="192"/>
      <c r="E29" s="192"/>
      <c r="F29" s="192"/>
      <c r="G29" s="192"/>
      <c r="H29" s="192"/>
      <c r="I29" s="192"/>
      <c r="J29" s="272"/>
      <c r="K29" s="272"/>
      <c r="L29" s="272"/>
      <c r="M29" s="272"/>
      <c r="N29" s="192"/>
      <c r="O29" s="192"/>
      <c r="P29" s="17"/>
      <c r="Q29" s="17"/>
    </row>
    <row r="30" spans="1:17" ht="15.75" thickBot="1">
      <c r="A30" s="77">
        <f t="shared" si="1"/>
        <v>19</v>
      </c>
      <c r="B30" s="17" t="s">
        <v>313</v>
      </c>
      <c r="C30" s="215"/>
      <c r="D30" s="216">
        <f>SUM(D12:D28)</f>
        <v>-2.0000000166419341E-2</v>
      </c>
      <c r="E30" s="216">
        <f t="shared" ref="E30:P30" si="3">SUM(E12:E29)</f>
        <v>-2.9999999433059088E-2</v>
      </c>
      <c r="F30" s="216">
        <f t="shared" si="3"/>
        <v>1.0000000827744771E-2</v>
      </c>
      <c r="G30" s="216">
        <f t="shared" si="3"/>
        <v>1.999999929103069E-2</v>
      </c>
      <c r="H30" s="216">
        <f t="shared" si="3"/>
        <v>2.0000000135041773E-2</v>
      </c>
      <c r="I30" s="216">
        <f t="shared" si="3"/>
        <v>4.0000000357395038E-2</v>
      </c>
      <c r="J30" s="216">
        <f t="shared" si="3"/>
        <v>-2.2572521629626863E-9</v>
      </c>
      <c r="K30" s="216">
        <f t="shared" si="3"/>
        <v>7.0000000639112159E-2</v>
      </c>
      <c r="L30" s="216">
        <f t="shared" si="3"/>
        <v>9.9999998859630068E-3</v>
      </c>
      <c r="M30" s="216">
        <f t="shared" si="3"/>
        <v>1.8917489796876907E-9</v>
      </c>
      <c r="N30" s="216">
        <f t="shared" si="3"/>
        <v>-1.2547696215392534E-10</v>
      </c>
      <c r="O30" s="216">
        <f t="shared" si="3"/>
        <v>-9.9763752814396867E-11</v>
      </c>
      <c r="P30" s="216">
        <f t="shared" si="3"/>
        <v>0.12000000027637725</v>
      </c>
      <c r="Q30" s="226"/>
    </row>
    <row r="31" spans="1:17" ht="15.75" thickTop="1">
      <c r="A31" s="77">
        <f t="shared" si="1"/>
        <v>20</v>
      </c>
      <c r="B31" s="17"/>
      <c r="C31" s="2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A32" s="77">
        <f t="shared" si="1"/>
        <v>21</v>
      </c>
      <c r="B32" s="175">
        <f>B22</f>
        <v>9220</v>
      </c>
      <c r="C32" s="227" t="str">
        <f>C22</f>
        <v>A&amp;G-Administrative expense transferred-Credit</v>
      </c>
      <c r="D32" s="217">
        <f>D22</f>
        <v>-4107535.8400000003</v>
      </c>
      <c r="E32" s="217">
        <f t="shared" ref="E32:I32" si="4">E22</f>
        <v>-3616023.3699999996</v>
      </c>
      <c r="F32" s="217">
        <f t="shared" si="4"/>
        <v>-3896278.8499999996</v>
      </c>
      <c r="G32" s="217">
        <f t="shared" si="4"/>
        <v>-3884435.4500000007</v>
      </c>
      <c r="H32" s="217">
        <f t="shared" si="4"/>
        <v>-4070220.4099999997</v>
      </c>
      <c r="I32" s="217">
        <f t="shared" si="4"/>
        <v>-3717146.5799999996</v>
      </c>
      <c r="J32" s="217">
        <f t="shared" ref="J32:M32" si="5">J22</f>
        <v>-3921979.8700000015</v>
      </c>
      <c r="K32" s="217">
        <f t="shared" si="5"/>
        <v>-3819195.2899999991</v>
      </c>
      <c r="L32" s="217">
        <f t="shared" si="5"/>
        <v>-3931348.36</v>
      </c>
      <c r="M32" s="217">
        <f t="shared" si="5"/>
        <v>-4066731.3499999982</v>
      </c>
      <c r="N32" s="228">
        <f>N22</f>
        <v>-3873414.9432999995</v>
      </c>
      <c r="O32" s="228">
        <f>O22</f>
        <v>-3711715.1247</v>
      </c>
      <c r="P32" s="17">
        <f t="shared" ref="P32" si="6">SUM(D32:O32)</f>
        <v>-46616025.438000001</v>
      </c>
      <c r="Q32" s="17"/>
    </row>
    <row r="33" spans="1:17">
      <c r="A33" s="77">
        <f t="shared" si="1"/>
        <v>22</v>
      </c>
      <c r="B33" s="17"/>
      <c r="C33" s="218" t="s">
        <v>324</v>
      </c>
      <c r="D33" s="219">
        <f>D34/D32</f>
        <v>4.5425395484802386E-2</v>
      </c>
      <c r="E33" s="219">
        <f t="shared" ref="E33:I33" si="7">E34/E32</f>
        <v>4.5008688646832502E-2</v>
      </c>
      <c r="F33" s="219">
        <f t="shared" si="7"/>
        <v>4.5234786006140199E-2</v>
      </c>
      <c r="G33" s="219">
        <f t="shared" si="7"/>
        <v>4.4863950564553716E-2</v>
      </c>
      <c r="H33" s="219">
        <f t="shared" si="7"/>
        <v>4.5404575522729494E-2</v>
      </c>
      <c r="I33" s="219">
        <f t="shared" si="7"/>
        <v>4.3839586761735945E-2</v>
      </c>
      <c r="J33" s="219">
        <f t="shared" ref="J33:M33" si="8">J34/J32</f>
        <v>4.4609068837469561E-2</v>
      </c>
      <c r="K33" s="219">
        <f t="shared" si="8"/>
        <v>4.4492658033205741E-2</v>
      </c>
      <c r="L33" s="219">
        <f t="shared" si="8"/>
        <v>4.0045805047914912E-2</v>
      </c>
      <c r="M33" s="219">
        <f t="shared" si="8"/>
        <v>5.3404449743158E-2</v>
      </c>
      <c r="N33" s="219">
        <v>5.6412179785543033E-2</v>
      </c>
      <c r="O33" s="219">
        <v>5.6412179785543033E-2</v>
      </c>
      <c r="P33" s="219">
        <f t="shared" ref="P33" si="9">P34/P32</f>
        <v>4.7087100422410412E-2</v>
      </c>
      <c r="Q33" s="17"/>
    </row>
    <row r="34" spans="1:17">
      <c r="A34" s="77">
        <f t="shared" si="1"/>
        <v>23</v>
      </c>
      <c r="B34" s="17"/>
      <c r="C34" s="17" t="s">
        <v>325</v>
      </c>
      <c r="D34" s="17">
        <v>-186586.44</v>
      </c>
      <c r="E34" s="17">
        <v>-162752.47</v>
      </c>
      <c r="F34" s="17">
        <v>-176247.34</v>
      </c>
      <c r="G34" s="17">
        <v>-174271.12</v>
      </c>
      <c r="H34" s="17">
        <v>-184806.63</v>
      </c>
      <c r="I34" s="17">
        <v>-162958.17000000001</v>
      </c>
      <c r="J34" s="17">
        <v>-174955.87</v>
      </c>
      <c r="K34" s="17">
        <v>-169926.15</v>
      </c>
      <c r="L34" s="17">
        <v>-157434.01</v>
      </c>
      <c r="M34" s="17">
        <v>-217181.55</v>
      </c>
      <c r="N34" s="17">
        <f t="shared" ref="N34:O34" si="10">N32*N33</f>
        <v>-218507.78016544855</v>
      </c>
      <c r="O34" s="17">
        <f t="shared" si="10"/>
        <v>-209385.94092729568</v>
      </c>
      <c r="P34" s="17">
        <f>SUM(D34:O34)</f>
        <v>-2195013.4710927443</v>
      </c>
      <c r="Q34" s="17"/>
    </row>
    <row r="35" spans="1:17">
      <c r="A35" s="77">
        <f t="shared" si="1"/>
        <v>24</v>
      </c>
      <c r="B35" s="17"/>
      <c r="C35" s="21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53"/>
      <c r="P35" s="229"/>
      <c r="Q35" s="17"/>
    </row>
    <row r="36" spans="1:17">
      <c r="A36" s="17"/>
      <c r="B36" s="17"/>
      <c r="C36" s="21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53"/>
      <c r="P36" s="153"/>
      <c r="Q36" s="17"/>
    </row>
    <row r="37" spans="1:17">
      <c r="A37" s="17"/>
      <c r="B37" s="17" t="s">
        <v>326</v>
      </c>
      <c r="C37" s="215"/>
      <c r="D37" s="226"/>
      <c r="E37" s="226"/>
      <c r="F37" s="226"/>
      <c r="G37" s="226"/>
      <c r="H37" s="226"/>
      <c r="I37" s="226"/>
      <c r="J37" s="17"/>
      <c r="K37" s="17"/>
      <c r="L37" s="17"/>
      <c r="M37" s="17"/>
      <c r="N37" s="17"/>
      <c r="O37" s="17"/>
      <c r="P37" s="226"/>
      <c r="Q37" s="17"/>
    </row>
    <row r="38" spans="1:17">
      <c r="A38" s="17"/>
      <c r="B38" s="17"/>
      <c r="C38" s="17"/>
      <c r="D38" s="153"/>
      <c r="E38" s="153"/>
      <c r="F38" s="153"/>
      <c r="G38" s="153"/>
      <c r="H38" s="153"/>
      <c r="I38" s="153"/>
      <c r="J38" s="17"/>
      <c r="K38" s="153"/>
      <c r="L38" s="153"/>
      <c r="M38" s="153"/>
      <c r="N38" s="153"/>
      <c r="O38" s="153"/>
      <c r="P38" s="153"/>
      <c r="Q38" s="153"/>
    </row>
    <row r="39" spans="1:17">
      <c r="A39" s="17"/>
      <c r="B39" s="17"/>
      <c r="C39" s="1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8"/>
      <c r="Q39" s="153"/>
    </row>
    <row r="40" spans="1:17">
      <c r="A40" s="17"/>
      <c r="B40" s="17" t="s">
        <v>316</v>
      </c>
      <c r="C40" s="1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>
      <c r="A41" s="17"/>
      <c r="B41" s="17" t="s">
        <v>331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20"/>
      <c r="Q41" s="17"/>
    </row>
    <row r="42" spans="1:17">
      <c r="A42" s="17"/>
      <c r="B42" s="17" t="s">
        <v>318</v>
      </c>
      <c r="C42" s="17"/>
      <c r="D42" s="22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53"/>
      <c r="P43" s="153"/>
      <c r="Q43" s="17"/>
    </row>
    <row r="44" spans="1:17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53"/>
      <c r="P44" s="153"/>
      <c r="Q44" s="17"/>
    </row>
    <row r="45" spans="1:17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3"/>
      <c r="P45" s="153"/>
      <c r="Q45" s="17"/>
    </row>
    <row r="46" spans="1:17">
      <c r="A46" s="17"/>
      <c r="B46" s="17"/>
      <c r="C46" s="15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>
      <c r="A50" s="17"/>
    </row>
    <row r="52" spans="1:17">
      <c r="C52" s="158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7"/>
  <sheetViews>
    <sheetView view="pageBreakPreview" zoomScale="80" zoomScaleNormal="70" zoomScaleSheetLayoutView="80" workbookViewId="0">
      <pane xSplit="3" ySplit="11" topLeftCell="D36" activePane="bottomRight" state="frozen"/>
      <selection sqref="A1:J1"/>
      <selection pane="topRight" sqref="A1:J1"/>
      <selection pane="bottomLeft" sqref="A1:J1"/>
      <selection pane="bottomRight" activeCell="J60" sqref="J60"/>
    </sheetView>
  </sheetViews>
  <sheetFormatPr defaultColWidth="7.109375" defaultRowHeight="15"/>
  <cols>
    <col min="1" max="1" width="6.21875" style="154" customWidth="1"/>
    <col min="2" max="2" width="7.21875" style="154" customWidth="1"/>
    <col min="3" max="3" width="38.88671875" style="154" customWidth="1"/>
    <col min="4" max="5" width="11.109375" style="154" customWidth="1"/>
    <col min="6" max="6" width="11.77734375" style="154" bestFit="1" customWidth="1"/>
    <col min="7" max="7" width="11.33203125" style="154" bestFit="1" customWidth="1"/>
    <col min="8" max="8" width="11.109375" style="154" customWidth="1"/>
    <col min="9" max="9" width="12" style="154" bestFit="1" customWidth="1"/>
    <col min="10" max="13" width="11.33203125" style="154" bestFit="1" customWidth="1"/>
    <col min="14" max="14" width="12.44140625" style="154" customWidth="1"/>
    <col min="15" max="15" width="10.5546875" style="154" bestFit="1" customWidth="1"/>
    <col min="16" max="16" width="12.44140625" style="154" customWidth="1"/>
    <col min="17" max="17" width="12.5546875" style="154" customWidth="1"/>
    <col min="18" max="16384" width="7.109375" style="154"/>
  </cols>
  <sheetData>
    <row r="1" spans="1:18">
      <c r="A1" s="276" t="s">
        <v>361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17"/>
      <c r="R1" s="17"/>
    </row>
    <row r="2" spans="1:18">
      <c r="A2" s="276" t="s">
        <v>362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17"/>
      <c r="R2" s="17"/>
    </row>
    <row r="3" spans="1:18" ht="15.75">
      <c r="A3" s="276" t="s">
        <v>332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7"/>
      <c r="R3" s="17"/>
    </row>
    <row r="4" spans="1:18">
      <c r="A4" s="276" t="s">
        <v>364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17"/>
      <c r="R4" s="17"/>
    </row>
    <row r="5" spans="1:18">
      <c r="A5" s="17"/>
      <c r="B5" s="202"/>
      <c r="C5" s="202"/>
      <c r="D5" s="202"/>
      <c r="E5" s="202"/>
      <c r="F5" s="202"/>
      <c r="G5" s="203"/>
      <c r="H5" s="202"/>
      <c r="I5" s="202"/>
      <c r="J5" s="202"/>
      <c r="K5" s="202"/>
      <c r="L5" s="202"/>
      <c r="M5" s="202"/>
      <c r="N5" s="202"/>
      <c r="O5" s="202"/>
      <c r="P5" s="17"/>
      <c r="Q5" s="17"/>
      <c r="R5" s="17"/>
    </row>
    <row r="6" spans="1:18" ht="15.75">
      <c r="A6" s="156" t="str">
        <f>'C.2.2 B 09'!A6</f>
        <v>Data:___X____Base Period________Forecasted Period</v>
      </c>
      <c r="B6" s="17"/>
      <c r="C6" s="156"/>
      <c r="D6" s="17"/>
      <c r="E6" s="17"/>
      <c r="F6" s="204"/>
      <c r="G6" s="17"/>
      <c r="H6" s="17"/>
      <c r="I6" s="17"/>
      <c r="J6" s="17"/>
      <c r="K6" s="17"/>
      <c r="L6" s="17"/>
      <c r="M6" s="17"/>
      <c r="N6" s="17"/>
      <c r="O6" s="17"/>
      <c r="P6" s="157" t="s">
        <v>214</v>
      </c>
      <c r="Q6" s="17"/>
      <c r="R6" s="17"/>
    </row>
    <row r="7" spans="1:18">
      <c r="A7" s="156" t="str">
        <f>'C.2.2 B 09'!A7</f>
        <v>Type of Filing:___X____Original________Updated ________Revised</v>
      </c>
      <c r="B7" s="17"/>
      <c r="C7" s="15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59" t="s">
        <v>215</v>
      </c>
      <c r="Q7" s="17"/>
      <c r="R7" s="17"/>
    </row>
    <row r="8" spans="1:18">
      <c r="A8" s="160" t="str">
        <f>'C.2.2 B 09'!A8</f>
        <v>Workpaper Reference No(s).____________________</v>
      </c>
      <c r="B8" s="161"/>
      <c r="C8" s="206"/>
      <c r="D8" s="162"/>
      <c r="E8" s="162"/>
      <c r="F8" s="162"/>
      <c r="G8" s="162"/>
      <c r="H8" s="162"/>
      <c r="I8" s="162"/>
      <c r="J8" s="162"/>
      <c r="K8" s="162"/>
      <c r="L8" s="162"/>
      <c r="M8" s="161"/>
      <c r="N8" s="161"/>
      <c r="O8" s="161"/>
      <c r="P8" s="163" t="str">
        <f>'C.1'!J9</f>
        <v>Witness: Waller, Densman</v>
      </c>
      <c r="Q8" s="17"/>
      <c r="R8" s="17"/>
    </row>
    <row r="9" spans="1:18">
      <c r="A9" s="164" t="s">
        <v>9</v>
      </c>
      <c r="B9" s="165" t="s">
        <v>216</v>
      </c>
      <c r="C9" s="166"/>
      <c r="D9" s="207" t="str">
        <f>'C.2.2 B 09'!D9</f>
        <v>actual</v>
      </c>
      <c r="E9" s="207" t="str">
        <f>'C.2.2 B 09'!F9</f>
        <v>actual</v>
      </c>
      <c r="F9" s="207" t="str">
        <f>'C.2.2 B 09'!F9</f>
        <v>actual</v>
      </c>
      <c r="G9" s="207" t="str">
        <f>'C.2.2 B 09'!G9</f>
        <v>actual</v>
      </c>
      <c r="H9" s="207" t="str">
        <f>'C.2.2 B 09'!H9</f>
        <v>actual</v>
      </c>
      <c r="I9" s="207" t="str">
        <f>'C.2.2 B 09'!I9</f>
        <v>actual</v>
      </c>
      <c r="J9" s="207" t="str">
        <f>'C.2.2 B 09'!J9</f>
        <v>actual</v>
      </c>
      <c r="K9" s="207" t="str">
        <f>'C.2.2 B 09'!K9</f>
        <v>actual</v>
      </c>
      <c r="L9" s="207" t="str">
        <f>'C.2.2 B 09'!L9</f>
        <v>actual</v>
      </c>
      <c r="M9" s="207" t="str">
        <f>'C.2.2 B 09'!M9</f>
        <v>actual</v>
      </c>
      <c r="N9" s="207" t="str">
        <f>'C.2.2 B 09'!N9</f>
        <v>Budgeted</v>
      </c>
      <c r="O9" s="207" t="str">
        <f>'C.2.2 B 09'!O9</f>
        <v>Budgeted</v>
      </c>
      <c r="P9" s="209"/>
      <c r="Q9" s="77"/>
      <c r="R9" s="77"/>
    </row>
    <row r="10" spans="1:18">
      <c r="A10" s="169" t="s">
        <v>12</v>
      </c>
      <c r="B10" s="170" t="s">
        <v>12</v>
      </c>
      <c r="C10" s="171" t="s">
        <v>219</v>
      </c>
      <c r="D10" s="210">
        <f>'C.2.2 B 09'!D10</f>
        <v>43101</v>
      </c>
      <c r="E10" s="210">
        <f>'C.2.2 B 09'!E10</f>
        <v>43132</v>
      </c>
      <c r="F10" s="210">
        <f>'C.2.2 B 09'!F10</f>
        <v>43160</v>
      </c>
      <c r="G10" s="210">
        <f>'C.2.2 B 09'!G10</f>
        <v>43191</v>
      </c>
      <c r="H10" s="210">
        <f>'C.2.2 B 09'!H10</f>
        <v>43221</v>
      </c>
      <c r="I10" s="210">
        <f>'C.2.2 B 09'!I10</f>
        <v>43252</v>
      </c>
      <c r="J10" s="210">
        <f>'C.2.2 B 09'!J10</f>
        <v>43282</v>
      </c>
      <c r="K10" s="210">
        <f>'C.2.2 B 09'!K10</f>
        <v>43313</v>
      </c>
      <c r="L10" s="210">
        <f>'C.2.2 B 09'!L10</f>
        <v>43344</v>
      </c>
      <c r="M10" s="210">
        <f>'C.2.2 B 09'!M10</f>
        <v>43374</v>
      </c>
      <c r="N10" s="210">
        <f>'C.2.2 B 09'!N10</f>
        <v>43405</v>
      </c>
      <c r="O10" s="210">
        <f>'C.2.2 B 09'!O10</f>
        <v>43435</v>
      </c>
      <c r="P10" s="210" t="str">
        <f>'C.2.2 B 09'!P10</f>
        <v>Total</v>
      </c>
      <c r="Q10" s="225"/>
      <c r="R10" s="77"/>
    </row>
    <row r="11" spans="1:18">
      <c r="A11" s="17"/>
      <c r="B11" s="17"/>
      <c r="C11" s="17"/>
      <c r="D11" s="64" t="s">
        <v>221</v>
      </c>
      <c r="E11" s="64" t="s">
        <v>221</v>
      </c>
      <c r="F11" s="64" t="s">
        <v>221</v>
      </c>
      <c r="G11" s="64" t="s">
        <v>221</v>
      </c>
      <c r="H11" s="64" t="s">
        <v>221</v>
      </c>
      <c r="I11" s="64" t="s">
        <v>221</v>
      </c>
      <c r="J11" s="64" t="s">
        <v>221</v>
      </c>
      <c r="K11" s="64" t="s">
        <v>221</v>
      </c>
      <c r="L11" s="64" t="s">
        <v>221</v>
      </c>
      <c r="M11" s="64" t="s">
        <v>221</v>
      </c>
      <c r="N11" s="64" t="s">
        <v>221</v>
      </c>
      <c r="O11" s="64" t="s">
        <v>221</v>
      </c>
      <c r="P11" s="64" t="s">
        <v>221</v>
      </c>
      <c r="Q11" s="64"/>
      <c r="R11" s="17"/>
    </row>
    <row r="12" spans="1:18">
      <c r="A12" s="17"/>
      <c r="B12" s="175" t="s">
        <v>209</v>
      </c>
      <c r="C12" s="176" t="s">
        <v>222</v>
      </c>
      <c r="D12" s="178">
        <v>3834544.8</v>
      </c>
      <c r="E12" s="178">
        <v>3389683.01</v>
      </c>
      <c r="F12" s="178">
        <v>-10554542</v>
      </c>
      <c r="G12" s="178">
        <v>1775436.38</v>
      </c>
      <c r="H12" s="178">
        <v>196481.18</v>
      </c>
      <c r="I12" s="178">
        <v>-1971503</v>
      </c>
      <c r="J12" s="178"/>
      <c r="K12" s="113"/>
      <c r="L12" s="113"/>
      <c r="M12" s="113"/>
      <c r="N12" s="113"/>
      <c r="O12" s="113"/>
      <c r="P12" s="17">
        <f t="shared" ref="P12:P15" si="0">SUM(D12:O12)</f>
        <v>-3329899.6300000008</v>
      </c>
      <c r="Q12" s="64"/>
      <c r="R12" s="17"/>
    </row>
    <row r="13" spans="1:18">
      <c r="A13" s="17"/>
      <c r="B13" s="17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7">
        <f t="shared" si="0"/>
        <v>0</v>
      </c>
      <c r="Q13" s="64"/>
      <c r="R13" s="17"/>
    </row>
    <row r="14" spans="1:18">
      <c r="A14" s="77">
        <v>1</v>
      </c>
      <c r="B14" s="175">
        <v>4030</v>
      </c>
      <c r="C14" s="17" t="s">
        <v>59</v>
      </c>
      <c r="D14" s="178">
        <v>-4.2632564145606011E-13</v>
      </c>
      <c r="E14" s="178">
        <v>-2.9842794901924208E-13</v>
      </c>
      <c r="F14" s="178">
        <v>-1.2789769243681803E-13</v>
      </c>
      <c r="G14" s="178">
        <v>-2.8421709430404007E-13</v>
      </c>
      <c r="H14" s="178">
        <v>-2.5579538487363607E-13</v>
      </c>
      <c r="I14" s="178">
        <v>1.0000000000118803E-2</v>
      </c>
      <c r="J14" s="269">
        <v>1.2789769243681803E-13</v>
      </c>
      <c r="K14" s="269">
        <v>-2.2737367544323206E-13</v>
      </c>
      <c r="L14" s="269">
        <v>-9.9999999996640554E-3</v>
      </c>
      <c r="M14" s="269">
        <v>-8.5265128291212022E-14</v>
      </c>
      <c r="N14" s="113">
        <v>0</v>
      </c>
      <c r="O14" s="113">
        <v>0</v>
      </c>
      <c r="P14" s="17">
        <f t="shared" si="0"/>
        <v>-1.1226575225009583E-12</v>
      </c>
      <c r="Q14" s="158"/>
      <c r="R14" s="17"/>
    </row>
    <row r="15" spans="1:18">
      <c r="A15" s="77">
        <f>A14+1</f>
        <v>2</v>
      </c>
      <c r="B15" s="175" t="s">
        <v>333</v>
      </c>
      <c r="C15" s="17" t="s">
        <v>224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269">
        <v>0</v>
      </c>
      <c r="K15" s="269">
        <v>0</v>
      </c>
      <c r="L15" s="269">
        <v>0</v>
      </c>
      <c r="M15" s="269">
        <v>1.0000000000218279E-2</v>
      </c>
      <c r="N15" s="113"/>
      <c r="O15" s="113"/>
      <c r="P15" s="17">
        <f t="shared" si="0"/>
        <v>1.0000000000218279E-2</v>
      </c>
      <c r="Q15" s="158"/>
      <c r="R15" s="17"/>
    </row>
    <row r="16" spans="1:18">
      <c r="A16" s="77">
        <f t="shared" ref="A16:A59" si="1">A15+1</f>
        <v>3</v>
      </c>
      <c r="B16" s="175">
        <v>4081</v>
      </c>
      <c r="C16" s="17" t="s">
        <v>225</v>
      </c>
      <c r="D16" s="178">
        <v>1.0000000009313226E-2</v>
      </c>
      <c r="E16" s="178">
        <v>-6.1186167243931777E-11</v>
      </c>
      <c r="F16" s="178">
        <v>-9.9999999931128514E-3</v>
      </c>
      <c r="G16" s="178">
        <v>8.8817841970012523E-13</v>
      </c>
      <c r="H16" s="178">
        <v>1.9999999981905603E-2</v>
      </c>
      <c r="I16" s="178">
        <v>113942.48999999989</v>
      </c>
      <c r="J16" s="269">
        <v>1.3073986337985843E-11</v>
      </c>
      <c r="K16" s="269">
        <v>-9.9999999889632818E-3</v>
      </c>
      <c r="L16" s="269">
        <v>1.0913936421275139E-11</v>
      </c>
      <c r="M16" s="269">
        <v>1.1937117960769683E-12</v>
      </c>
      <c r="N16" s="113">
        <v>0</v>
      </c>
      <c r="O16" s="113">
        <v>0</v>
      </c>
      <c r="P16" s="17">
        <f t="shared" ref="P16:P53" si="2">SUM(D16:O16)</f>
        <v>113942.49999999985</v>
      </c>
      <c r="Q16" s="17"/>
      <c r="R16" s="17"/>
    </row>
    <row r="17" spans="1:18">
      <c r="A17" s="77">
        <f t="shared" si="1"/>
        <v>4</v>
      </c>
      <c r="B17" s="175">
        <v>8170</v>
      </c>
      <c r="C17" s="17" t="s">
        <v>254</v>
      </c>
      <c r="D17" s="178">
        <v>47.02</v>
      </c>
      <c r="E17" s="178">
        <v>48.37</v>
      </c>
      <c r="F17" s="178">
        <v>44.57</v>
      </c>
      <c r="G17" s="178">
        <v>43.43</v>
      </c>
      <c r="H17" s="178">
        <v>39.32</v>
      </c>
      <c r="I17" s="178">
        <v>41.59</v>
      </c>
      <c r="J17" s="269">
        <v>42.26</v>
      </c>
      <c r="K17" s="269">
        <v>44.22</v>
      </c>
      <c r="L17" s="269">
        <v>43</v>
      </c>
      <c r="M17" s="269">
        <v>42.99</v>
      </c>
      <c r="N17" s="113">
        <v>40.202989655695617</v>
      </c>
      <c r="O17" s="113">
        <v>40.754726350190971</v>
      </c>
      <c r="P17" s="17">
        <f t="shared" si="2"/>
        <v>517.72771600588658</v>
      </c>
      <c r="Q17" s="17"/>
      <c r="R17" s="17"/>
    </row>
    <row r="18" spans="1:18">
      <c r="A18" s="77">
        <f t="shared" si="1"/>
        <v>5</v>
      </c>
      <c r="B18" s="175">
        <v>8180</v>
      </c>
      <c r="C18" s="17" t="s">
        <v>255</v>
      </c>
      <c r="D18" s="178">
        <v>48.879999999999995</v>
      </c>
      <c r="E18" s="178">
        <v>50.289999999999964</v>
      </c>
      <c r="F18" s="178">
        <v>46.340000000000032</v>
      </c>
      <c r="G18" s="178">
        <v>45.160000000000025</v>
      </c>
      <c r="H18" s="178">
        <v>40.880000000000024</v>
      </c>
      <c r="I18" s="178">
        <v>36.180000000000035</v>
      </c>
      <c r="J18" s="269">
        <v>45.25</v>
      </c>
      <c r="K18" s="269">
        <v>47.539999999999964</v>
      </c>
      <c r="L18" s="269">
        <v>46.210000000000008</v>
      </c>
      <c r="M18" s="269">
        <v>30.089999999999975</v>
      </c>
      <c r="N18" s="113">
        <v>40.724731065150962</v>
      </c>
      <c r="O18" s="113">
        <v>41.283628020191628</v>
      </c>
      <c r="P18" s="17">
        <f t="shared" si="2"/>
        <v>518.82835908534253</v>
      </c>
      <c r="Q18" s="17"/>
      <c r="R18" s="17"/>
    </row>
    <row r="19" spans="1:18">
      <c r="A19" s="77">
        <f t="shared" si="1"/>
        <v>6</v>
      </c>
      <c r="B19" s="175">
        <v>8190</v>
      </c>
      <c r="C19" s="17" t="s">
        <v>256</v>
      </c>
      <c r="D19" s="178">
        <v>383.55</v>
      </c>
      <c r="E19" s="178">
        <v>10.26</v>
      </c>
      <c r="F19" s="178">
        <v>502</v>
      </c>
      <c r="G19" s="178">
        <v>70.14</v>
      </c>
      <c r="H19" s="178">
        <v>9.85</v>
      </c>
      <c r="I19" s="178">
        <v>599.29</v>
      </c>
      <c r="J19" s="269">
        <v>1460.5</v>
      </c>
      <c r="K19" s="269">
        <v>1990.67</v>
      </c>
      <c r="L19" s="269">
        <v>1088.5899999999999</v>
      </c>
      <c r="M19" s="269">
        <v>2186.34</v>
      </c>
      <c r="N19" s="113">
        <v>239.58882700260912</v>
      </c>
      <c r="O19" s="113">
        <v>242.87688962134803</v>
      </c>
      <c r="P19" s="17">
        <f t="shared" si="2"/>
        <v>8783.6557166239581</v>
      </c>
      <c r="Q19" s="17"/>
      <c r="R19" s="17"/>
    </row>
    <row r="20" spans="1:18">
      <c r="A20" s="77">
        <f t="shared" si="1"/>
        <v>7</v>
      </c>
      <c r="B20" s="175">
        <v>8210</v>
      </c>
      <c r="C20" s="17" t="s">
        <v>258</v>
      </c>
      <c r="D20" s="178">
        <v>519.27</v>
      </c>
      <c r="E20" s="178">
        <v>411.45000000000005</v>
      </c>
      <c r="F20" s="178">
        <v>374.24</v>
      </c>
      <c r="G20" s="178">
        <v>192.34</v>
      </c>
      <c r="H20" s="178">
        <v>111.9</v>
      </c>
      <c r="I20" s="178">
        <v>107.28</v>
      </c>
      <c r="J20" s="269">
        <v>135.48999999999998</v>
      </c>
      <c r="K20" s="269">
        <v>93.36999999999999</v>
      </c>
      <c r="L20" s="269">
        <v>93.04</v>
      </c>
      <c r="M20" s="269">
        <v>135.32</v>
      </c>
      <c r="N20" s="113">
        <v>261.09582930082632</v>
      </c>
      <c r="O20" s="113">
        <v>264.67904913195531</v>
      </c>
      <c r="P20" s="17">
        <f t="shared" si="2"/>
        <v>2699.4748784327812</v>
      </c>
      <c r="Q20" s="17"/>
      <c r="R20" s="17"/>
    </row>
    <row r="21" spans="1:18">
      <c r="A21" s="77">
        <f t="shared" si="1"/>
        <v>8</v>
      </c>
      <c r="B21" s="175">
        <v>8240</v>
      </c>
      <c r="C21" s="17" t="s">
        <v>259</v>
      </c>
      <c r="D21" s="178">
        <f>0</f>
        <v>0</v>
      </c>
      <c r="E21" s="178">
        <f>0</f>
        <v>0</v>
      </c>
      <c r="F21" s="178">
        <f>0</f>
        <v>0</v>
      </c>
      <c r="G21" s="178">
        <f>0</f>
        <v>0</v>
      </c>
      <c r="H21" s="178">
        <f>0</f>
        <v>0</v>
      </c>
      <c r="I21" s="178">
        <f>0</f>
        <v>0</v>
      </c>
      <c r="J21" s="269"/>
      <c r="K21" s="269"/>
      <c r="L21" s="269"/>
      <c r="M21" s="269"/>
      <c r="N21" s="113">
        <v>0</v>
      </c>
      <c r="O21" s="113">
        <v>0</v>
      </c>
      <c r="P21" s="17">
        <f t="shared" si="2"/>
        <v>0</v>
      </c>
      <c r="Q21" s="17"/>
      <c r="R21" s="17"/>
    </row>
    <row r="22" spans="1:18">
      <c r="A22" s="77">
        <f t="shared" si="1"/>
        <v>9</v>
      </c>
      <c r="B22" s="175">
        <v>8250</v>
      </c>
      <c r="C22" s="17" t="s">
        <v>260</v>
      </c>
      <c r="D22" s="178">
        <v>3345.0399999999995</v>
      </c>
      <c r="E22" s="178">
        <v>956.67000000000007</v>
      </c>
      <c r="F22" s="178">
        <v>2383.56</v>
      </c>
      <c r="G22" s="178">
        <v>3108.65</v>
      </c>
      <c r="H22" s="178">
        <v>841.48</v>
      </c>
      <c r="I22" s="178">
        <v>571.55999999999995</v>
      </c>
      <c r="J22" s="269">
        <v>159.07</v>
      </c>
      <c r="K22" s="269">
        <v>515.24</v>
      </c>
      <c r="L22" s="269">
        <v>102.52999999999999</v>
      </c>
      <c r="M22" s="269">
        <v>1210.25</v>
      </c>
      <c r="N22" s="113">
        <v>1704.7041125682729</v>
      </c>
      <c r="O22" s="113">
        <v>1728.0990844401672</v>
      </c>
      <c r="P22" s="17">
        <f t="shared" si="2"/>
        <v>16626.853197008437</v>
      </c>
      <c r="Q22" s="17"/>
      <c r="R22" s="17"/>
    </row>
    <row r="23" spans="1:18">
      <c r="A23" s="77"/>
      <c r="B23" s="175">
        <v>8500</v>
      </c>
      <c r="C23" s="17" t="s">
        <v>141</v>
      </c>
      <c r="D23" s="178">
        <f>0</f>
        <v>0</v>
      </c>
      <c r="E23" s="178">
        <f>0</f>
        <v>0</v>
      </c>
      <c r="F23" s="178">
        <f>0</f>
        <v>0</v>
      </c>
      <c r="G23" s="178">
        <f>0</f>
        <v>0</v>
      </c>
      <c r="H23" s="178">
        <f>0</f>
        <v>0</v>
      </c>
      <c r="I23" s="178">
        <f>0</f>
        <v>0</v>
      </c>
      <c r="J23" s="269"/>
      <c r="K23" s="269"/>
      <c r="L23" s="269"/>
      <c r="M23" s="269"/>
      <c r="N23" s="113">
        <v>0</v>
      </c>
      <c r="O23" s="113">
        <v>0</v>
      </c>
      <c r="P23" s="17">
        <f t="shared" si="2"/>
        <v>0</v>
      </c>
      <c r="Q23" s="17"/>
      <c r="R23" s="17"/>
    </row>
    <row r="24" spans="1:18">
      <c r="A24" s="77">
        <f>A22+1</f>
        <v>10</v>
      </c>
      <c r="B24" s="175">
        <v>8560</v>
      </c>
      <c r="C24" s="17" t="s">
        <v>267</v>
      </c>
      <c r="D24" s="178">
        <v>62.850000000000023</v>
      </c>
      <c r="E24" s="178">
        <v>64.649999999999977</v>
      </c>
      <c r="F24" s="178">
        <v>59.569999999999993</v>
      </c>
      <c r="G24" s="178">
        <v>58.06</v>
      </c>
      <c r="H24" s="178">
        <v>52.56</v>
      </c>
      <c r="I24" s="178">
        <v>46.520000000000039</v>
      </c>
      <c r="J24" s="269">
        <v>58.180000000000007</v>
      </c>
      <c r="K24" s="269">
        <v>61.120000000000005</v>
      </c>
      <c r="L24" s="269">
        <v>59.410000000000025</v>
      </c>
      <c r="M24" s="269">
        <v>38.69</v>
      </c>
      <c r="N24" s="113">
        <v>52.358195495221253</v>
      </c>
      <c r="O24" s="113">
        <v>53.076747472566126</v>
      </c>
      <c r="P24" s="17">
        <f t="shared" si="2"/>
        <v>667.04494296778751</v>
      </c>
      <c r="Q24" s="17"/>
      <c r="R24" s="17"/>
    </row>
    <row r="25" spans="1:18">
      <c r="A25" s="77">
        <f t="shared" si="1"/>
        <v>11</v>
      </c>
      <c r="B25" s="175">
        <v>8570</v>
      </c>
      <c r="C25" s="17" t="s">
        <v>268</v>
      </c>
      <c r="D25" s="178">
        <v>94.04</v>
      </c>
      <c r="E25" s="178">
        <v>96.74</v>
      </c>
      <c r="F25" s="178">
        <v>89.14</v>
      </c>
      <c r="G25" s="178">
        <v>86.87</v>
      </c>
      <c r="H25" s="178">
        <v>78.63</v>
      </c>
      <c r="I25" s="178">
        <v>83.19</v>
      </c>
      <c r="J25" s="269">
        <v>84.52</v>
      </c>
      <c r="K25" s="269">
        <v>88.43</v>
      </c>
      <c r="L25" s="269">
        <v>85.99</v>
      </c>
      <c r="M25" s="269">
        <v>85.98</v>
      </c>
      <c r="N25" s="113">
        <v>80.407500423372142</v>
      </c>
      <c r="O25" s="113">
        <v>81.510994687758028</v>
      </c>
      <c r="P25" s="17">
        <f t="shared" si="2"/>
        <v>1035.4484951111301</v>
      </c>
      <c r="Q25" s="17"/>
      <c r="R25" s="230"/>
    </row>
    <row r="26" spans="1:18">
      <c r="A26" s="77">
        <f t="shared" si="1"/>
        <v>12</v>
      </c>
      <c r="B26" s="175">
        <v>8650</v>
      </c>
      <c r="C26" s="231" t="s">
        <v>334</v>
      </c>
      <c r="D26" s="178"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444.74</v>
      </c>
      <c r="J26" s="269">
        <v>240.34</v>
      </c>
      <c r="K26" s="269"/>
      <c r="L26" s="269"/>
      <c r="M26" s="269"/>
      <c r="N26" s="113">
        <v>70.442018540508542</v>
      </c>
      <c r="O26" s="113">
        <v>96.505257345864763</v>
      </c>
      <c r="P26" s="17">
        <f t="shared" si="2"/>
        <v>852.02727588637333</v>
      </c>
      <c r="Q26" s="17"/>
      <c r="R26" s="230"/>
    </row>
    <row r="27" spans="1:18">
      <c r="A27" s="77">
        <f t="shared" si="1"/>
        <v>13</v>
      </c>
      <c r="B27" s="175">
        <v>8700</v>
      </c>
      <c r="C27" s="17" t="s">
        <v>272</v>
      </c>
      <c r="D27" s="178">
        <v>293118.21000000002</v>
      </c>
      <c r="E27" s="178">
        <v>240515.67999999993</v>
      </c>
      <c r="F27" s="178">
        <v>223258.58999999997</v>
      </c>
      <c r="G27" s="178">
        <v>246464.21000000008</v>
      </c>
      <c r="H27" s="178">
        <v>254197.18999999994</v>
      </c>
      <c r="I27" s="178">
        <v>238115.81999999992</v>
      </c>
      <c r="J27" s="269">
        <v>293222.84999999992</v>
      </c>
      <c r="K27" s="269">
        <v>261948.65000000005</v>
      </c>
      <c r="L27" s="269">
        <v>327178.95999999996</v>
      </c>
      <c r="M27" s="269">
        <v>197298.87000000005</v>
      </c>
      <c r="N27" s="113">
        <v>348949.03615560388</v>
      </c>
      <c r="O27" s="113">
        <v>302321.29306661879</v>
      </c>
      <c r="P27" s="17">
        <f t="shared" si="2"/>
        <v>3226589.3592222226</v>
      </c>
      <c r="Q27" s="17"/>
      <c r="R27" s="230"/>
    </row>
    <row r="28" spans="1:18">
      <c r="A28" s="77">
        <f t="shared" si="1"/>
        <v>14</v>
      </c>
      <c r="B28" s="175">
        <v>8711</v>
      </c>
      <c r="C28" s="17" t="s">
        <v>274</v>
      </c>
      <c r="D28" s="178">
        <v>16631.21</v>
      </c>
      <c r="E28" s="178">
        <v>13456.7</v>
      </c>
      <c r="F28" s="178">
        <v>0</v>
      </c>
      <c r="G28" s="178">
        <v>2264.35</v>
      </c>
      <c r="H28" s="178">
        <v>0</v>
      </c>
      <c r="I28" s="178">
        <v>3084.98</v>
      </c>
      <c r="J28" s="269">
        <v>6054.12</v>
      </c>
      <c r="K28" s="269"/>
      <c r="L28" s="269"/>
      <c r="M28" s="269"/>
      <c r="N28" s="113">
        <v>5612.8765505788788</v>
      </c>
      <c r="O28" s="113">
        <v>7689.6163282528496</v>
      </c>
      <c r="P28" s="17">
        <f t="shared" si="2"/>
        <v>54793.852878831727</v>
      </c>
      <c r="Q28" s="17"/>
      <c r="R28" s="230"/>
    </row>
    <row r="29" spans="1:18">
      <c r="A29" s="77">
        <f t="shared" si="1"/>
        <v>15</v>
      </c>
      <c r="B29" s="175">
        <v>8740</v>
      </c>
      <c r="C29" s="17" t="s">
        <v>276</v>
      </c>
      <c r="D29" s="178">
        <v>14446.550000000003</v>
      </c>
      <c r="E29" s="178">
        <v>8226.41</v>
      </c>
      <c r="F29" s="178">
        <v>6437.23</v>
      </c>
      <c r="G29" s="178">
        <v>7402.23</v>
      </c>
      <c r="H29" s="178">
        <v>10511.759999999997</v>
      </c>
      <c r="I29" s="178">
        <v>-11155.189999999999</v>
      </c>
      <c r="J29" s="269">
        <v>6959.16</v>
      </c>
      <c r="K29" s="269">
        <v>7216.68</v>
      </c>
      <c r="L29" s="269">
        <v>1930.1600000000039</v>
      </c>
      <c r="M29" s="269">
        <v>6406.4600000000037</v>
      </c>
      <c r="N29" s="113">
        <v>10262.22928596758</v>
      </c>
      <c r="O29" s="113">
        <v>10807.773645629333</v>
      </c>
      <c r="P29" s="17">
        <f t="shared" si="2"/>
        <v>79451.452931596912</v>
      </c>
      <c r="Q29" s="17"/>
      <c r="R29" s="230"/>
    </row>
    <row r="30" spans="1:18">
      <c r="A30" s="77">
        <f t="shared" si="1"/>
        <v>16</v>
      </c>
      <c r="B30" s="175">
        <v>8750</v>
      </c>
      <c r="C30" s="17" t="s">
        <v>277</v>
      </c>
      <c r="D30" s="178">
        <v>12539.320000000002</v>
      </c>
      <c r="E30" s="178">
        <v>9849.65</v>
      </c>
      <c r="F30" s="178">
        <v>13718.970000000001</v>
      </c>
      <c r="G30" s="178">
        <v>18886.350000000002</v>
      </c>
      <c r="H30" s="178">
        <v>14789.86</v>
      </c>
      <c r="I30" s="178">
        <v>12619.23</v>
      </c>
      <c r="J30" s="269">
        <v>6629.41</v>
      </c>
      <c r="K30" s="269">
        <v>8372.33</v>
      </c>
      <c r="L30" s="269">
        <v>4799.91</v>
      </c>
      <c r="M30" s="269">
        <v>9200.11</v>
      </c>
      <c r="N30" s="113">
        <v>14678.386214154609</v>
      </c>
      <c r="O30" s="113">
        <v>14331.834561032712</v>
      </c>
      <c r="P30" s="17">
        <f t="shared" si="2"/>
        <v>140415.36077518735</v>
      </c>
      <c r="Q30" s="17"/>
      <c r="R30" s="230"/>
    </row>
    <row r="31" spans="1:18">
      <c r="A31" s="77">
        <f t="shared" si="1"/>
        <v>17</v>
      </c>
      <c r="B31" s="175">
        <v>8760</v>
      </c>
      <c r="C31" s="154" t="s">
        <v>278</v>
      </c>
      <c r="D31" s="178">
        <f>0</f>
        <v>0</v>
      </c>
      <c r="E31" s="178">
        <f>0</f>
        <v>0</v>
      </c>
      <c r="F31" s="178">
        <f>0</f>
        <v>0</v>
      </c>
      <c r="G31" s="178">
        <f>0</f>
        <v>0</v>
      </c>
      <c r="H31" s="178">
        <f>0</f>
        <v>0</v>
      </c>
      <c r="I31" s="178">
        <f>0</f>
        <v>0</v>
      </c>
      <c r="J31" s="269">
        <v>2195.5500000000002</v>
      </c>
      <c r="K31" s="269">
        <v>-333.63</v>
      </c>
      <c r="L31" s="269">
        <v>2916.65</v>
      </c>
      <c r="M31" s="269">
        <v>3742.01</v>
      </c>
      <c r="N31" s="113">
        <v>0</v>
      </c>
      <c r="O31" s="113">
        <v>0</v>
      </c>
      <c r="P31" s="17">
        <f t="shared" si="2"/>
        <v>8520.58</v>
      </c>
      <c r="Q31" s="17"/>
      <c r="R31" s="230"/>
    </row>
    <row r="32" spans="1:18">
      <c r="A32" s="77">
        <f t="shared" si="1"/>
        <v>18</v>
      </c>
      <c r="B32" s="175">
        <v>8770</v>
      </c>
      <c r="C32" s="17" t="s">
        <v>279</v>
      </c>
      <c r="D32" s="178">
        <v>240</v>
      </c>
      <c r="E32" s="178">
        <v>3984.12</v>
      </c>
      <c r="F32" s="178">
        <v>4153.6000000000004</v>
      </c>
      <c r="G32" s="178">
        <v>0</v>
      </c>
      <c r="H32" s="178">
        <v>2043.1</v>
      </c>
      <c r="I32" s="178">
        <v>0</v>
      </c>
      <c r="J32" s="269">
        <v>2252.89</v>
      </c>
      <c r="K32" s="269">
        <v>2269.4499999999998</v>
      </c>
      <c r="L32" s="269"/>
      <c r="M32" s="269"/>
      <c r="N32" s="113">
        <v>1650.5454774639165</v>
      </c>
      <c r="O32" s="113">
        <v>2261.2400860164016</v>
      </c>
      <c r="P32" s="17">
        <f t="shared" si="2"/>
        <v>18854.94556348032</v>
      </c>
      <c r="Q32" s="17"/>
      <c r="R32" s="230"/>
    </row>
    <row r="33" spans="1:18">
      <c r="A33" s="77">
        <f t="shared" si="1"/>
        <v>19</v>
      </c>
      <c r="B33" s="175">
        <v>8800</v>
      </c>
      <c r="C33" s="17" t="s">
        <v>282</v>
      </c>
      <c r="D33" s="178">
        <f>0</f>
        <v>0</v>
      </c>
      <c r="E33" s="178">
        <f>0</f>
        <v>0</v>
      </c>
      <c r="F33" s="178">
        <f>0</f>
        <v>0</v>
      </c>
      <c r="G33" s="178">
        <f>0</f>
        <v>0</v>
      </c>
      <c r="H33" s="178">
        <f>0</f>
        <v>0</v>
      </c>
      <c r="I33" s="178">
        <f>0</f>
        <v>0</v>
      </c>
      <c r="J33" s="269"/>
      <c r="K33" s="269"/>
      <c r="L33" s="269"/>
      <c r="M33" s="269">
        <v>38.76</v>
      </c>
      <c r="N33" s="113">
        <v>0</v>
      </c>
      <c r="O33" s="113">
        <v>0</v>
      </c>
      <c r="P33" s="17">
        <f t="shared" si="2"/>
        <v>38.76</v>
      </c>
      <c r="Q33" s="17"/>
      <c r="R33" s="230"/>
    </row>
    <row r="34" spans="1:18">
      <c r="A34" s="77">
        <f t="shared" si="1"/>
        <v>20</v>
      </c>
      <c r="B34" s="175">
        <v>8810</v>
      </c>
      <c r="C34" s="17" t="s">
        <v>283</v>
      </c>
      <c r="D34" s="178">
        <v>23863.19</v>
      </c>
      <c r="E34" s="178">
        <v>23776.409999999996</v>
      </c>
      <c r="F34" s="178">
        <v>23072.840000000004</v>
      </c>
      <c r="G34" s="178">
        <v>21788.320000000007</v>
      </c>
      <c r="H34" s="178">
        <v>23331.98</v>
      </c>
      <c r="I34" s="178">
        <v>23465.510000000002</v>
      </c>
      <c r="J34" s="269">
        <v>23562.359999999997</v>
      </c>
      <c r="K34" s="269">
        <v>26922.2</v>
      </c>
      <c r="L34" s="269">
        <v>26807.79</v>
      </c>
      <c r="M34" s="269">
        <v>26162.639999999999</v>
      </c>
      <c r="N34" s="113">
        <v>21188.823699608412</v>
      </c>
      <c r="O34" s="113">
        <v>21479.614301212601</v>
      </c>
      <c r="P34" s="17">
        <f t="shared" si="2"/>
        <v>285421.67800082098</v>
      </c>
      <c r="Q34" s="17"/>
      <c r="R34" s="230"/>
    </row>
    <row r="35" spans="1:18">
      <c r="A35" s="77">
        <f t="shared" si="1"/>
        <v>21</v>
      </c>
      <c r="B35" s="175">
        <v>9010</v>
      </c>
      <c r="C35" s="154" t="s">
        <v>293</v>
      </c>
      <c r="D35" s="178">
        <v>1990.21</v>
      </c>
      <c r="E35" s="178">
        <v>2055.58</v>
      </c>
      <c r="F35" s="178">
        <v>3097.59</v>
      </c>
      <c r="G35" s="178">
        <v>2446.7799999999997</v>
      </c>
      <c r="H35" s="178">
        <v>2901.1800000000003</v>
      </c>
      <c r="I35" s="178">
        <v>2562.1</v>
      </c>
      <c r="J35" s="269">
        <v>1444.04</v>
      </c>
      <c r="K35" s="269">
        <v>876.73</v>
      </c>
      <c r="L35" s="269">
        <v>2376.98</v>
      </c>
      <c r="M35" s="269">
        <v>2654.98</v>
      </c>
      <c r="N35" s="113">
        <v>2697.2324430215049</v>
      </c>
      <c r="O35" s="113">
        <v>2338.3397343132847</v>
      </c>
      <c r="P35" s="17">
        <f t="shared" si="2"/>
        <v>27441.742177334789</v>
      </c>
      <c r="Q35" s="17"/>
      <c r="R35" s="230"/>
    </row>
    <row r="36" spans="1:18">
      <c r="A36" s="77">
        <f t="shared" si="1"/>
        <v>22</v>
      </c>
      <c r="B36" s="175">
        <v>9020</v>
      </c>
      <c r="C36" s="154" t="s">
        <v>294</v>
      </c>
      <c r="D36" s="178">
        <f>0</f>
        <v>0</v>
      </c>
      <c r="E36" s="178">
        <f>0</f>
        <v>0</v>
      </c>
      <c r="F36" s="178">
        <f>0</f>
        <v>0</v>
      </c>
      <c r="G36" s="178">
        <f>0</f>
        <v>0</v>
      </c>
      <c r="H36" s="178">
        <f>0</f>
        <v>0</v>
      </c>
      <c r="I36" s="178">
        <f>0</f>
        <v>0</v>
      </c>
      <c r="J36" s="269"/>
      <c r="K36" s="269"/>
      <c r="L36" s="269"/>
      <c r="M36" s="269"/>
      <c r="N36" s="113">
        <v>0</v>
      </c>
      <c r="O36" s="113">
        <v>0</v>
      </c>
      <c r="P36" s="17">
        <f t="shared" si="2"/>
        <v>0</v>
      </c>
      <c r="Q36" s="17"/>
      <c r="R36" s="230"/>
    </row>
    <row r="37" spans="1:18">
      <c r="A37" s="77">
        <f t="shared" si="1"/>
        <v>23</v>
      </c>
      <c r="B37" s="175">
        <v>9030</v>
      </c>
      <c r="C37" s="17" t="s">
        <v>295</v>
      </c>
      <c r="D37" s="178">
        <v>164974.76999999999</v>
      </c>
      <c r="E37" s="178">
        <v>161951</v>
      </c>
      <c r="F37" s="178">
        <v>176360.40000000002</v>
      </c>
      <c r="G37" s="178">
        <v>160299.22000000003</v>
      </c>
      <c r="H37" s="178">
        <v>168108.4</v>
      </c>
      <c r="I37" s="178">
        <v>148875.78999999998</v>
      </c>
      <c r="J37" s="269">
        <v>148098.79</v>
      </c>
      <c r="K37" s="269">
        <v>156044.68000000002</v>
      </c>
      <c r="L37" s="269">
        <v>150073.71</v>
      </c>
      <c r="M37" s="269">
        <v>156436.59</v>
      </c>
      <c r="N37" s="113">
        <v>313968.56638822058</v>
      </c>
      <c r="O37" s="113">
        <v>325653.04248203861</v>
      </c>
      <c r="P37" s="17">
        <f t="shared" si="2"/>
        <v>2230844.9588702591</v>
      </c>
      <c r="Q37" s="17"/>
      <c r="R37" s="230"/>
    </row>
    <row r="38" spans="1:18">
      <c r="A38" s="77">
        <f t="shared" si="1"/>
        <v>24</v>
      </c>
      <c r="B38" s="175">
        <v>9090</v>
      </c>
      <c r="C38" s="17" t="s">
        <v>297</v>
      </c>
      <c r="D38" s="178"/>
      <c r="E38" s="178"/>
      <c r="F38" s="178"/>
      <c r="G38" s="178"/>
      <c r="H38" s="178"/>
      <c r="I38" s="178"/>
      <c r="J38" s="269"/>
      <c r="K38" s="269"/>
      <c r="L38" s="269"/>
      <c r="M38" s="269">
        <v>8027.83</v>
      </c>
      <c r="N38" s="113"/>
      <c r="O38" s="113"/>
      <c r="P38" s="17"/>
      <c r="Q38" s="17"/>
      <c r="R38" s="230"/>
    </row>
    <row r="39" spans="1:18">
      <c r="A39" s="77">
        <f t="shared" si="1"/>
        <v>25</v>
      </c>
      <c r="B39" s="175">
        <v>9100</v>
      </c>
      <c r="C39" s="17" t="s">
        <v>298</v>
      </c>
      <c r="D39" s="178">
        <v>79.75</v>
      </c>
      <c r="E39" s="178">
        <v>0</v>
      </c>
      <c r="F39" s="178">
        <v>61.18</v>
      </c>
      <c r="G39" s="178">
        <v>0</v>
      </c>
      <c r="H39" s="178">
        <v>394.68</v>
      </c>
      <c r="I39" s="178">
        <v>61.46</v>
      </c>
      <c r="J39" s="269">
        <v>61.46</v>
      </c>
      <c r="K39" s="269">
        <v>115.24</v>
      </c>
      <c r="L39" s="269">
        <v>53.78</v>
      </c>
      <c r="M39" s="269">
        <v>52.52</v>
      </c>
      <c r="N39" s="113">
        <v>170.1588436048599</v>
      </c>
      <c r="O39" s="113">
        <v>110.53693119059989</v>
      </c>
      <c r="P39" s="17">
        <f t="shared" si="2"/>
        <v>1160.7657747954599</v>
      </c>
      <c r="Q39" s="17"/>
      <c r="R39" s="230"/>
    </row>
    <row r="40" spans="1:18">
      <c r="A40" s="77">
        <f t="shared" si="1"/>
        <v>26</v>
      </c>
      <c r="B40" s="175">
        <v>9110</v>
      </c>
      <c r="C40" s="17" t="s">
        <v>299</v>
      </c>
      <c r="D40" s="178">
        <v>14900.009999999998</v>
      </c>
      <c r="E40" s="178">
        <v>10718.38</v>
      </c>
      <c r="F40" s="178">
        <v>14997.630000000001</v>
      </c>
      <c r="G40" s="178">
        <v>32050.83</v>
      </c>
      <c r="H40" s="178">
        <v>10611.88</v>
      </c>
      <c r="I40" s="178">
        <v>11034.450000000003</v>
      </c>
      <c r="J40" s="269">
        <v>11759.56</v>
      </c>
      <c r="K40" s="269">
        <v>11643.309999999998</v>
      </c>
      <c r="L40" s="269">
        <v>15218.33</v>
      </c>
      <c r="M40" s="269">
        <v>11908.26</v>
      </c>
      <c r="N40" s="113">
        <v>20662.916214629851</v>
      </c>
      <c r="O40" s="113">
        <v>15758.41854598453</v>
      </c>
      <c r="P40" s="17">
        <f t="shared" si="2"/>
        <v>181263.97476061439</v>
      </c>
      <c r="Q40" s="17"/>
      <c r="R40" s="230"/>
    </row>
    <row r="41" spans="1:18">
      <c r="A41" s="77">
        <f t="shared" si="1"/>
        <v>27</v>
      </c>
      <c r="B41" s="175">
        <v>9120</v>
      </c>
      <c r="C41" s="17" t="s">
        <v>300</v>
      </c>
      <c r="D41" s="178">
        <f>0</f>
        <v>0</v>
      </c>
      <c r="E41" s="178">
        <f>0</f>
        <v>0</v>
      </c>
      <c r="F41" s="178">
        <f>0</f>
        <v>0</v>
      </c>
      <c r="G41" s="178">
        <f>0</f>
        <v>0</v>
      </c>
      <c r="H41" s="178">
        <f>0</f>
        <v>0</v>
      </c>
      <c r="I41" s="178">
        <f>0</f>
        <v>0</v>
      </c>
      <c r="J41" s="269"/>
      <c r="K41" s="269"/>
      <c r="L41" s="269">
        <v>2638.03</v>
      </c>
      <c r="M41" s="269"/>
      <c r="N41" s="113">
        <v>0</v>
      </c>
      <c r="O41" s="113">
        <v>0</v>
      </c>
      <c r="P41" s="17">
        <f t="shared" si="2"/>
        <v>2638.03</v>
      </c>
      <c r="Q41" s="17"/>
      <c r="R41" s="230"/>
    </row>
    <row r="42" spans="1:18">
      <c r="A42" s="77">
        <f t="shared" si="1"/>
        <v>28</v>
      </c>
      <c r="B42" s="175">
        <v>9130</v>
      </c>
      <c r="C42" s="17" t="s">
        <v>301</v>
      </c>
      <c r="D42" s="178">
        <v>0</v>
      </c>
      <c r="E42" s="178">
        <v>0</v>
      </c>
      <c r="F42" s="178">
        <v>0</v>
      </c>
      <c r="G42" s="178">
        <v>0</v>
      </c>
      <c r="H42" s="178">
        <v>411.8</v>
      </c>
      <c r="I42" s="178">
        <v>126.84</v>
      </c>
      <c r="J42" s="269"/>
      <c r="K42" s="269">
        <v>3244.9</v>
      </c>
      <c r="L42" s="269">
        <v>3491.13</v>
      </c>
      <c r="M42" s="269"/>
      <c r="N42" s="113">
        <v>153.50689118415215</v>
      </c>
      <c r="O42" s="113">
        <v>99.719651994748887</v>
      </c>
      <c r="P42" s="17">
        <f t="shared" si="2"/>
        <v>7527.8965431789011</v>
      </c>
      <c r="Q42" s="17"/>
      <c r="R42" s="230"/>
    </row>
    <row r="43" spans="1:18">
      <c r="A43" s="77">
        <f t="shared" si="1"/>
        <v>29</v>
      </c>
      <c r="B43" s="175">
        <v>9200</v>
      </c>
      <c r="C43" s="17" t="s">
        <v>302</v>
      </c>
      <c r="D43" s="178">
        <v>-9381.69</v>
      </c>
      <c r="E43" s="178">
        <v>-31796</v>
      </c>
      <c r="F43" s="178">
        <v>-6412.89</v>
      </c>
      <c r="G43" s="178">
        <v>-14768.94</v>
      </c>
      <c r="H43" s="178">
        <v>-29538.82</v>
      </c>
      <c r="I43" s="178">
        <v>-14680.71</v>
      </c>
      <c r="J43" s="269">
        <v>-6032.05</v>
      </c>
      <c r="K43" s="269">
        <v>-24001.51</v>
      </c>
      <c r="L43" s="269">
        <v>8019.85</v>
      </c>
      <c r="M43" s="269">
        <v>-30266.29</v>
      </c>
      <c r="N43" s="113">
        <v>654.42554769672779</v>
      </c>
      <c r="O43" s="113">
        <v>755.106401188532</v>
      </c>
      <c r="P43" s="17">
        <f t="shared" si="2"/>
        <v>-157449.51805111472</v>
      </c>
      <c r="Q43" s="17"/>
      <c r="R43" s="230"/>
    </row>
    <row r="44" spans="1:18">
      <c r="A44" s="77">
        <f t="shared" si="1"/>
        <v>30</v>
      </c>
      <c r="B44" s="175">
        <v>9210</v>
      </c>
      <c r="C44" s="17" t="s">
        <v>303</v>
      </c>
      <c r="D44" s="178">
        <v>25.27</v>
      </c>
      <c r="E44" s="178">
        <v>280.61</v>
      </c>
      <c r="F44" s="178">
        <v>1997.2000000000003</v>
      </c>
      <c r="G44" s="178">
        <v>0</v>
      </c>
      <c r="H44" s="178">
        <v>0</v>
      </c>
      <c r="I44" s="178">
        <v>49.97</v>
      </c>
      <c r="J44" s="269"/>
      <c r="K44" s="269">
        <v>78000</v>
      </c>
      <c r="L44" s="269">
        <v>89.85</v>
      </c>
      <c r="M44" s="269">
        <v>633.73</v>
      </c>
      <c r="N44" s="113">
        <v>785.36246202372126</v>
      </c>
      <c r="O44" s="113">
        <v>468.07286082746401</v>
      </c>
      <c r="P44" s="17">
        <f t="shared" si="2"/>
        <v>82330.065322851195</v>
      </c>
      <c r="Q44" s="17"/>
      <c r="R44" s="17"/>
    </row>
    <row r="45" spans="1:18">
      <c r="A45" s="77">
        <f t="shared" si="1"/>
        <v>31</v>
      </c>
      <c r="B45" s="175">
        <v>9220</v>
      </c>
      <c r="C45" s="17" t="s">
        <v>304</v>
      </c>
      <c r="D45" s="178">
        <v>-756389.59999999963</v>
      </c>
      <c r="E45" s="178">
        <v>-597520.22000000067</v>
      </c>
      <c r="F45" s="178">
        <v>-734178.82000000007</v>
      </c>
      <c r="G45" s="178">
        <v>-668457.68999999994</v>
      </c>
      <c r="H45" s="178">
        <v>-750311.7899999998</v>
      </c>
      <c r="I45" s="178">
        <v>-600333.47999999975</v>
      </c>
      <c r="J45" s="269">
        <v>-818967.87000000046</v>
      </c>
      <c r="K45" s="269">
        <v>-760952.85999999975</v>
      </c>
      <c r="L45" s="269">
        <v>-580322.86</v>
      </c>
      <c r="M45" s="269">
        <v>-567467.62000000011</v>
      </c>
      <c r="N45" s="113">
        <f t="shared" ref="N45:O45" si="3">-(SUM(N14:N44,N46:N53))</f>
        <v>-971965.96309999994</v>
      </c>
      <c r="O45" s="113">
        <f t="shared" si="3"/>
        <v>-944579.75680000009</v>
      </c>
      <c r="P45" s="17">
        <f t="shared" si="2"/>
        <v>-8751448.5298999995</v>
      </c>
      <c r="Q45" s="158"/>
      <c r="R45" s="17"/>
    </row>
    <row r="46" spans="1:18">
      <c r="A46" s="77">
        <f t="shared" si="1"/>
        <v>32</v>
      </c>
      <c r="B46" s="175">
        <v>9230</v>
      </c>
      <c r="C46" s="17" t="s">
        <v>305</v>
      </c>
      <c r="D46" s="178">
        <v>1630</v>
      </c>
      <c r="E46" s="178">
        <v>1731.1899999999998</v>
      </c>
      <c r="F46" s="178">
        <v>13786.73</v>
      </c>
      <c r="G46" s="178">
        <v>7154.8099999999995</v>
      </c>
      <c r="H46" s="178">
        <v>8172.24</v>
      </c>
      <c r="I46" s="178">
        <v>22890.76</v>
      </c>
      <c r="J46" s="269">
        <v>37696.22</v>
      </c>
      <c r="K46" s="269">
        <v>54459.930000000008</v>
      </c>
      <c r="L46" s="269">
        <v>-32292.51</v>
      </c>
      <c r="M46" s="269">
        <v>527.26</v>
      </c>
      <c r="N46" s="113">
        <v>23289.219886577797</v>
      </c>
      <c r="O46" s="113">
        <v>24619.874997898696</v>
      </c>
      <c r="P46" s="17">
        <f t="shared" si="2"/>
        <v>163665.72488447651</v>
      </c>
      <c r="Q46" s="17"/>
      <c r="R46" s="17"/>
    </row>
    <row r="47" spans="1:18">
      <c r="A47" s="77">
        <f t="shared" si="1"/>
        <v>33</v>
      </c>
      <c r="B47" s="175">
        <v>9240</v>
      </c>
      <c r="C47" s="17" t="s">
        <v>306</v>
      </c>
      <c r="D47" s="178">
        <v>-1027.6899999999998</v>
      </c>
      <c r="E47" s="178">
        <v>-1105.1799999999998</v>
      </c>
      <c r="F47" s="178">
        <v>-1217.1300000000001</v>
      </c>
      <c r="G47" s="178">
        <v>-1119.44</v>
      </c>
      <c r="H47" s="178">
        <v>-1065.8600000000001</v>
      </c>
      <c r="I47" s="178">
        <v>-1092.7600000000002</v>
      </c>
      <c r="J47" s="269">
        <v>-1086.1999999999998</v>
      </c>
      <c r="K47" s="269">
        <v>-1074.0300000000002</v>
      </c>
      <c r="L47" s="269">
        <v>-1112.92</v>
      </c>
      <c r="M47" s="269">
        <v>-1052.4000000000001</v>
      </c>
      <c r="N47" s="113">
        <v>-6840.4954419390033</v>
      </c>
      <c r="O47" s="113">
        <v>-6856.5411723408524</v>
      </c>
      <c r="P47" s="17">
        <f t="shared" si="2"/>
        <v>-24650.64661427986</v>
      </c>
      <c r="Q47" s="17"/>
      <c r="R47" s="17"/>
    </row>
    <row r="48" spans="1:18">
      <c r="A48" s="77">
        <f t="shared" si="1"/>
        <v>34</v>
      </c>
      <c r="B48" s="175">
        <v>9250</v>
      </c>
      <c r="C48" s="17" t="s">
        <v>307</v>
      </c>
      <c r="D48" s="178">
        <v>19633.169999999998</v>
      </c>
      <c r="E48" s="178">
        <v>19705.46</v>
      </c>
      <c r="F48" s="178">
        <v>16366.97</v>
      </c>
      <c r="G48" s="178">
        <v>18873.91</v>
      </c>
      <c r="H48" s="178">
        <v>18864.690000000002</v>
      </c>
      <c r="I48" s="178">
        <v>18486.41</v>
      </c>
      <c r="J48" s="269">
        <v>-1021.2900000000009</v>
      </c>
      <c r="K48" s="269">
        <v>26371.09</v>
      </c>
      <c r="L48" s="269">
        <v>14473.919999999998</v>
      </c>
      <c r="M48" s="269">
        <v>29606.35</v>
      </c>
      <c r="N48" s="113">
        <v>37962.639858613373</v>
      </c>
      <c r="O48" s="113">
        <v>37155.619991912266</v>
      </c>
      <c r="P48" s="17">
        <f t="shared" si="2"/>
        <v>256478.93985052567</v>
      </c>
      <c r="Q48" s="17"/>
      <c r="R48" s="17"/>
    </row>
    <row r="49" spans="1:18">
      <c r="A49" s="77">
        <f t="shared" si="1"/>
        <v>35</v>
      </c>
      <c r="B49" s="232">
        <v>9260</v>
      </c>
      <c r="C49" s="17" t="s">
        <v>308</v>
      </c>
      <c r="D49" s="178">
        <v>197785.25999999998</v>
      </c>
      <c r="E49" s="178">
        <v>132531.79000000004</v>
      </c>
      <c r="F49" s="178">
        <v>241000.5</v>
      </c>
      <c r="G49" s="178">
        <v>163110.41</v>
      </c>
      <c r="H49" s="178">
        <v>257903.08999999997</v>
      </c>
      <c r="I49" s="178">
        <v>143957.49</v>
      </c>
      <c r="J49" s="269">
        <v>284945.38999999966</v>
      </c>
      <c r="K49" s="269">
        <v>142699.25999999998</v>
      </c>
      <c r="L49" s="269">
        <v>50809.34</v>
      </c>
      <c r="M49" s="269">
        <v>40166.669999999918</v>
      </c>
      <c r="N49" s="113">
        <v>166344.32002859205</v>
      </c>
      <c r="O49" s="113">
        <v>175484.22499017647</v>
      </c>
      <c r="P49" s="17">
        <f t="shared" si="2"/>
        <v>1996737.7450187684</v>
      </c>
      <c r="Q49" s="17"/>
      <c r="R49" s="17"/>
    </row>
    <row r="50" spans="1:18">
      <c r="A50" s="77">
        <f t="shared" si="1"/>
        <v>36</v>
      </c>
      <c r="B50" s="232">
        <v>9269</v>
      </c>
      <c r="C50" s="17" t="s">
        <v>366</v>
      </c>
      <c r="D50" s="178"/>
      <c r="E50" s="178"/>
      <c r="F50" s="178"/>
      <c r="G50" s="178"/>
      <c r="H50" s="178"/>
      <c r="I50" s="178"/>
      <c r="J50" s="269"/>
      <c r="K50" s="269"/>
      <c r="L50" s="269"/>
      <c r="M50" s="269">
        <v>102193.62</v>
      </c>
      <c r="N50" s="113"/>
      <c r="O50" s="113"/>
      <c r="P50" s="17"/>
      <c r="Q50" s="17"/>
      <c r="R50" s="17"/>
    </row>
    <row r="51" spans="1:18">
      <c r="A51" s="77">
        <f t="shared" si="1"/>
        <v>37</v>
      </c>
      <c r="B51" s="232">
        <v>9280</v>
      </c>
      <c r="C51" s="154" t="s">
        <v>310</v>
      </c>
      <c r="D51" s="178">
        <v>441.4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269"/>
      <c r="K51" s="269"/>
      <c r="L51" s="269"/>
      <c r="M51" s="269"/>
      <c r="N51" s="113">
        <v>142.24886885672183</v>
      </c>
      <c r="O51" s="113">
        <v>74.070416919476457</v>
      </c>
      <c r="P51" s="17">
        <f t="shared" si="2"/>
        <v>657.71928577619826</v>
      </c>
      <c r="Q51" s="17"/>
      <c r="R51" s="17"/>
    </row>
    <row r="52" spans="1:18">
      <c r="A52" s="77">
        <f t="shared" si="1"/>
        <v>38</v>
      </c>
      <c r="B52" s="175">
        <v>9302</v>
      </c>
      <c r="C52" s="17" t="s">
        <v>311</v>
      </c>
      <c r="D52" s="178">
        <v>0</v>
      </c>
      <c r="E52" s="178">
        <v>0</v>
      </c>
      <c r="F52" s="178">
        <v>0</v>
      </c>
      <c r="G52" s="178">
        <v>0</v>
      </c>
      <c r="H52" s="178">
        <v>7500</v>
      </c>
      <c r="I52" s="178">
        <v>0</v>
      </c>
      <c r="J52" s="269"/>
      <c r="K52" s="269">
        <v>3337</v>
      </c>
      <c r="L52" s="269">
        <v>1331.13</v>
      </c>
      <c r="M52" s="269"/>
      <c r="N52" s="113">
        <v>7144.4395214887018</v>
      </c>
      <c r="O52" s="113">
        <v>7479.1126020634219</v>
      </c>
      <c r="P52" s="17">
        <f t="shared" si="2"/>
        <v>26791.682123552124</v>
      </c>
      <c r="Q52" s="17"/>
      <c r="R52" s="17"/>
    </row>
    <row r="53" spans="1:18">
      <c r="A53" s="77">
        <f t="shared" si="1"/>
        <v>39</v>
      </c>
      <c r="B53" s="175">
        <v>9310</v>
      </c>
      <c r="C53" s="17" t="s">
        <v>200</v>
      </c>
      <c r="D53" s="178">
        <f>0</f>
        <v>0</v>
      </c>
      <c r="E53" s="178">
        <f>0</f>
        <v>0</v>
      </c>
      <c r="F53" s="178">
        <f>0</f>
        <v>0</v>
      </c>
      <c r="G53" s="178">
        <f>0</f>
        <v>0</v>
      </c>
      <c r="H53" s="178">
        <f>0</f>
        <v>0</v>
      </c>
      <c r="I53" s="178">
        <f>0</f>
        <v>0</v>
      </c>
      <c r="J53" s="269"/>
      <c r="K53" s="269"/>
      <c r="L53" s="269"/>
      <c r="M53" s="269"/>
      <c r="N53" s="113">
        <v>0</v>
      </c>
      <c r="O53" s="113">
        <v>0</v>
      </c>
      <c r="P53" s="17">
        <f t="shared" si="2"/>
        <v>0</v>
      </c>
      <c r="Q53" s="17"/>
      <c r="R53" s="17"/>
    </row>
    <row r="54" spans="1:18">
      <c r="A54" s="77">
        <f t="shared" si="1"/>
        <v>40</v>
      </c>
      <c r="B54" s="17"/>
      <c r="C54" s="215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7"/>
      <c r="P54" s="17"/>
      <c r="Q54" s="17"/>
      <c r="R54" s="17"/>
    </row>
    <row r="55" spans="1:18" ht="15.75" thickBot="1">
      <c r="A55" s="77">
        <f t="shared" si="1"/>
        <v>41</v>
      </c>
      <c r="B55" s="17" t="s">
        <v>313</v>
      </c>
      <c r="C55" s="215"/>
      <c r="D55" s="216">
        <f t="shared" ref="D55:O55" si="4">SUM(D14:D54)</f>
        <v>5.2966697694500908E-10</v>
      </c>
      <c r="E55" s="216">
        <f t="shared" si="4"/>
        <v>9.9999992235098034E-3</v>
      </c>
      <c r="F55" s="216">
        <f t="shared" si="4"/>
        <v>0</v>
      </c>
      <c r="G55" s="216">
        <f t="shared" si="4"/>
        <v>2.3283064365386963E-10</v>
      </c>
      <c r="H55" s="216">
        <f t="shared" si="4"/>
        <v>2.0000000018626451E-2</v>
      </c>
      <c r="I55" s="216">
        <f t="shared" si="4"/>
        <v>113941.51999999986</v>
      </c>
      <c r="J55" s="216">
        <f t="shared" si="4"/>
        <v>-9.3132257461547852E-10</v>
      </c>
      <c r="K55" s="216">
        <f t="shared" si="4"/>
        <v>3.2014213502407074E-10</v>
      </c>
      <c r="L55" s="216">
        <f t="shared" si="4"/>
        <v>-1.0000000086620275E-2</v>
      </c>
      <c r="M55" s="216">
        <f t="shared" si="4"/>
        <v>1.9999999960418791E-2</v>
      </c>
      <c r="N55" s="216">
        <f t="shared" si="4"/>
        <v>-5.4569682106375694E-12</v>
      </c>
      <c r="O55" s="216">
        <f t="shared" si="4"/>
        <v>-6.3664629124104977E-12</v>
      </c>
      <c r="P55" s="216">
        <f>SUM(P12:P54)</f>
        <v>-3326179.5200000019</v>
      </c>
      <c r="Q55" s="17"/>
      <c r="R55" s="17"/>
    </row>
    <row r="56" spans="1:18" ht="15.75" thickTop="1">
      <c r="A56" s="77">
        <f t="shared" si="1"/>
        <v>42</v>
      </c>
      <c r="B56" s="17"/>
      <c r="C56" s="21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>
      <c r="A57" s="77">
        <f t="shared" si="1"/>
        <v>43</v>
      </c>
      <c r="B57" s="175">
        <f>B45</f>
        <v>9220</v>
      </c>
      <c r="C57" s="33" t="str">
        <f>C45</f>
        <v>A&amp;G-Administrative expense transferred-Credit</v>
      </c>
      <c r="D57" s="217">
        <f>D45</f>
        <v>-756389.59999999963</v>
      </c>
      <c r="E57" s="217">
        <f t="shared" ref="E57:H57" si="5">-(E55-E45)</f>
        <v>-597520.22999999986</v>
      </c>
      <c r="F57" s="217">
        <f t="shared" si="5"/>
        <v>-734178.82000000007</v>
      </c>
      <c r="G57" s="217">
        <f t="shared" si="5"/>
        <v>-668457.69000000018</v>
      </c>
      <c r="H57" s="217">
        <f t="shared" si="5"/>
        <v>-750311.80999999982</v>
      </c>
      <c r="I57" s="217">
        <f>I45</f>
        <v>-600333.47999999975</v>
      </c>
      <c r="J57" s="217">
        <f t="shared" ref="J57:M57" si="6">J45</f>
        <v>-818967.87000000046</v>
      </c>
      <c r="K57" s="217">
        <f t="shared" si="6"/>
        <v>-760952.85999999975</v>
      </c>
      <c r="L57" s="217">
        <f t="shared" si="6"/>
        <v>-580322.86</v>
      </c>
      <c r="M57" s="217">
        <f t="shared" si="6"/>
        <v>-567467.62000000011</v>
      </c>
      <c r="N57" s="217">
        <f t="shared" ref="N57:O57" si="7">N45</f>
        <v>-971965.96309999994</v>
      </c>
      <c r="O57" s="217">
        <f t="shared" si="7"/>
        <v>-944579.75680000009</v>
      </c>
      <c r="P57" s="17">
        <f t="shared" ref="P57" si="8">SUM(D57:O57)</f>
        <v>-8751448.5598999988</v>
      </c>
      <c r="Q57" s="217"/>
      <c r="R57" s="17"/>
    </row>
    <row r="58" spans="1:18">
      <c r="A58" s="77">
        <f t="shared" si="1"/>
        <v>44</v>
      </c>
      <c r="B58" s="17"/>
      <c r="C58" s="218" t="s">
        <v>324</v>
      </c>
      <c r="D58" s="219">
        <f>D59/D57</f>
        <v>0.49779999619243864</v>
      </c>
      <c r="E58" s="219">
        <f t="shared" ref="E58:I58" si="9">E59/E57</f>
        <v>0.49779999917324985</v>
      </c>
      <c r="F58" s="219">
        <f t="shared" si="9"/>
        <v>0.49780000463647256</v>
      </c>
      <c r="G58" s="219">
        <f t="shared" si="9"/>
        <v>0.49780000286929138</v>
      </c>
      <c r="H58" s="219">
        <f t="shared" si="9"/>
        <v>0.49779998798099701</v>
      </c>
      <c r="I58" s="219">
        <f t="shared" si="9"/>
        <v>0.49780002274735724</v>
      </c>
      <c r="J58" s="219">
        <f t="shared" ref="J58:M58" si="10">J59/J57</f>
        <v>0.49780000526760565</v>
      </c>
      <c r="K58" s="219">
        <f t="shared" si="10"/>
        <v>0.49780000826858073</v>
      </c>
      <c r="L58" s="219">
        <f t="shared" si="10"/>
        <v>0.49780000050316814</v>
      </c>
      <c r="M58" s="219">
        <f t="shared" si="10"/>
        <v>0.51180000367245615</v>
      </c>
      <c r="N58" s="219">
        <v>0.49780000000000002</v>
      </c>
      <c r="O58" s="219">
        <v>0.49780000000000002</v>
      </c>
      <c r="P58" s="219">
        <f t="shared" ref="P58" si="11">P59/P57</f>
        <v>0.49870780014229915</v>
      </c>
      <c r="Q58" s="17"/>
      <c r="R58" s="17"/>
    </row>
    <row r="59" spans="1:18">
      <c r="A59" s="77">
        <f t="shared" si="1"/>
        <v>45</v>
      </c>
      <c r="B59" s="17"/>
      <c r="C59" s="17" t="s">
        <v>325</v>
      </c>
      <c r="D59" s="17">
        <v>-376530.74</v>
      </c>
      <c r="E59" s="17">
        <v>-297445.57</v>
      </c>
      <c r="F59" s="17">
        <v>-365474.22</v>
      </c>
      <c r="G59" s="17">
        <v>-332758.24</v>
      </c>
      <c r="H59" s="17">
        <v>-373505.21</v>
      </c>
      <c r="I59" s="17">
        <v>-298846.02</v>
      </c>
      <c r="J59" s="17">
        <v>-407682.21</v>
      </c>
      <c r="K59" s="17">
        <v>-378802.34</v>
      </c>
      <c r="L59" s="17">
        <v>-288884.71999999997</v>
      </c>
      <c r="M59" s="17">
        <v>-290429.93</v>
      </c>
      <c r="N59" s="17">
        <f t="shared" ref="N59:O59" si="12">N57*N58</f>
        <v>-483844.65643117996</v>
      </c>
      <c r="O59" s="17">
        <f t="shared" si="12"/>
        <v>-470211.80293504009</v>
      </c>
      <c r="P59" s="17">
        <f>SUM(D59:O59)</f>
        <v>-4364415.6593662202</v>
      </c>
      <c r="Q59" s="17"/>
      <c r="R59" s="17"/>
    </row>
    <row r="60" spans="1:18">
      <c r="A60" s="17"/>
      <c r="B60" s="17"/>
      <c r="C60" s="215"/>
      <c r="D60" s="233"/>
      <c r="E60" s="233"/>
      <c r="F60" s="233"/>
      <c r="G60" s="233"/>
      <c r="H60" s="233"/>
      <c r="I60" s="233"/>
      <c r="J60" s="153"/>
      <c r="K60" s="153"/>
      <c r="L60" s="153"/>
      <c r="M60" s="153"/>
      <c r="N60" s="153"/>
      <c r="O60" s="153"/>
      <c r="P60" s="153"/>
      <c r="Q60" s="17"/>
      <c r="R60" s="17"/>
    </row>
    <row r="61" spans="1:18">
      <c r="A61" s="17"/>
      <c r="B61" s="17"/>
      <c r="C61" s="21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53"/>
      <c r="O61" s="153"/>
      <c r="P61" s="17"/>
      <c r="Q61" s="17"/>
      <c r="R61" s="17"/>
    </row>
    <row r="62" spans="1:18">
      <c r="A62" s="17"/>
      <c r="B62" s="17" t="s">
        <v>326</v>
      </c>
      <c r="C62" s="21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53"/>
      <c r="O62" s="153"/>
      <c r="P62" s="17"/>
      <c r="Q62" s="17"/>
      <c r="R62" s="17"/>
    </row>
    <row r="63" spans="1:18">
      <c r="A63" s="17"/>
      <c r="B63" s="17"/>
      <c r="C63" s="2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53"/>
      <c r="O63" s="153"/>
      <c r="P63" s="17"/>
      <c r="Q63" s="17"/>
      <c r="R63" s="17"/>
    </row>
    <row r="64" spans="1:1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Q64" s="17"/>
      <c r="R64" s="17"/>
    </row>
    <row r="65" spans="1:18">
      <c r="A65" s="17"/>
      <c r="B65" s="17" t="s">
        <v>316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7"/>
      <c r="B66" s="17" t="s">
        <v>335</v>
      </c>
      <c r="C66" s="17"/>
      <c r="D66" s="17">
        <f>D45</f>
        <v>-756389.59999999963</v>
      </c>
      <c r="E66" s="17">
        <f t="shared" ref="E66:O66" si="13">E45</f>
        <v>-597520.22000000067</v>
      </c>
      <c r="F66" s="17">
        <f t="shared" si="13"/>
        <v>-734178.82000000007</v>
      </c>
      <c r="G66" s="17">
        <f t="shared" si="13"/>
        <v>-668457.68999999994</v>
      </c>
      <c r="H66" s="17">
        <f t="shared" si="13"/>
        <v>-750311.7899999998</v>
      </c>
      <c r="I66" s="17">
        <f t="shared" si="13"/>
        <v>-600333.47999999975</v>
      </c>
      <c r="J66" s="17">
        <f t="shared" si="13"/>
        <v>-818967.87000000046</v>
      </c>
      <c r="K66" s="17">
        <f t="shared" si="13"/>
        <v>-760952.85999999975</v>
      </c>
      <c r="L66" s="17">
        <f t="shared" si="13"/>
        <v>-580322.86</v>
      </c>
      <c r="M66" s="17">
        <f t="shared" si="13"/>
        <v>-567467.62000000011</v>
      </c>
      <c r="N66" s="17">
        <f t="shared" si="13"/>
        <v>-971965.96309999994</v>
      </c>
      <c r="O66" s="17">
        <f t="shared" si="13"/>
        <v>-944579.75680000009</v>
      </c>
      <c r="P66" s="176"/>
      <c r="Q66" s="220"/>
      <c r="R66" s="17"/>
    </row>
    <row r="67" spans="1:18">
      <c r="A67" s="17"/>
      <c r="B67" s="17" t="s">
        <v>318</v>
      </c>
      <c r="C67" s="17"/>
      <c r="D67" s="17">
        <v>756389.5900000002</v>
      </c>
      <c r="E67" s="17">
        <v>597520.23</v>
      </c>
      <c r="F67" s="17">
        <v>734178.83000000007</v>
      </c>
      <c r="G67" s="17">
        <v>668457.69000000006</v>
      </c>
      <c r="H67" s="17">
        <v>750311.78999999992</v>
      </c>
      <c r="I67" s="17">
        <v>600333.5</v>
      </c>
      <c r="J67" s="17">
        <v>1001650.9100000001</v>
      </c>
      <c r="K67" s="17">
        <v>857469.37999999989</v>
      </c>
      <c r="L67" s="17">
        <v>934151.82999999984</v>
      </c>
      <c r="M67" s="17">
        <v>895867.54649999994</v>
      </c>
      <c r="N67" s="17">
        <v>971965.96309999982</v>
      </c>
      <c r="O67" s="17">
        <v>944579.75680000009</v>
      </c>
      <c r="P67" s="17"/>
      <c r="Q67" s="17"/>
      <c r="R67" s="17"/>
    </row>
    <row r="68" spans="1:18">
      <c r="A68" s="17"/>
      <c r="B68" s="17"/>
      <c r="C68" s="17"/>
      <c r="D68" s="17">
        <f>D66+D67</f>
        <v>-9.9999994272366166E-3</v>
      </c>
      <c r="E68" s="17">
        <f t="shared" ref="E68:O68" si="14">E66+E67</f>
        <v>9.9999993108212948E-3</v>
      </c>
      <c r="F68" s="17">
        <f t="shared" si="14"/>
        <v>1.0000000009313226E-2</v>
      </c>
      <c r="G68" s="17">
        <f t="shared" si="14"/>
        <v>0</v>
      </c>
      <c r="H68" s="17">
        <f t="shared" si="14"/>
        <v>0</v>
      </c>
      <c r="I68" s="17">
        <f t="shared" si="14"/>
        <v>2.0000000251457095E-2</v>
      </c>
      <c r="J68" s="17">
        <f t="shared" si="14"/>
        <v>182683.03999999969</v>
      </c>
      <c r="K68" s="17">
        <f t="shared" si="14"/>
        <v>96516.520000000135</v>
      </c>
      <c r="L68" s="17">
        <f t="shared" si="14"/>
        <v>353828.96999999986</v>
      </c>
      <c r="M68" s="17">
        <f t="shared" si="14"/>
        <v>328399.92649999983</v>
      </c>
      <c r="N68" s="17">
        <f t="shared" si="14"/>
        <v>0</v>
      </c>
      <c r="O68" s="17">
        <f t="shared" si="14"/>
        <v>0</v>
      </c>
      <c r="P68" s="17"/>
      <c r="Q68" s="17"/>
      <c r="R68" s="17"/>
    </row>
    <row r="69" spans="1: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57"/>
      <c r="P69" s="17"/>
      <c r="Q69" s="17"/>
      <c r="R69" s="17"/>
    </row>
    <row r="70" spans="1:18">
      <c r="A70" s="17"/>
      <c r="B70" s="17"/>
      <c r="C70" s="15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57"/>
      <c r="P70" s="17"/>
      <c r="Q70" s="158"/>
      <c r="R70" s="17"/>
    </row>
    <row r="71" spans="1:1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57"/>
      <c r="P71" s="17"/>
      <c r="Q71" s="17"/>
      <c r="R71" s="17"/>
    </row>
    <row r="72" spans="1:1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57"/>
      <c r="P72" s="17"/>
      <c r="Q72" s="17"/>
      <c r="R72" s="17"/>
    </row>
    <row r="73" spans="1:1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57"/>
      <c r="P73" s="17"/>
      <c r="Q73" s="17"/>
      <c r="R73" s="17"/>
    </row>
    <row r="74" spans="1: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7" spans="1:18">
      <c r="C77" s="158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3"/>
  <sheetViews>
    <sheetView view="pageBreakPreview" zoomScale="70" zoomScaleNormal="90" zoomScaleSheetLayoutView="70" workbookViewId="0">
      <selection activeCell="E25" sqref="E25"/>
    </sheetView>
  </sheetViews>
  <sheetFormatPr defaultColWidth="13.88671875" defaultRowHeight="15"/>
  <cols>
    <col min="1" max="1" width="3.6640625" style="235" customWidth="1"/>
    <col min="2" max="2" width="16.21875" style="235" customWidth="1"/>
    <col min="3" max="3" width="11" style="235" customWidth="1"/>
    <col min="4" max="4" width="12.33203125" style="235" customWidth="1"/>
    <col min="5" max="5" width="13.109375" style="235" customWidth="1"/>
    <col min="6" max="6" width="12.5546875" style="235" customWidth="1"/>
    <col min="7" max="7" width="13.109375" style="235" customWidth="1"/>
    <col min="8" max="8" width="8.6640625" style="235" customWidth="1"/>
    <col min="9" max="9" width="13.88671875" style="235" customWidth="1"/>
    <col min="10" max="10" width="15.109375" style="235" customWidth="1"/>
    <col min="11" max="16384" width="13.88671875" style="235"/>
  </cols>
  <sheetData>
    <row r="1" spans="1:16">
      <c r="A1" s="277" t="s">
        <v>361</v>
      </c>
      <c r="B1" s="277"/>
      <c r="C1" s="277"/>
      <c r="D1" s="277"/>
      <c r="E1" s="277"/>
      <c r="F1" s="277"/>
      <c r="G1" s="277"/>
      <c r="H1" s="277"/>
      <c r="I1" s="234"/>
      <c r="M1" s="236"/>
      <c r="O1" s="236"/>
      <c r="P1" s="236"/>
    </row>
    <row r="2" spans="1:16">
      <c r="A2" s="277" t="s">
        <v>362</v>
      </c>
      <c r="B2" s="277"/>
      <c r="C2" s="277"/>
      <c r="D2" s="277"/>
      <c r="E2" s="277"/>
      <c r="F2" s="277"/>
      <c r="G2" s="277"/>
      <c r="H2" s="277"/>
      <c r="I2" s="234"/>
      <c r="P2" s="236"/>
    </row>
    <row r="3" spans="1:16">
      <c r="A3" s="277" t="s">
        <v>336</v>
      </c>
      <c r="B3" s="277"/>
      <c r="C3" s="277"/>
      <c r="D3" s="277"/>
      <c r="E3" s="277"/>
      <c r="F3" s="277"/>
      <c r="G3" s="277"/>
      <c r="H3" s="277"/>
      <c r="I3" s="234"/>
    </row>
    <row r="4" spans="1:16">
      <c r="A4" s="277" t="s">
        <v>364</v>
      </c>
      <c r="B4" s="277"/>
      <c r="C4" s="277"/>
      <c r="D4" s="277"/>
      <c r="E4" s="277"/>
      <c r="F4" s="277"/>
      <c r="G4" s="277"/>
      <c r="H4" s="277"/>
      <c r="I4" s="234"/>
      <c r="M4" s="236"/>
      <c r="O4" s="236"/>
      <c r="P4" s="236"/>
    </row>
    <row r="5" spans="1:16">
      <c r="A5" s="277" t="s">
        <v>363</v>
      </c>
      <c r="B5" s="277"/>
      <c r="C5" s="277"/>
      <c r="D5" s="277"/>
      <c r="E5" s="277"/>
      <c r="F5" s="277"/>
      <c r="G5" s="277"/>
      <c r="H5" s="277"/>
      <c r="I5" s="234"/>
      <c r="M5" s="236"/>
      <c r="O5" s="236"/>
      <c r="P5" s="236"/>
    </row>
    <row r="6" spans="1:16">
      <c r="A6" s="3"/>
      <c r="B6" s="237"/>
      <c r="C6" s="237"/>
      <c r="D6" s="238"/>
      <c r="P6" s="236"/>
    </row>
    <row r="7" spans="1:16">
      <c r="B7" s="238"/>
      <c r="C7" s="238"/>
      <c r="D7" s="238"/>
      <c r="H7" s="4" t="s">
        <v>337</v>
      </c>
      <c r="I7" s="3"/>
    </row>
    <row r="8" spans="1:16">
      <c r="A8" s="3" t="s">
        <v>3</v>
      </c>
      <c r="B8" s="238"/>
      <c r="C8" s="238"/>
      <c r="D8" s="238"/>
      <c r="H8" s="5" t="s">
        <v>338</v>
      </c>
      <c r="I8" s="3"/>
      <c r="M8" s="236"/>
      <c r="O8" s="236"/>
      <c r="P8" s="236"/>
    </row>
    <row r="9" spans="1:16">
      <c r="A9" s="53" t="s">
        <v>5</v>
      </c>
      <c r="B9" s="239"/>
      <c r="C9" s="239"/>
      <c r="D9" s="239"/>
      <c r="E9" s="240"/>
      <c r="F9" s="240"/>
      <c r="G9" s="240"/>
      <c r="H9" s="8" t="s">
        <v>339</v>
      </c>
      <c r="I9" s="238"/>
      <c r="M9" s="236"/>
      <c r="P9" s="236"/>
    </row>
    <row r="10" spans="1:16">
      <c r="E10" s="238"/>
      <c r="F10" s="237"/>
      <c r="G10" s="238"/>
      <c r="H10" s="237"/>
      <c r="I10" s="238"/>
    </row>
    <row r="11" spans="1:16">
      <c r="A11" s="236" t="s">
        <v>9</v>
      </c>
      <c r="E11" s="241" t="s">
        <v>340</v>
      </c>
      <c r="F11" s="10"/>
      <c r="G11" s="9" t="s">
        <v>341</v>
      </c>
      <c r="H11" s="9" t="s">
        <v>342</v>
      </c>
      <c r="I11" s="174"/>
    </row>
    <row r="12" spans="1:16">
      <c r="A12" s="242" t="s">
        <v>12</v>
      </c>
      <c r="B12" s="242" t="s">
        <v>13</v>
      </c>
      <c r="C12" s="239"/>
      <c r="D12" s="239"/>
      <c r="E12" s="12" t="s">
        <v>68</v>
      </c>
      <c r="F12" s="12" t="s">
        <v>43</v>
      </c>
      <c r="G12" s="12" t="s">
        <v>343</v>
      </c>
      <c r="H12" s="12" t="s">
        <v>44</v>
      </c>
      <c r="I12" s="241"/>
    </row>
    <row r="13" spans="1:16">
      <c r="E13" s="10" t="s">
        <v>72</v>
      </c>
      <c r="F13" s="10" t="s">
        <v>344</v>
      </c>
      <c r="G13" s="10" t="s">
        <v>345</v>
      </c>
      <c r="H13" s="10"/>
      <c r="I13" s="241"/>
    </row>
    <row r="14" spans="1:16">
      <c r="E14" s="10"/>
      <c r="F14" s="10"/>
      <c r="G14" s="10"/>
      <c r="H14" s="10"/>
      <c r="I14" s="241"/>
    </row>
    <row r="15" spans="1:16">
      <c r="A15" s="9">
        <v>1</v>
      </c>
      <c r="B15" s="235" t="s">
        <v>346</v>
      </c>
      <c r="E15" s="243">
        <f>+'C.2'!D14-SUM('C.2'!D17:D27)</f>
        <v>33498581.512671977</v>
      </c>
      <c r="F15" s="243">
        <f>+G15-E15</f>
        <v>558337.99290117621</v>
      </c>
      <c r="G15" s="243">
        <f>'C.2'!O14-SUM('C.2'!O17:O27)</f>
        <v>34056919.505573153</v>
      </c>
      <c r="H15" s="10" t="s">
        <v>347</v>
      </c>
      <c r="I15" s="241"/>
    </row>
    <row r="16" spans="1:16">
      <c r="A16" s="9"/>
      <c r="E16" s="244"/>
      <c r="F16" s="244"/>
      <c r="G16" s="244"/>
      <c r="H16" s="10"/>
      <c r="I16" s="10"/>
    </row>
    <row r="17" spans="1:34">
      <c r="A17" s="9">
        <v>2</v>
      </c>
      <c r="B17" s="235" t="s">
        <v>348</v>
      </c>
      <c r="E17" s="245">
        <f>+E32</f>
        <v>7832144.741811295</v>
      </c>
      <c r="F17" s="245">
        <f>+G17-E17</f>
        <v>1535589.98025556</v>
      </c>
      <c r="G17" s="245">
        <f>+G32</f>
        <v>9367734.7220668551</v>
      </c>
      <c r="H17" s="10" t="s">
        <v>52</v>
      </c>
      <c r="I17" s="10"/>
    </row>
    <row r="18" spans="1:34">
      <c r="A18" s="9"/>
      <c r="E18" s="244"/>
      <c r="F18" s="244"/>
      <c r="G18" s="244"/>
      <c r="H18" s="10"/>
      <c r="I18" s="10"/>
    </row>
    <row r="19" spans="1:34">
      <c r="A19" s="9">
        <v>3</v>
      </c>
      <c r="B19" s="235" t="s">
        <v>349</v>
      </c>
      <c r="E19" s="243">
        <f>+E15-E17</f>
        <v>25666436.770860683</v>
      </c>
      <c r="F19" s="243">
        <f>+F15-F17</f>
        <v>-977251.9873543838</v>
      </c>
      <c r="G19" s="243">
        <f>+G15-G17</f>
        <v>24689184.783506297</v>
      </c>
      <c r="H19" s="10"/>
      <c r="I19" s="10"/>
    </row>
    <row r="20" spans="1:34">
      <c r="A20" s="9"/>
      <c r="E20" s="244"/>
      <c r="F20" s="244"/>
      <c r="G20" s="244"/>
      <c r="H20" s="10"/>
      <c r="I20" s="10"/>
    </row>
    <row r="21" spans="1:34">
      <c r="A21" s="9">
        <v>4</v>
      </c>
      <c r="B21" s="235" t="s">
        <v>350</v>
      </c>
      <c r="E21" s="246">
        <f>0.05+0.21*(1-0.05)</f>
        <v>0.2495</v>
      </c>
      <c r="F21" s="246"/>
      <c r="G21" s="246">
        <v>0.2495</v>
      </c>
      <c r="H21" s="10" t="s">
        <v>351</v>
      </c>
      <c r="I21" s="10"/>
    </row>
    <row r="22" spans="1:34">
      <c r="A22" s="9"/>
      <c r="E22" s="244"/>
      <c r="F22" s="244"/>
      <c r="G22" s="244"/>
      <c r="H22" s="10"/>
      <c r="I22" s="10"/>
    </row>
    <row r="23" spans="1:34" ht="16.5" thickBot="1">
      <c r="A23" s="9">
        <v>5</v>
      </c>
      <c r="B23" s="247" t="s">
        <v>352</v>
      </c>
      <c r="E23" s="248">
        <f>+E19*E21</f>
        <v>6403775.9743297407</v>
      </c>
      <c r="F23" s="248">
        <f>+G23-E23</f>
        <v>-243824.37084492017</v>
      </c>
      <c r="G23" s="249">
        <f>+G19*G21</f>
        <v>6159951.6034848206</v>
      </c>
      <c r="H23" s="10"/>
      <c r="I23" s="10"/>
    </row>
    <row r="24" spans="1:34" ht="16.5" thickTop="1">
      <c r="A24" s="9"/>
      <c r="B24" s="247"/>
      <c r="E24" s="250"/>
      <c r="F24" s="244"/>
      <c r="G24" s="251"/>
      <c r="H24" s="10"/>
      <c r="I24" s="10"/>
    </row>
    <row r="25" spans="1:34" ht="15.75">
      <c r="A25" s="9"/>
      <c r="B25" s="247"/>
      <c r="E25" s="250"/>
      <c r="F25" s="244"/>
      <c r="G25" s="251"/>
      <c r="H25" s="10"/>
      <c r="I25" s="10"/>
    </row>
    <row r="26" spans="1:34">
      <c r="A26" s="9"/>
      <c r="E26" s="244"/>
      <c r="F26" s="244"/>
      <c r="G26" s="244"/>
      <c r="H26" s="10"/>
      <c r="I26" s="10"/>
    </row>
    <row r="27" spans="1:34">
      <c r="A27" s="9"/>
      <c r="B27" s="252" t="s">
        <v>353</v>
      </c>
      <c r="E27" s="244"/>
      <c r="F27" s="244"/>
      <c r="G27" s="244"/>
      <c r="H27" s="10"/>
      <c r="I27" s="10"/>
    </row>
    <row r="28" spans="1:34" s="1" customFormat="1">
      <c r="A28" s="9">
        <v>6</v>
      </c>
      <c r="B28" s="253" t="s">
        <v>354</v>
      </c>
      <c r="E28" s="254">
        <v>414187472.09436655</v>
      </c>
      <c r="F28" s="255"/>
      <c r="G28" s="256">
        <v>496111427.09512687</v>
      </c>
      <c r="H28" s="9" t="s">
        <v>355</v>
      </c>
      <c r="J28" s="235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35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53" t="s">
        <v>356</v>
      </c>
      <c r="E30" s="257">
        <v>1.8909661130520276E-2</v>
      </c>
      <c r="G30" s="257">
        <v>1.8882319999999998E-2</v>
      </c>
      <c r="H30" s="9" t="s">
        <v>357</v>
      </c>
      <c r="I30" s="258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3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59" t="s">
        <v>358</v>
      </c>
      <c r="E32" s="260">
        <f>+E28*E30</f>
        <v>7832144.741811295</v>
      </c>
      <c r="G32" s="260">
        <f>+G28*G30</f>
        <v>9367734.7220668551</v>
      </c>
      <c r="J32" s="23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35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3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61" t="s">
        <v>367</v>
      </c>
      <c r="C35" s="17"/>
      <c r="D35" s="17"/>
      <c r="E35" s="17"/>
      <c r="F35" s="17"/>
      <c r="I35" s="262"/>
      <c r="J35" s="258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63" t="s">
        <v>359</v>
      </c>
      <c r="C36" s="264"/>
      <c r="D36" s="264"/>
      <c r="E36" s="265">
        <v>0.05</v>
      </c>
      <c r="F36" s="264"/>
      <c r="I36" s="262"/>
      <c r="J36" s="258"/>
    </row>
    <row r="37" spans="1:34">
      <c r="A37" s="9">
        <v>11</v>
      </c>
      <c r="B37" s="263" t="s">
        <v>360</v>
      </c>
      <c r="C37" s="264"/>
      <c r="D37" s="264"/>
      <c r="E37" s="265">
        <v>0.21</v>
      </c>
      <c r="F37" s="264"/>
      <c r="I37" s="262"/>
      <c r="J37" s="258"/>
    </row>
    <row r="38" spans="1:34">
      <c r="B38" s="264"/>
      <c r="C38" s="264"/>
      <c r="D38" s="264"/>
      <c r="E38" s="265"/>
      <c r="F38" s="264"/>
      <c r="I38" s="258"/>
      <c r="J38" s="258"/>
    </row>
    <row r="39" spans="1:34">
      <c r="E39" s="266"/>
    </row>
    <row r="40" spans="1:34">
      <c r="E40" s="266"/>
    </row>
    <row r="41" spans="1:34">
      <c r="G41" s="267"/>
    </row>
    <row r="43" spans="1:34">
      <c r="E43" s="266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02</vt:lpstr>
      <vt:lpstr>C.2.2 B 09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2018-12-07T17:35:54Z</cp:lastPrinted>
  <dcterms:created xsi:type="dcterms:W3CDTF">2018-11-28T15:24:25Z</dcterms:created>
  <dcterms:modified xsi:type="dcterms:W3CDTF">2018-12-07T17:35:55Z</dcterms:modified>
</cp:coreProperties>
</file>