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dSt-KY Rate Case\2018 KY Rate Case\Staff 1-71\Relied Upons\"/>
    </mc:Choice>
  </mc:AlternateContent>
  <bookViews>
    <workbookView xWindow="-15" yWindow="45" windowWidth="28830" windowHeight="4215"/>
  </bookViews>
  <sheets>
    <sheet name="Div 9" sheetId="1" r:id="rId1"/>
    <sheet name="Div 91" sheetId="2" r:id="rId2"/>
    <sheet name="Div 2" sheetId="3" r:id="rId3"/>
    <sheet name="Div 12" sheetId="4" r:id="rId4"/>
    <sheet name="2019 PlanIt Budget" sheetId="16" r:id="rId5"/>
    <sheet name="2018 PlanIt Budget" sheetId="17" r:id="rId6"/>
    <sheet name="summary" sheetId="6" r:id="rId7"/>
  </sheets>
  <externalReferences>
    <externalReference r:id="rId8"/>
  </externalReferences>
  <definedNames>
    <definedName name="EssAliasTable" localSheetId="3">"Default"</definedName>
    <definedName name="EssAliasTable" localSheetId="2">"Default"</definedName>
    <definedName name="EssAliasTable" localSheetId="0">"Default"</definedName>
    <definedName name="EssAliasTable" localSheetId="1">"Default"</definedName>
    <definedName name="EssfHasNonUnique" localSheetId="3">FALSE</definedName>
    <definedName name="EssfHasNonUnique" localSheetId="2">FALSE</definedName>
    <definedName name="EssfHasNonUnique" localSheetId="0">FALSE</definedName>
    <definedName name="EssfHasNonUnique" localSheetId="1">FALSE</definedName>
    <definedName name="EssLatest" localSheetId="3">"Oct"</definedName>
    <definedName name="EssLatest" localSheetId="2">"Oct"</definedName>
    <definedName name="EssLatest" localSheetId="0">"Oct"</definedName>
    <definedName name="EssLatest" localSheetId="1">"Oct"</definedName>
    <definedName name="EssOptions" localSheetId="3">"A1100000000111000011001100020_01000"</definedName>
    <definedName name="EssOptions" localSheetId="2">"A1100000000111000011001100020_01000"</definedName>
    <definedName name="EssOptions" localSheetId="0">"A1100000000111000011001100020_01000"</definedName>
    <definedName name="EssOptions" localSheetId="1">"A1100000000111000011001100020_01000"</definedName>
    <definedName name="EssSamplingValue" localSheetId="3">100</definedName>
    <definedName name="EssSamplingValue" localSheetId="2">100</definedName>
    <definedName name="EssSamplingValue" localSheetId="0">100</definedName>
    <definedName name="EssSamplingValue" localSheetId="1">100</definedName>
    <definedName name="_xlnm.Print_Area" localSheetId="3">'Div 12'!$B$1:$X$38</definedName>
    <definedName name="_xlnm.Print_Area" localSheetId="2">'Div 2'!$B$1:$X$43</definedName>
    <definedName name="_xlnm.Print_Area" localSheetId="0">'Div 9'!$B$1:$Y$45</definedName>
    <definedName name="_xlnm.Print_Area" localSheetId="1">'Div 91'!$B$1:$W$37</definedName>
  </definedNames>
  <calcPr calcId="152511" iterate="1"/>
</workbook>
</file>

<file path=xl/calcChain.xml><?xml version="1.0" encoding="utf-8"?>
<calcChain xmlns="http://schemas.openxmlformats.org/spreadsheetml/2006/main">
  <c r="E40" i="17" l="1"/>
  <c r="E46" i="17" s="1"/>
  <c r="P42" i="17"/>
  <c r="P48" i="17" s="1"/>
  <c r="O42" i="17"/>
  <c r="O48" i="17" s="1"/>
  <c r="N42" i="17"/>
  <c r="N48" i="17" s="1"/>
  <c r="M42" i="17"/>
  <c r="M48" i="17" s="1"/>
  <c r="L42" i="17"/>
  <c r="L48" i="17" s="1"/>
  <c r="K42" i="17"/>
  <c r="K48" i="17" s="1"/>
  <c r="J42" i="17"/>
  <c r="J48" i="17" s="1"/>
  <c r="I42" i="17"/>
  <c r="I48" i="17" s="1"/>
  <c r="H42" i="17"/>
  <c r="H48" i="17" s="1"/>
  <c r="G42" i="17"/>
  <c r="G48" i="17" s="1"/>
  <c r="F42" i="17"/>
  <c r="F48" i="17" s="1"/>
  <c r="E42" i="17"/>
  <c r="E48" i="17" s="1"/>
  <c r="P41" i="17"/>
  <c r="P47" i="17" s="1"/>
  <c r="O41" i="17"/>
  <c r="O47" i="17" s="1"/>
  <c r="N41" i="17"/>
  <c r="N47" i="17" s="1"/>
  <c r="M41" i="17"/>
  <c r="M47" i="17" s="1"/>
  <c r="L41" i="17"/>
  <c r="L47" i="17" s="1"/>
  <c r="K41" i="17"/>
  <c r="K47" i="17" s="1"/>
  <c r="J41" i="17"/>
  <c r="J47" i="17" s="1"/>
  <c r="I41" i="17"/>
  <c r="I47" i="17" s="1"/>
  <c r="H41" i="17"/>
  <c r="H47" i="17" s="1"/>
  <c r="G41" i="17"/>
  <c r="G47" i="17" s="1"/>
  <c r="F41" i="17"/>
  <c r="F47" i="17" s="1"/>
  <c r="E41" i="17"/>
  <c r="E47" i="17" s="1"/>
  <c r="P40" i="17"/>
  <c r="P46" i="17" s="1"/>
  <c r="P49" i="17" s="1"/>
  <c r="O40" i="17"/>
  <c r="O43" i="17" s="1"/>
  <c r="N40" i="17"/>
  <c r="N43" i="17" s="1"/>
  <c r="M40" i="17"/>
  <c r="M46" i="17" s="1"/>
  <c r="M49" i="17" s="1"/>
  <c r="L40" i="17"/>
  <c r="L43" i="17" s="1"/>
  <c r="K40" i="17"/>
  <c r="K46" i="17" s="1"/>
  <c r="J40" i="17"/>
  <c r="J43" i="17" s="1"/>
  <c r="I40" i="17"/>
  <c r="I46" i="17" s="1"/>
  <c r="I49" i="17" s="1"/>
  <c r="H40" i="17"/>
  <c r="H46" i="17" s="1"/>
  <c r="H49" i="17" s="1"/>
  <c r="G40" i="17"/>
  <c r="G46" i="17" s="1"/>
  <c r="F40" i="17"/>
  <c r="F43" i="17" s="1"/>
  <c r="P38" i="17"/>
  <c r="O38" i="17"/>
  <c r="N38" i="17"/>
  <c r="M38" i="17"/>
  <c r="L38" i="17"/>
  <c r="K38" i="17"/>
  <c r="J38" i="17"/>
  <c r="I38" i="17"/>
  <c r="H38" i="17"/>
  <c r="G38" i="17"/>
  <c r="F38" i="17"/>
  <c r="E38" i="17"/>
  <c r="D37" i="17"/>
  <c r="D36" i="17"/>
  <c r="D35" i="17"/>
  <c r="D34" i="17"/>
  <c r="G43" i="17" l="1"/>
  <c r="O46" i="17"/>
  <c r="D38" i="17"/>
  <c r="K43" i="17"/>
  <c r="J46" i="17"/>
  <c r="J49" i="17" s="1"/>
  <c r="F46" i="17"/>
  <c r="F49" i="17" s="1"/>
  <c r="N46" i="17"/>
  <c r="N49" i="17" s="1"/>
  <c r="E49" i="17"/>
  <c r="D48" i="17"/>
  <c r="G49" i="17"/>
  <c r="O49" i="17"/>
  <c r="K49" i="17"/>
  <c r="D47" i="17"/>
  <c r="H43" i="17"/>
  <c r="P43" i="17"/>
  <c r="E43" i="17"/>
  <c r="I43" i="17"/>
  <c r="M43" i="17"/>
  <c r="L46" i="17"/>
  <c r="L49" i="17" s="1"/>
  <c r="E40" i="16"/>
  <c r="E46" i="16" s="1"/>
  <c r="F40" i="16"/>
  <c r="G40" i="16"/>
  <c r="H40" i="16"/>
  <c r="I40" i="16"/>
  <c r="J40" i="16"/>
  <c r="K40" i="16"/>
  <c r="L40" i="16"/>
  <c r="M40" i="16"/>
  <c r="M46" i="16" s="1"/>
  <c r="N40" i="16"/>
  <c r="N46" i="16" s="1"/>
  <c r="O40" i="16"/>
  <c r="E41" i="16"/>
  <c r="E47" i="16" s="1"/>
  <c r="F41" i="16"/>
  <c r="G41" i="16"/>
  <c r="H41" i="16"/>
  <c r="H47" i="16" s="1"/>
  <c r="I41" i="16"/>
  <c r="J41" i="16"/>
  <c r="K41" i="16"/>
  <c r="L41" i="16"/>
  <c r="M41" i="16"/>
  <c r="M47" i="16" s="1"/>
  <c r="N41" i="16"/>
  <c r="N47" i="16" s="1"/>
  <c r="O41" i="16"/>
  <c r="E42" i="16"/>
  <c r="F42" i="16"/>
  <c r="F48" i="16" s="1"/>
  <c r="G42" i="16"/>
  <c r="H42" i="16"/>
  <c r="H48" i="16" s="1"/>
  <c r="I42" i="16"/>
  <c r="J42" i="16"/>
  <c r="J48" i="16" s="1"/>
  <c r="K42" i="16"/>
  <c r="K48" i="16" s="1"/>
  <c r="L42" i="16"/>
  <c r="M42" i="16"/>
  <c r="M48" i="16" s="1"/>
  <c r="N42" i="16"/>
  <c r="N48" i="16" s="1"/>
  <c r="O42" i="16"/>
  <c r="O43" i="16" s="1"/>
  <c r="D42" i="16"/>
  <c r="D48" i="16" s="1"/>
  <c r="D41" i="16"/>
  <c r="D47" i="16" s="1"/>
  <c r="D40" i="16"/>
  <c r="D46" i="16" s="1"/>
  <c r="L48" i="16"/>
  <c r="E48" i="16"/>
  <c r="I47" i="16"/>
  <c r="O46" i="16"/>
  <c r="J46" i="16"/>
  <c r="G46" i="16"/>
  <c r="F46" i="16"/>
  <c r="G43" i="16"/>
  <c r="I48" i="16"/>
  <c r="G48" i="16"/>
  <c r="O47" i="16"/>
  <c r="L47" i="16"/>
  <c r="K47" i="16"/>
  <c r="G47" i="16"/>
  <c r="F47" i="16"/>
  <c r="L46" i="16"/>
  <c r="K46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C37" i="16"/>
  <c r="C36" i="16"/>
  <c r="C35" i="16"/>
  <c r="C34" i="16"/>
  <c r="C38" i="16" s="1"/>
  <c r="D43" i="17" l="1"/>
  <c r="D46" i="17"/>
  <c r="D49" i="17" s="1"/>
  <c r="K43" i="16"/>
  <c r="G49" i="16"/>
  <c r="J43" i="16"/>
  <c r="H43" i="16"/>
  <c r="F43" i="16"/>
  <c r="M49" i="16"/>
  <c r="I43" i="16"/>
  <c r="E49" i="16"/>
  <c r="N43" i="16"/>
  <c r="K49" i="16"/>
  <c r="L49" i="16"/>
  <c r="O48" i="16"/>
  <c r="O49" i="16" s="1"/>
  <c r="J47" i="16"/>
  <c r="J49" i="16" s="1"/>
  <c r="D49" i="16"/>
  <c r="N49" i="16"/>
  <c r="F49" i="16"/>
  <c r="D43" i="16"/>
  <c r="E43" i="16"/>
  <c r="M43" i="16"/>
  <c r="H46" i="16"/>
  <c r="H49" i="16" s="1"/>
  <c r="L43" i="16"/>
  <c r="I46" i="16"/>
  <c r="I49" i="16" s="1"/>
  <c r="C48" i="16" l="1"/>
  <c r="C47" i="16"/>
  <c r="C46" i="16"/>
  <c r="C43" i="16"/>
  <c r="C49" i="16" l="1"/>
  <c r="D12" i="6"/>
  <c r="E12" i="6"/>
  <c r="F12" i="6"/>
  <c r="G12" i="6"/>
  <c r="H12" i="6"/>
  <c r="C12" i="6"/>
  <c r="T26" i="1" l="1"/>
  <c r="U26" i="1"/>
  <c r="V26" i="1"/>
  <c r="W26" i="1"/>
  <c r="X26" i="1"/>
  <c r="S26" i="1"/>
  <c r="T34" i="3" l="1"/>
  <c r="U34" i="3"/>
  <c r="V34" i="3"/>
  <c r="W34" i="3"/>
  <c r="X34" i="3"/>
  <c r="S34" i="3"/>
  <c r="T36" i="3"/>
  <c r="U36" i="3"/>
  <c r="V36" i="3"/>
  <c r="W36" i="3"/>
  <c r="X36" i="3"/>
  <c r="S36" i="3"/>
  <c r="T23" i="3"/>
  <c r="U23" i="3"/>
  <c r="V23" i="3"/>
  <c r="W23" i="3"/>
  <c r="X23" i="3"/>
  <c r="S23" i="3"/>
  <c r="T22" i="3"/>
  <c r="U22" i="3"/>
  <c r="V22" i="3"/>
  <c r="W22" i="3"/>
  <c r="X22" i="3"/>
  <c r="S22" i="3"/>
  <c r="T20" i="3"/>
  <c r="U20" i="3"/>
  <c r="V20" i="3"/>
  <c r="W20" i="3"/>
  <c r="X20" i="3"/>
  <c r="X39" i="3" s="1"/>
  <c r="S20" i="3"/>
  <c r="T11" i="3"/>
  <c r="U11" i="3"/>
  <c r="V11" i="3"/>
  <c r="W11" i="3"/>
  <c r="X11" i="3"/>
  <c r="S11" i="3"/>
  <c r="V18" i="1"/>
  <c r="W18" i="1"/>
  <c r="X18" i="1"/>
  <c r="V20" i="1"/>
  <c r="W20" i="1"/>
  <c r="X20" i="1"/>
  <c r="V21" i="1"/>
  <c r="W21" i="1"/>
  <c r="X21" i="1"/>
  <c r="V23" i="1"/>
  <c r="W23" i="1"/>
  <c r="X23" i="1"/>
  <c r="V24" i="1"/>
  <c r="W24" i="1"/>
  <c r="X24" i="1"/>
  <c r="V27" i="1"/>
  <c r="W27" i="1"/>
  <c r="X27" i="1"/>
  <c r="V28" i="1"/>
  <c r="W28" i="1"/>
  <c r="X28" i="1"/>
  <c r="V29" i="1"/>
  <c r="W29" i="1"/>
  <c r="X29" i="1"/>
  <c r="V30" i="1"/>
  <c r="W30" i="1"/>
  <c r="X30" i="1"/>
  <c r="V33" i="1"/>
  <c r="W33" i="1"/>
  <c r="X33" i="1"/>
  <c r="V35" i="1"/>
  <c r="W35" i="1"/>
  <c r="X35" i="1"/>
  <c r="T35" i="1"/>
  <c r="U35" i="1"/>
  <c r="S35" i="1"/>
  <c r="T33" i="1"/>
  <c r="U33" i="1"/>
  <c r="S33" i="1"/>
  <c r="T27" i="1"/>
  <c r="U27" i="1"/>
  <c r="T28" i="1"/>
  <c r="U28" i="1"/>
  <c r="T29" i="1"/>
  <c r="U29" i="1"/>
  <c r="T30" i="1"/>
  <c r="U30" i="1"/>
  <c r="S28" i="1"/>
  <c r="S29" i="1"/>
  <c r="S30" i="1"/>
  <c r="S27" i="1"/>
  <c r="T23" i="1"/>
  <c r="U23" i="1"/>
  <c r="T24" i="1"/>
  <c r="U24" i="1"/>
  <c r="S24" i="1"/>
  <c r="S23" i="1"/>
  <c r="T20" i="1"/>
  <c r="U20" i="1"/>
  <c r="T21" i="1"/>
  <c r="U21" i="1"/>
  <c r="S21" i="1"/>
  <c r="S20" i="1"/>
  <c r="T18" i="1"/>
  <c r="U18" i="1"/>
  <c r="S18" i="1"/>
  <c r="T11" i="1"/>
  <c r="U11" i="1"/>
  <c r="S11" i="1"/>
  <c r="X40" i="3" l="1"/>
  <c r="I46" i="6"/>
  <c r="D48" i="6" l="1"/>
  <c r="E48" i="6"/>
  <c r="F48" i="6"/>
  <c r="G48" i="6"/>
  <c r="H48" i="6"/>
  <c r="C48" i="6"/>
  <c r="D35" i="6"/>
  <c r="E35" i="6"/>
  <c r="F35" i="6"/>
  <c r="G35" i="6"/>
  <c r="H35" i="6"/>
  <c r="D36" i="6"/>
  <c r="E36" i="6"/>
  <c r="F36" i="6"/>
  <c r="G36" i="6"/>
  <c r="H36" i="6"/>
  <c r="D37" i="6"/>
  <c r="E37" i="6"/>
  <c r="F37" i="6"/>
  <c r="G37" i="6"/>
  <c r="H37" i="6"/>
  <c r="D38" i="6"/>
  <c r="E38" i="6"/>
  <c r="F38" i="6"/>
  <c r="G38" i="6"/>
  <c r="H38" i="6"/>
  <c r="D39" i="6"/>
  <c r="E39" i="6"/>
  <c r="F39" i="6"/>
  <c r="G39" i="6"/>
  <c r="H39" i="6"/>
  <c r="D40" i="6"/>
  <c r="E40" i="6"/>
  <c r="F40" i="6"/>
  <c r="G40" i="6"/>
  <c r="H40" i="6"/>
  <c r="D41" i="6"/>
  <c r="E41" i="6"/>
  <c r="F41" i="6"/>
  <c r="G41" i="6"/>
  <c r="H41" i="6"/>
  <c r="D42" i="6"/>
  <c r="E42" i="6"/>
  <c r="F42" i="6"/>
  <c r="G42" i="6"/>
  <c r="H42" i="6"/>
  <c r="D43" i="6"/>
  <c r="E43" i="6"/>
  <c r="F43" i="6"/>
  <c r="G43" i="6"/>
  <c r="H43" i="6"/>
  <c r="D44" i="6"/>
  <c r="E44" i="6"/>
  <c r="F44" i="6"/>
  <c r="G44" i="6"/>
  <c r="H44" i="6"/>
  <c r="D45" i="6"/>
  <c r="E45" i="6"/>
  <c r="F45" i="6"/>
  <c r="G45" i="6"/>
  <c r="H45" i="6"/>
  <c r="C45" i="6"/>
  <c r="C44" i="6"/>
  <c r="C43" i="6"/>
  <c r="C42" i="6"/>
  <c r="C41" i="6"/>
  <c r="C40" i="6"/>
  <c r="C39" i="6"/>
  <c r="C38" i="6"/>
  <c r="C36" i="6"/>
  <c r="C37" i="6"/>
  <c r="C35" i="6"/>
  <c r="D32" i="6"/>
  <c r="E32" i="6"/>
  <c r="F32" i="6"/>
  <c r="G32" i="6"/>
  <c r="H32" i="6"/>
  <c r="C32" i="6"/>
  <c r="D21" i="6"/>
  <c r="E21" i="6"/>
  <c r="F21" i="6"/>
  <c r="G21" i="6"/>
  <c r="H21" i="6"/>
  <c r="I21" i="6"/>
  <c r="C21" i="6"/>
  <c r="D24" i="6"/>
  <c r="E24" i="6"/>
  <c r="F24" i="6"/>
  <c r="G24" i="6"/>
  <c r="H24" i="6"/>
  <c r="D25" i="6"/>
  <c r="E25" i="6"/>
  <c r="F25" i="6"/>
  <c r="G25" i="6"/>
  <c r="H25" i="6"/>
  <c r="D26" i="6"/>
  <c r="E26" i="6"/>
  <c r="F26" i="6"/>
  <c r="G26" i="6"/>
  <c r="H26" i="6"/>
  <c r="D27" i="6"/>
  <c r="E27" i="6"/>
  <c r="F27" i="6"/>
  <c r="G27" i="6"/>
  <c r="H27" i="6"/>
  <c r="D28" i="6"/>
  <c r="E28" i="6"/>
  <c r="F28" i="6"/>
  <c r="G28" i="6"/>
  <c r="H28" i="6"/>
  <c r="D30" i="6"/>
  <c r="E30" i="6"/>
  <c r="F30" i="6"/>
  <c r="G30" i="6"/>
  <c r="H30" i="6"/>
  <c r="C30" i="6"/>
  <c r="C28" i="6"/>
  <c r="C27" i="6"/>
  <c r="C25" i="6"/>
  <c r="C26" i="6"/>
  <c r="C24" i="6"/>
  <c r="D15" i="6"/>
  <c r="E15" i="6"/>
  <c r="F15" i="6"/>
  <c r="G15" i="6"/>
  <c r="H15" i="6"/>
  <c r="D16" i="6"/>
  <c r="E16" i="6"/>
  <c r="F16" i="6"/>
  <c r="G16" i="6"/>
  <c r="H16" i="6"/>
  <c r="D17" i="6"/>
  <c r="E17" i="6"/>
  <c r="F17" i="6"/>
  <c r="G17" i="6"/>
  <c r="H17" i="6"/>
  <c r="D18" i="6"/>
  <c r="E18" i="6"/>
  <c r="F18" i="6"/>
  <c r="G18" i="6"/>
  <c r="H18" i="6"/>
  <c r="D19" i="6"/>
  <c r="E19" i="6"/>
  <c r="F19" i="6"/>
  <c r="G19" i="6"/>
  <c r="H19" i="6"/>
  <c r="C19" i="6"/>
  <c r="C18" i="6"/>
  <c r="C16" i="6"/>
  <c r="C17" i="6"/>
  <c r="C15" i="6"/>
  <c r="D8" i="6"/>
  <c r="E8" i="6"/>
  <c r="F8" i="6"/>
  <c r="G8" i="6"/>
  <c r="H8" i="6"/>
  <c r="D9" i="6"/>
  <c r="E9" i="6"/>
  <c r="F9" i="6"/>
  <c r="G9" i="6"/>
  <c r="H9" i="6"/>
  <c r="D10" i="6"/>
  <c r="E10" i="6"/>
  <c r="F10" i="6"/>
  <c r="G10" i="6"/>
  <c r="H10" i="6"/>
  <c r="C10" i="6"/>
  <c r="C9" i="6"/>
  <c r="C8" i="6"/>
  <c r="C6" i="6"/>
  <c r="D6" i="6"/>
  <c r="E6" i="6"/>
  <c r="F6" i="6"/>
  <c r="G6" i="6"/>
  <c r="H6" i="6"/>
  <c r="C7" i="6"/>
  <c r="R7" i="6" s="1"/>
  <c r="D7" i="6"/>
  <c r="E7" i="6"/>
  <c r="F7" i="6"/>
  <c r="G7" i="6"/>
  <c r="H7" i="6"/>
  <c r="D5" i="6"/>
  <c r="E5" i="6"/>
  <c r="F5" i="6"/>
  <c r="G5" i="6"/>
  <c r="H5" i="6"/>
  <c r="C5" i="6"/>
  <c r="K7" i="6" l="1"/>
  <c r="I7" i="6"/>
  <c r="J7" i="6"/>
  <c r="N7" i="6"/>
  <c r="O7" i="6"/>
  <c r="P7" i="6"/>
  <c r="L7" i="6"/>
  <c r="Q7" i="6"/>
  <c r="M7" i="6"/>
  <c r="R15" i="6"/>
  <c r="R17" i="6"/>
  <c r="R16" i="6"/>
  <c r="R18" i="6"/>
  <c r="R6" i="6"/>
  <c r="R5" i="6"/>
  <c r="R8" i="6"/>
  <c r="J48" i="6"/>
  <c r="K48" i="6"/>
  <c r="L48" i="6"/>
  <c r="M48" i="6"/>
  <c r="N48" i="6"/>
  <c r="O48" i="6"/>
  <c r="P48" i="6"/>
  <c r="Q48" i="6"/>
  <c r="I48" i="6"/>
  <c r="J6" i="6" l="1"/>
  <c r="K6" i="6"/>
  <c r="I6" i="6"/>
  <c r="L6" i="6"/>
  <c r="M6" i="6"/>
  <c r="N6" i="6"/>
  <c r="O6" i="6"/>
  <c r="P6" i="6"/>
  <c r="Q6" i="6"/>
  <c r="K5" i="6"/>
  <c r="I5" i="6"/>
  <c r="J5" i="6"/>
  <c r="P5" i="6"/>
  <c r="Q5" i="6"/>
  <c r="R11" i="6"/>
  <c r="N5" i="6"/>
  <c r="O5" i="6"/>
  <c r="M5" i="6"/>
  <c r="L5" i="6"/>
  <c r="I16" i="6"/>
  <c r="J16" i="6"/>
  <c r="K16" i="6"/>
  <c r="P16" i="6"/>
  <c r="N16" i="6"/>
  <c r="Q16" i="6"/>
  <c r="L16" i="6"/>
  <c r="M16" i="6"/>
  <c r="O16" i="6"/>
  <c r="K18" i="6"/>
  <c r="I18" i="6"/>
  <c r="J18" i="6"/>
  <c r="N18" i="6"/>
  <c r="M18" i="6"/>
  <c r="O18" i="6"/>
  <c r="P18" i="6"/>
  <c r="Q18" i="6"/>
  <c r="L18" i="6"/>
  <c r="J15" i="6"/>
  <c r="I15" i="6"/>
  <c r="K15" i="6"/>
  <c r="M15" i="6"/>
  <c r="R20" i="6"/>
  <c r="N15" i="6"/>
  <c r="O15" i="6"/>
  <c r="P15" i="6"/>
  <c r="Q15" i="6"/>
  <c r="L15" i="6"/>
  <c r="K8" i="6"/>
  <c r="I8" i="6"/>
  <c r="J8" i="6"/>
  <c r="Q8" i="6"/>
  <c r="L8" i="6"/>
  <c r="M8" i="6"/>
  <c r="O8" i="6"/>
  <c r="N8" i="6"/>
  <c r="P8" i="6"/>
  <c r="K17" i="6"/>
  <c r="J17" i="6"/>
  <c r="I17" i="6"/>
  <c r="Q17" i="6"/>
  <c r="M17" i="6"/>
  <c r="N17" i="6"/>
  <c r="O17" i="6"/>
  <c r="P17" i="6"/>
  <c r="L17" i="6"/>
  <c r="X38" i="1"/>
  <c r="X39" i="1" s="1"/>
  <c r="X42" i="1"/>
  <c r="Q53" i="6" s="1"/>
  <c r="J38" i="6"/>
  <c r="K38" i="6"/>
  <c r="L38" i="6"/>
  <c r="M38" i="6"/>
  <c r="N38" i="6"/>
  <c r="O38" i="6"/>
  <c r="P38" i="6"/>
  <c r="Q38" i="6"/>
  <c r="J39" i="6"/>
  <c r="K39" i="6"/>
  <c r="L39" i="6"/>
  <c r="M39" i="6"/>
  <c r="N39" i="6"/>
  <c r="O39" i="6"/>
  <c r="P39" i="6"/>
  <c r="Q39" i="6"/>
  <c r="J40" i="6"/>
  <c r="K40" i="6"/>
  <c r="L40" i="6"/>
  <c r="M40" i="6"/>
  <c r="N40" i="6"/>
  <c r="O40" i="6"/>
  <c r="P40" i="6"/>
  <c r="Q40" i="6"/>
  <c r="J41" i="6"/>
  <c r="K41" i="6"/>
  <c r="L41" i="6"/>
  <c r="M41" i="6"/>
  <c r="N41" i="6"/>
  <c r="O41" i="6"/>
  <c r="P41" i="6"/>
  <c r="Q41" i="6"/>
  <c r="J42" i="6"/>
  <c r="K42" i="6"/>
  <c r="L42" i="6"/>
  <c r="M42" i="6"/>
  <c r="N42" i="6"/>
  <c r="O42" i="6"/>
  <c r="P42" i="6"/>
  <c r="Q42" i="6"/>
  <c r="J46" i="6"/>
  <c r="K46" i="6"/>
  <c r="L46" i="6"/>
  <c r="M46" i="6"/>
  <c r="N46" i="6"/>
  <c r="O46" i="6"/>
  <c r="P46" i="6"/>
  <c r="Q46" i="6"/>
  <c r="I49" i="6"/>
  <c r="I42" i="6"/>
  <c r="I41" i="6"/>
  <c r="I40" i="6"/>
  <c r="I39" i="6"/>
  <c r="I38" i="6"/>
  <c r="I12" i="6" l="1"/>
  <c r="W42" i="1" l="1"/>
  <c r="P53" i="6" s="1"/>
  <c r="V42" i="1"/>
  <c r="O53" i="6" s="1"/>
  <c r="U42" i="1"/>
  <c r="N53" i="6" s="1"/>
  <c r="T42" i="1"/>
  <c r="M53" i="6" s="1"/>
  <c r="S42" i="1"/>
  <c r="L53" i="6" s="1"/>
  <c r="R42" i="1"/>
  <c r="K53" i="6" s="1"/>
  <c r="Q42" i="1"/>
  <c r="J53" i="6" s="1"/>
  <c r="P42" i="1"/>
  <c r="I53" i="6" s="1"/>
  <c r="N42" i="1"/>
  <c r="M42" i="1"/>
  <c r="L42" i="1"/>
  <c r="K42" i="1"/>
  <c r="J42" i="1"/>
  <c r="I42" i="1"/>
  <c r="H42" i="1"/>
  <c r="G42" i="1"/>
  <c r="F42" i="1"/>
  <c r="E42" i="1"/>
  <c r="D42" i="1"/>
  <c r="C42" i="1"/>
  <c r="W38" i="1"/>
  <c r="W39" i="1" s="1"/>
  <c r="V38" i="1"/>
  <c r="V39" i="1" s="1"/>
  <c r="U38" i="1"/>
  <c r="U39" i="1" s="1"/>
  <c r="T38" i="1"/>
  <c r="T39" i="1" s="1"/>
  <c r="S38" i="1"/>
  <c r="S39" i="1" s="1"/>
  <c r="R38" i="1"/>
  <c r="R39" i="1" s="1"/>
  <c r="Q38" i="1"/>
  <c r="Q39" i="1" s="1"/>
  <c r="P38" i="1"/>
  <c r="P39" i="1" s="1"/>
  <c r="N38" i="1"/>
  <c r="N39" i="1" s="1"/>
  <c r="M38" i="1"/>
  <c r="M39" i="1" s="1"/>
  <c r="L38" i="1"/>
  <c r="L39" i="1" s="1"/>
  <c r="K38" i="1"/>
  <c r="K39" i="1" s="1"/>
  <c r="J38" i="1"/>
  <c r="J39" i="1" s="1"/>
  <c r="I38" i="1"/>
  <c r="I39" i="1" s="1"/>
  <c r="H38" i="1"/>
  <c r="H39" i="1" s="1"/>
  <c r="G38" i="1"/>
  <c r="G39" i="1" s="1"/>
  <c r="F38" i="1"/>
  <c r="F39" i="1" s="1"/>
  <c r="E38" i="1"/>
  <c r="E39" i="1" s="1"/>
  <c r="D38" i="1"/>
  <c r="D39" i="1" s="1"/>
  <c r="C38" i="1"/>
  <c r="C39" i="1" s="1"/>
  <c r="H53" i="6" l="1"/>
  <c r="C53" i="6"/>
  <c r="D53" i="6"/>
  <c r="E53" i="6"/>
  <c r="G53" i="6"/>
  <c r="F53" i="6"/>
  <c r="W34" i="4" l="1"/>
  <c r="W35" i="4" s="1"/>
  <c r="V34" i="4"/>
  <c r="V35" i="4" s="1"/>
  <c r="U34" i="4"/>
  <c r="U35" i="4" s="1"/>
  <c r="T34" i="4"/>
  <c r="T35" i="4" s="1"/>
  <c r="S34" i="4"/>
  <c r="S35" i="4" s="1"/>
  <c r="R34" i="4"/>
  <c r="R35" i="4" s="1"/>
  <c r="Q34" i="4"/>
  <c r="Q35" i="4" s="1"/>
  <c r="P34" i="4"/>
  <c r="P35" i="4" s="1"/>
  <c r="N34" i="4"/>
  <c r="N35" i="4" s="1"/>
  <c r="M34" i="4"/>
  <c r="M35" i="4" s="1"/>
  <c r="L34" i="4"/>
  <c r="L35" i="4" s="1"/>
  <c r="K34" i="4"/>
  <c r="K35" i="4" s="1"/>
  <c r="J34" i="4"/>
  <c r="J35" i="4" s="1"/>
  <c r="I34" i="4"/>
  <c r="I35" i="4" s="1"/>
  <c r="H34" i="4"/>
  <c r="H35" i="4" s="1"/>
  <c r="G34" i="4"/>
  <c r="G35" i="4" s="1"/>
  <c r="F34" i="4"/>
  <c r="F35" i="4" s="1"/>
  <c r="E34" i="4"/>
  <c r="E35" i="4" s="1"/>
  <c r="D34" i="4"/>
  <c r="D35" i="4" s="1"/>
  <c r="C34" i="4"/>
  <c r="C35" i="4" s="1"/>
  <c r="W39" i="3"/>
  <c r="W40" i="3" s="1"/>
  <c r="V39" i="3"/>
  <c r="V40" i="3" s="1"/>
  <c r="U39" i="3"/>
  <c r="U40" i="3" s="1"/>
  <c r="T39" i="3"/>
  <c r="T40" i="3" s="1"/>
  <c r="S39" i="3"/>
  <c r="S40" i="3" s="1"/>
  <c r="R39" i="3"/>
  <c r="R40" i="3" s="1"/>
  <c r="Q39" i="3"/>
  <c r="Q40" i="3" s="1"/>
  <c r="P39" i="3"/>
  <c r="P40" i="3" s="1"/>
  <c r="N39" i="3"/>
  <c r="N40" i="3" s="1"/>
  <c r="M39" i="3"/>
  <c r="M40" i="3" s="1"/>
  <c r="L39" i="3"/>
  <c r="L40" i="3" s="1"/>
  <c r="K39" i="3"/>
  <c r="K40" i="3" s="1"/>
  <c r="J39" i="3"/>
  <c r="J40" i="3" s="1"/>
  <c r="I39" i="3"/>
  <c r="I40" i="3" s="1"/>
  <c r="H39" i="3"/>
  <c r="H40" i="3" s="1"/>
  <c r="G39" i="3"/>
  <c r="G40" i="3" s="1"/>
  <c r="F39" i="3"/>
  <c r="F40" i="3" s="1"/>
  <c r="E39" i="3"/>
  <c r="E40" i="3" s="1"/>
  <c r="D39" i="3"/>
  <c r="D40" i="3" s="1"/>
  <c r="C39" i="3"/>
  <c r="C40" i="3" s="1"/>
  <c r="P33" i="2"/>
  <c r="Q33" i="2"/>
  <c r="Q34" i="2" s="1"/>
  <c r="R33" i="2"/>
  <c r="R34" i="2" s="1"/>
  <c r="S33" i="2"/>
  <c r="S34" i="2" s="1"/>
  <c r="T33" i="2"/>
  <c r="T34" i="2" s="1"/>
  <c r="U33" i="2"/>
  <c r="U34" i="2" s="1"/>
  <c r="V33" i="2"/>
  <c r="V34" i="2" s="1"/>
  <c r="W33" i="2"/>
  <c r="W34" i="2" s="1"/>
  <c r="P34" i="2"/>
  <c r="D33" i="2"/>
  <c r="D34" i="2" s="1"/>
  <c r="E33" i="2"/>
  <c r="E34" i="2" s="1"/>
  <c r="F33" i="2"/>
  <c r="G33" i="2"/>
  <c r="G34" i="2" s="1"/>
  <c r="H33" i="2"/>
  <c r="H34" i="2" s="1"/>
  <c r="I33" i="2"/>
  <c r="I34" i="2" s="1"/>
  <c r="J33" i="2"/>
  <c r="J34" i="2" s="1"/>
  <c r="K33" i="2"/>
  <c r="K34" i="2" s="1"/>
  <c r="L33" i="2"/>
  <c r="L34" i="2" s="1"/>
  <c r="M33" i="2"/>
  <c r="M34" i="2" s="1"/>
  <c r="N33" i="2"/>
  <c r="N34" i="2" s="1"/>
  <c r="F34" i="2"/>
  <c r="C33" i="2"/>
  <c r="C34" i="2" s="1"/>
  <c r="P49" i="6" l="1"/>
  <c r="Q49" i="6"/>
  <c r="O49" i="6"/>
  <c r="I28" i="6"/>
  <c r="E46" i="6" l="1"/>
  <c r="J28" i="6"/>
  <c r="G11" i="6"/>
  <c r="F11" i="6"/>
  <c r="E11" i="6"/>
  <c r="H11" i="6"/>
  <c r="D11" i="6"/>
  <c r="G52" i="6"/>
  <c r="F52" i="6"/>
  <c r="E52" i="6"/>
  <c r="H52" i="6"/>
  <c r="D52" i="6"/>
  <c r="D46" i="6"/>
  <c r="E31" i="6"/>
  <c r="L49" i="6"/>
  <c r="D31" i="6"/>
  <c r="J49" i="6"/>
  <c r="K49" i="6"/>
  <c r="N49" i="6"/>
  <c r="M49" i="6"/>
  <c r="F20" i="6"/>
  <c r="H20" i="6"/>
  <c r="D20" i="6"/>
  <c r="F31" i="6"/>
  <c r="F46" i="6"/>
  <c r="G31" i="6"/>
  <c r="H46" i="6"/>
  <c r="G20" i="6"/>
  <c r="E20" i="6"/>
  <c r="G46" i="6"/>
  <c r="H31" i="6"/>
  <c r="R45" i="6"/>
  <c r="I45" i="6" s="1"/>
  <c r="L45" i="6" l="1"/>
  <c r="P45" i="6"/>
  <c r="N45" i="6"/>
  <c r="K45" i="6"/>
  <c r="J45" i="6"/>
  <c r="M45" i="6"/>
  <c r="Q45" i="6"/>
  <c r="O45" i="6"/>
  <c r="R43" i="6"/>
  <c r="R44" i="6"/>
  <c r="R26" i="6"/>
  <c r="R24" i="6"/>
  <c r="R25" i="6"/>
  <c r="R35" i="6"/>
  <c r="R36" i="6"/>
  <c r="R37" i="6"/>
  <c r="D33" i="6"/>
  <c r="K28" i="6"/>
  <c r="C11" i="6"/>
  <c r="C52" i="6"/>
  <c r="D49" i="6"/>
  <c r="D13" i="6"/>
  <c r="D22" i="6"/>
  <c r="C20" i="6"/>
  <c r="C46" i="6"/>
  <c r="C31" i="6"/>
  <c r="I44" i="6" l="1"/>
  <c r="N44" i="6"/>
  <c r="O44" i="6"/>
  <c r="P44" i="6"/>
  <c r="L44" i="6"/>
  <c r="M44" i="6"/>
  <c r="Q44" i="6"/>
  <c r="I43" i="6"/>
  <c r="L43" i="6"/>
  <c r="K35" i="6"/>
  <c r="O35" i="6"/>
  <c r="L35" i="6"/>
  <c r="P35" i="6"/>
  <c r="I35" i="6"/>
  <c r="M35" i="6"/>
  <c r="Q35" i="6"/>
  <c r="J35" i="6"/>
  <c r="N35" i="6"/>
  <c r="K37" i="6"/>
  <c r="O37" i="6"/>
  <c r="J37" i="6"/>
  <c r="L37" i="6"/>
  <c r="P37" i="6"/>
  <c r="I37" i="6"/>
  <c r="M37" i="6"/>
  <c r="Q37" i="6"/>
  <c r="N37" i="6"/>
  <c r="K44" i="6"/>
  <c r="J44" i="6"/>
  <c r="K36" i="6"/>
  <c r="O36" i="6"/>
  <c r="L36" i="6"/>
  <c r="P36" i="6"/>
  <c r="M36" i="6"/>
  <c r="Q36" i="6"/>
  <c r="I36" i="6"/>
  <c r="J36" i="6"/>
  <c r="N36" i="6"/>
  <c r="N43" i="6"/>
  <c r="J43" i="6"/>
  <c r="P43" i="6"/>
  <c r="M43" i="6"/>
  <c r="Q43" i="6"/>
  <c r="K43" i="6"/>
  <c r="O43" i="6"/>
  <c r="R38" i="6"/>
  <c r="R27" i="6"/>
  <c r="L28" i="6"/>
  <c r="C49" i="6"/>
  <c r="C22" i="6"/>
  <c r="C13" i="6"/>
  <c r="C33" i="6"/>
  <c r="M28" i="6" l="1"/>
  <c r="E13" i="6"/>
  <c r="H13" i="6"/>
  <c r="G13" i="6"/>
  <c r="F13" i="6"/>
  <c r="E33" i="6"/>
  <c r="G49" i="6"/>
  <c r="F49" i="6"/>
  <c r="E49" i="6"/>
  <c r="H49" i="6"/>
  <c r="E22" i="6"/>
  <c r="G22" i="6"/>
  <c r="F33" i="6"/>
  <c r="H33" i="6"/>
  <c r="G33" i="6"/>
  <c r="H22" i="6"/>
  <c r="F22" i="6"/>
  <c r="N28" i="6" l="1"/>
  <c r="O28" i="6" l="1"/>
  <c r="P28" i="6" l="1"/>
  <c r="Q28" i="6" l="1"/>
  <c r="V43" i="6" l="1"/>
  <c r="V44" i="6" l="1"/>
  <c r="V45" i="6" l="1"/>
  <c r="R46" i="6"/>
  <c r="N52" i="6"/>
  <c r="N50" i="6"/>
  <c r="L50" i="6"/>
  <c r="M52" i="6"/>
  <c r="M50" i="6"/>
  <c r="J50" i="6"/>
  <c r="Q52" i="6"/>
  <c r="L52" i="6"/>
  <c r="K52" i="6"/>
  <c r="P52" i="6"/>
  <c r="Q50" i="6"/>
  <c r="J52" i="6"/>
  <c r="I52" i="6" l="1"/>
  <c r="I50" i="6"/>
  <c r="P50" i="6"/>
  <c r="O50" i="6"/>
  <c r="O52" i="6"/>
  <c r="K50" i="6"/>
  <c r="P20" i="6" l="1"/>
  <c r="Q20" i="6"/>
  <c r="I20" i="6"/>
  <c r="I22" i="6" s="1"/>
  <c r="K20" i="6"/>
  <c r="J20" i="6"/>
  <c r="O20" i="6"/>
  <c r="N20" i="6"/>
  <c r="M20" i="6"/>
  <c r="L20" i="6"/>
  <c r="P11" i="6" l="1"/>
  <c r="O11" i="6"/>
  <c r="L11" i="6"/>
  <c r="Q11" i="6"/>
  <c r="N11" i="6"/>
  <c r="K11" i="6"/>
  <c r="I11" i="6"/>
  <c r="I13" i="6" s="1"/>
  <c r="M11" i="6"/>
  <c r="J11" i="6"/>
  <c r="S43" i="6" l="1"/>
  <c r="S45" i="6"/>
  <c r="I59" i="6" l="1"/>
  <c r="Q59" i="6"/>
  <c r="J59" i="6"/>
  <c r="O59" i="6"/>
  <c r="P59" i="6"/>
  <c r="M59" i="6"/>
  <c r="L59" i="6"/>
  <c r="N59" i="6"/>
  <c r="K59" i="6"/>
  <c r="S44" i="6"/>
  <c r="L57" i="6"/>
  <c r="Q57" i="6"/>
  <c r="O57" i="6"/>
  <c r="J57" i="6"/>
  <c r="H57" i="6" s="1"/>
  <c r="P57" i="6"/>
  <c r="I57" i="6"/>
  <c r="N57" i="6"/>
  <c r="M57" i="6"/>
  <c r="K57" i="6"/>
  <c r="Q62" i="6"/>
  <c r="N62" i="6"/>
  <c r="O62" i="6"/>
  <c r="P62" i="6"/>
  <c r="K62" i="6"/>
  <c r="J62" i="6"/>
  <c r="L62" i="6"/>
  <c r="M62" i="6"/>
  <c r="N26" i="6" l="1"/>
  <c r="N25" i="6"/>
  <c r="N24" i="6"/>
  <c r="O26" i="6"/>
  <c r="O24" i="6"/>
  <c r="O25" i="6"/>
  <c r="O58" i="6"/>
  <c r="N58" i="6"/>
  <c r="L58" i="6"/>
  <c r="P58" i="6"/>
  <c r="K58" i="6"/>
  <c r="I58" i="6"/>
  <c r="Q58" i="6"/>
  <c r="J58" i="6"/>
  <c r="H58" i="6" s="1"/>
  <c r="M58" i="6"/>
  <c r="Q63" i="6"/>
  <c r="K63" i="6"/>
  <c r="L63" i="6"/>
  <c r="J63" i="6"/>
  <c r="O63" i="6"/>
  <c r="N63" i="6"/>
  <c r="M63" i="6"/>
  <c r="P63" i="6"/>
  <c r="L26" i="6"/>
  <c r="L24" i="6"/>
  <c r="L25" i="6"/>
  <c r="H59" i="6"/>
  <c r="J25" i="6"/>
  <c r="J26" i="6"/>
  <c r="J24" i="6"/>
  <c r="M25" i="6"/>
  <c r="M24" i="6"/>
  <c r="M26" i="6"/>
  <c r="Q24" i="6"/>
  <c r="Q26" i="6"/>
  <c r="Q25" i="6"/>
  <c r="K24" i="6"/>
  <c r="K25" i="6"/>
  <c r="K26" i="6"/>
  <c r="P26" i="6"/>
  <c r="P25" i="6"/>
  <c r="P24" i="6"/>
  <c r="I26" i="6"/>
  <c r="I25" i="6"/>
  <c r="I24" i="6"/>
  <c r="Q31" i="6" l="1"/>
  <c r="Q64" i="6" s="1"/>
  <c r="H60" i="6"/>
  <c r="P31" i="6"/>
  <c r="P64" i="6" s="1"/>
  <c r="P65" i="6"/>
  <c r="P66" i="6" s="1"/>
  <c r="J31" i="6"/>
  <c r="J64" i="6" s="1"/>
  <c r="J65" i="6" s="1"/>
  <c r="J66" i="6" s="1"/>
  <c r="N31" i="6"/>
  <c r="N64" i="6" s="1"/>
  <c r="I31" i="6"/>
  <c r="K31" i="6"/>
  <c r="K64" i="6" s="1"/>
  <c r="K65" i="6" s="1"/>
  <c r="K66" i="6" s="1"/>
  <c r="L31" i="6"/>
  <c r="L64" i="6" s="1"/>
  <c r="L65" i="6" s="1"/>
  <c r="L66" i="6" s="1"/>
  <c r="N65" i="6"/>
  <c r="N66" i="6" s="1"/>
  <c r="M31" i="6"/>
  <c r="M64" i="6" s="1"/>
  <c r="M65" i="6" s="1"/>
  <c r="M66" i="6" s="1"/>
  <c r="Q65" i="6"/>
  <c r="Q66" i="6" s="1"/>
  <c r="O31" i="6"/>
  <c r="O64" i="6" s="1"/>
  <c r="O65" i="6" s="1"/>
  <c r="O66" i="6" s="1"/>
  <c r="J56" i="6" l="1"/>
  <c r="H56" i="6" s="1"/>
  <c r="I56" i="6"/>
</calcChain>
</file>

<file path=xl/sharedStrings.xml><?xml version="1.0" encoding="utf-8"?>
<sst xmlns="http://schemas.openxmlformats.org/spreadsheetml/2006/main" count="467" uniqueCount="147">
  <si>
    <t>View</t>
  </si>
  <si>
    <t>Type</t>
  </si>
  <si>
    <t>Cost Center</t>
  </si>
  <si>
    <t>Company</t>
  </si>
  <si>
    <t>Total Taxes - Other Than Income Taxes</t>
  </si>
  <si>
    <t>Kentucky Division - 009DIV</t>
  </si>
  <si>
    <t>Dallas Atmos Rate Division - 002DIV</t>
  </si>
  <si>
    <t>Call Center Division - 012DIV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</si>
  <si>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</si>
  <si>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</si>
  <si>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</si>
  <si>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</si>
  <si>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</si>
  <si>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</si>
  <si>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</si>
  <si>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</si>
  <si>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</si>
  <si>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</si>
  <si>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</si>
  <si>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</si>
  <si>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Payroll Taxes</t>
  </si>
  <si>
    <t>Ad Valorem</t>
  </si>
  <si>
    <t>Others</t>
  </si>
  <si>
    <t>Taxes other than income taxes, - Fica Load 4081-01210</t>
  </si>
  <si>
    <t>Taxes other than income taxes, - Futa Load 4081-01211</t>
  </si>
  <si>
    <t>Taxes other than income taxes, - Suta Load Accrual 4081-01215</t>
  </si>
  <si>
    <t>Taxes other than income taxes, - Fica Load Accrual 4081-01213</t>
  </si>
  <si>
    <t>Taxes other than income taxes, - Futa Load Accrual 4081-01214</t>
  </si>
  <si>
    <t>Taxes other than income taxes, - Suta Load 4081-01212</t>
  </si>
  <si>
    <t>Taxes other than income taxes, - Other Benefits Load Projects 4081-01290</t>
  </si>
  <si>
    <t>Taxes other than income taxes, - Payroll Tax Projects 4081-01256</t>
  </si>
  <si>
    <t>Taxes other than income taxes, - Ad Valorem - Accrual 4081-30101</t>
  </si>
  <si>
    <t>Taxes other than income taxes, - Taxes Property And Other 4081-30102</t>
  </si>
  <si>
    <t>Taxes other than income taxes, - Billed to West Tex Div 4081-40001</t>
  </si>
  <si>
    <t>Taxes other than income taxes, - Billed to CO/KS Div 4081-40002</t>
  </si>
  <si>
    <t>Taxes other than income taxes, - Billed to LA Div 4081-40003</t>
  </si>
  <si>
    <t>Taxes other than income taxes, - Billed to Mid St Div 4081-40004</t>
  </si>
  <si>
    <t>Taxes other than income taxes, - Billed to Nonutilities 4081-40007</t>
  </si>
  <si>
    <t>Taxes other than income taxes, - Billed to Mid-Tex Div 4081-40008</t>
  </si>
  <si>
    <t>Taxes other than income taxes, - Billed to MS Div 4081-40009</t>
  </si>
  <si>
    <t>Taxes other than income taxes, - Billed to Atmos Pipeline Div 4081-40010</t>
  </si>
  <si>
    <t>Taxes other than income taxes, - Occupational Licenses 4081-30103</t>
  </si>
  <si>
    <t>Taxes other than income taxes, - Public Serv Comm Assessment 4081-30112</t>
  </si>
  <si>
    <t>Taxes other than income taxes, - Billing for Taxes Other and Depr 4081-41124</t>
  </si>
  <si>
    <t>Taxes other than income taxes, - Billing for CSC Depr &amp; Taxes Other 4081-41129</t>
  </si>
  <si>
    <t>Taxes other than income taxes, - Billing for SS Depr &amp; Taxes Other 4081-41130</t>
  </si>
  <si>
    <t>Taxes other than income taxes, - Taxes Other Than Inc Tax 4081-09345</t>
  </si>
  <si>
    <t>FICA</t>
  </si>
  <si>
    <t>FUTA</t>
  </si>
  <si>
    <t>SUTA</t>
  </si>
  <si>
    <t>Ad Valorem - Accrual</t>
  </si>
  <si>
    <t>Taxes Property and Other</t>
  </si>
  <si>
    <t>Public Service Commission Assessment</t>
  </si>
  <si>
    <t>Benefit load Projects</t>
  </si>
  <si>
    <t>Div 2</t>
  </si>
  <si>
    <t>Div 12</t>
  </si>
  <si>
    <t>Div 91</t>
  </si>
  <si>
    <t>Div 9</t>
  </si>
  <si>
    <t>Total</t>
  </si>
  <si>
    <t>Payroll Tax Projects</t>
  </si>
  <si>
    <t>Occupational Licenses</t>
  </si>
  <si>
    <t>Billing for CSC Depr &amp; Taxes Other 4081-41129</t>
  </si>
  <si>
    <t>Billing for SS Depr &amp; Taxes Other 4081-41130</t>
  </si>
  <si>
    <t>Taxes Other Than Inc Tax 4081-09345</t>
  </si>
  <si>
    <t>Taxes other than income taxes, - City Franchise 4081-30107</t>
  </si>
  <si>
    <t>Franchise Taxes</t>
  </si>
  <si>
    <t>checksum</t>
  </si>
  <si>
    <t>diff</t>
  </si>
  <si>
    <t>Actuals</t>
  </si>
  <si>
    <t>Budget</t>
  </si>
  <si>
    <t>Taxes other than income taxes, - Denver City Tax Load 4081-01220</t>
  </si>
  <si>
    <t>Load Projects</t>
  </si>
  <si>
    <t>Taxes other than income taxes, - Dot Transmission User Tax 4081-30108</t>
  </si>
  <si>
    <t>total allocations</t>
  </si>
  <si>
    <t>div 12</t>
  </si>
  <si>
    <t>div 2</t>
  </si>
  <si>
    <t>div 91</t>
  </si>
  <si>
    <t>Dot Transmission User Tax</t>
  </si>
  <si>
    <t>step 1 - this set of ratios breaks out the budgeted aggregate into divs</t>
  </si>
  <si>
    <t>Budget 2016</t>
  </si>
  <si>
    <t>Budget 2017</t>
  </si>
  <si>
    <t>Forecast</t>
  </si>
  <si>
    <t>009DIV Kentucky Division</t>
  </si>
  <si>
    <t>Other Taxes</t>
  </si>
  <si>
    <t>Fiscal 2017</t>
  </si>
  <si>
    <t>Fiscal 2018</t>
  </si>
  <si>
    <t>Budget 2018</t>
  </si>
  <si>
    <t>Version</t>
  </si>
  <si>
    <t>TTCC Total Cost Centers - Reporting</t>
  </si>
  <si>
    <t>Working Budget</t>
  </si>
  <si>
    <t>Taxes other than income taxes, utility  - Fica Load 4081-01210</t>
  </si>
  <si>
    <t>Taxes other than income taxes, utility  - Ad Valorem - Accrua 4081-30101</t>
  </si>
  <si>
    <t>Taxes other than income taxes, utility  - City Franchise 4081-30107</t>
  </si>
  <si>
    <t>Taxes other than income taxes, utility  - Taxes Property And  4081-30102</t>
  </si>
  <si>
    <t>Taxes other than income taxes, utility  - Public Serv Comm As 4081-30112</t>
  </si>
  <si>
    <t>Taxes other than income taxes, utility  - Billing for Taxes O 4081-41124</t>
  </si>
  <si>
    <t>Taxes other than income taxes, utility  - Billing for CSC Dep 4081-41129</t>
  </si>
  <si>
    <t>002DIV Dallas Atmos Rate Division</t>
  </si>
  <si>
    <t>Taxes other than income taxes, utility  - Taxes Other Than In 4081-09345</t>
  </si>
  <si>
    <t>Admin Div KY-Mid States - AMKMDV</t>
  </si>
  <si>
    <t>Total Year FY2019</t>
  </si>
  <si>
    <t>Oct FY2019</t>
  </si>
  <si>
    <t>Nov FY2019</t>
  </si>
  <si>
    <t>Dec FY2019</t>
  </si>
  <si>
    <t>Jan FY2019</t>
  </si>
  <si>
    <t>Feb FY2019</t>
  </si>
  <si>
    <t>Mar FY2019</t>
  </si>
  <si>
    <t>Apr FY2019</t>
  </si>
  <si>
    <t>May FY2019</t>
  </si>
  <si>
    <t>Jun FY2019</t>
  </si>
  <si>
    <t>Jul FY2019</t>
  </si>
  <si>
    <t>Aug FY2019</t>
  </si>
  <si>
    <t>Sep FY2019</t>
  </si>
  <si>
    <t>Taxes other than income taxes, utility  - Dot Transmission Us 4081-30108</t>
  </si>
  <si>
    <t>Budget 2019</t>
  </si>
  <si>
    <t>Fiscal 2019</t>
  </si>
  <si>
    <t xml:space="preserve">     Taxes other than income taxes, - Payroll Tax Projects 4081-01256</t>
  </si>
  <si>
    <t>Total Year FY2018</t>
  </si>
  <si>
    <t>Oct FY2018</t>
  </si>
  <si>
    <t>Nov FY2018</t>
  </si>
  <si>
    <t>Dec FY2018</t>
  </si>
  <si>
    <t>Jan FY2018</t>
  </si>
  <si>
    <t>Feb FY2018</t>
  </si>
  <si>
    <t>Mar FY2018</t>
  </si>
  <si>
    <t>Apr FY2018</t>
  </si>
  <si>
    <t>May FY2018</t>
  </si>
  <si>
    <t>Jun FY2018</t>
  </si>
  <si>
    <t>Jul FY2018</t>
  </si>
  <si>
    <t>Aug FY2018</t>
  </si>
  <si>
    <t>Sep FY2018</t>
  </si>
  <si>
    <t>Kentucky Mid-States Payroll Taxes</t>
  </si>
  <si>
    <t>091 allocated to 009</t>
  </si>
  <si>
    <t>091 allocated to 093</t>
  </si>
  <si>
    <t>091 allocated to 096</t>
  </si>
  <si>
    <t>Totals</t>
  </si>
  <si>
    <t>Oct 2019 (1.03)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</si>
  <si>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</si>
  <si>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</si>
  <si>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</si>
  <si>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</si>
  <si>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</si>
  <si>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</si>
  <si>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</si>
  <si>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</si>
  <si>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</si>
  <si>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Aug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</si>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</sst>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;0"/>
    <numFmt numFmtId="165" formatCode="_(* #,##0_);_(* \(#,##0\);_(* &quot;-&quot;??_);_(@_)"/>
    <numFmt numFmtId="166" formatCode="\$#,##0;\(\$#,##0\)"/>
    <numFmt numFmtId="167" formatCode="#,##0.0"/>
    <numFmt numFmtId="168" formatCode="General;;"/>
    <numFmt numFmtId="169" formatCode="_(&quot;$&quot;* #,##0_);_(&quot;$&quot;* \(#,##0\);_(&quot;$&quot;* &quot;-&quot;??_);_(@_)"/>
  </numFmts>
  <fonts count="5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indexed="62"/>
      <name val="Arial"/>
      <family val="2"/>
    </font>
    <font>
      <sz val="12"/>
      <color indexed="62"/>
      <name val="Arial"/>
      <family val="2"/>
    </font>
    <font>
      <sz val="12"/>
      <color rgb="FFFF0000"/>
      <name val="Arial"/>
      <family val="2"/>
    </font>
    <font>
      <b/>
      <sz val="14"/>
      <color indexed="10"/>
      <name val="Arial"/>
      <family val="2"/>
    </font>
    <font>
      <b/>
      <sz val="18"/>
      <color indexed="6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sz val="9"/>
      <color rgb="FF000000"/>
      <name val="Tahoma"/>
      <family val="2"/>
    </font>
    <font>
      <b/>
      <sz val="10.5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18"/>
      <name val="Arial"/>
      <family val="2"/>
    </font>
    <font>
      <sz val="12"/>
      <name val="Tms Rmn"/>
    </font>
    <font>
      <sz val="9"/>
      <name val="Times New Roman"/>
      <family val="1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b/>
      <sz val="12"/>
      <name val="Tms Rmn"/>
    </font>
    <font>
      <b/>
      <sz val="22"/>
      <color indexed="16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color rgb="FF000000"/>
      <name val="Calibri"/>
      <family val="2"/>
    </font>
    <font>
      <sz val="9"/>
      <name val="Arial"/>
      <family val="2"/>
    </font>
    <font>
      <sz val="9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5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7" fillId="0" borderId="0" applyNumberFormat="0" applyBorder="0" applyAlignment="0"/>
    <xf numFmtId="0" fontId="13" fillId="12" borderId="5">
      <alignment horizontal="center" vertical="center"/>
    </xf>
    <xf numFmtId="3" fontId="22" fillId="13" borderId="0" applyBorder="0">
      <alignment horizontal="right"/>
      <protection locked="0"/>
    </xf>
    <xf numFmtId="0" fontId="2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>
      <alignment horizontal="left" vertical="center" indent="1"/>
    </xf>
    <xf numFmtId="8" fontId="26" fillId="0" borderId="6">
      <protection locked="0"/>
    </xf>
    <xf numFmtId="0" fontId="23" fillId="0" borderId="0"/>
    <xf numFmtId="0" fontId="23" fillId="0" borderId="7"/>
    <xf numFmtId="6" fontId="27" fillId="0" borderId="0">
      <protection locked="0"/>
    </xf>
    <xf numFmtId="0" fontId="28" fillId="0" borderId="0" applyNumberFormat="0">
      <protection locked="0"/>
    </xf>
    <xf numFmtId="167" fontId="13" fillId="14" borderId="0" applyFill="0" applyBorder="0" applyProtection="0"/>
    <xf numFmtId="0" fontId="6" fillId="0" borderId="0">
      <protection locked="0"/>
    </xf>
    <xf numFmtId="38" fontId="28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Alignment="0" applyProtection="0">
      <alignment horizontal="left" vertical="center"/>
    </xf>
    <xf numFmtId="0" fontId="30" fillId="0" borderId="9">
      <alignment horizontal="left" vertical="center"/>
    </xf>
    <xf numFmtId="0" fontId="31" fillId="0" borderId="0">
      <alignment horizontal="center"/>
    </xf>
    <xf numFmtId="0" fontId="6" fillId="0" borderId="0">
      <protection locked="0"/>
    </xf>
    <xf numFmtId="0" fontId="6" fillId="0" borderId="0">
      <protection locked="0"/>
    </xf>
    <xf numFmtId="0" fontId="12" fillId="0" borderId="10" applyNumberFormat="0" applyFill="0" applyAlignment="0" applyProtection="0"/>
    <xf numFmtId="10" fontId="28" fillId="16" borderId="11" applyNumberFormat="0" applyBorder="0" applyAlignment="0" applyProtection="0"/>
    <xf numFmtId="0" fontId="32" fillId="17" borderId="7"/>
    <xf numFmtId="0" fontId="33" fillId="0" borderId="0" applyNumberFormat="0">
      <alignment horizontal="left"/>
    </xf>
    <xf numFmtId="37" fontId="34" fillId="0" borderId="0"/>
    <xf numFmtId="3" fontId="28" fillId="15" borderId="0" applyNumberFormat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43" fontId="8" fillId="0" borderId="0"/>
    <xf numFmtId="4" fontId="35" fillId="4" borderId="0">
      <alignment horizontal="right"/>
    </xf>
    <xf numFmtId="0" fontId="36" fillId="4" borderId="0">
      <alignment horizontal="right"/>
    </xf>
    <xf numFmtId="0" fontId="37" fillId="4" borderId="12"/>
    <xf numFmtId="0" fontId="37" fillId="0" borderId="0" applyBorder="0">
      <alignment horizontal="centerContinuous"/>
    </xf>
    <xf numFmtId="0" fontId="38" fillId="0" borderId="0" applyBorder="0">
      <alignment horizontal="centerContinuous"/>
    </xf>
    <xf numFmtId="10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9" fillId="0" borderId="0" applyNumberFormat="0" applyFont="0" applyFill="0" applyBorder="0" applyAlignment="0" applyProtection="0">
      <alignment horizontal="left"/>
    </xf>
    <xf numFmtId="0" fontId="23" fillId="0" borderId="0"/>
    <xf numFmtId="0" fontId="40" fillId="0" borderId="0" applyNumberFormat="0">
      <alignment horizontal="left"/>
    </xf>
    <xf numFmtId="0" fontId="23" fillId="0" borderId="7"/>
    <xf numFmtId="0" fontId="41" fillId="18" borderId="0"/>
    <xf numFmtId="168" fontId="42" fillId="0" borderId="0">
      <alignment horizontal="center"/>
    </xf>
    <xf numFmtId="0" fontId="32" fillId="0" borderId="13"/>
    <xf numFmtId="0" fontId="32" fillId="0" borderId="7"/>
    <xf numFmtId="37" fontId="28" fillId="19" borderId="0" applyNumberFormat="0" applyBorder="0" applyAlignment="0" applyProtection="0"/>
    <xf numFmtId="37" fontId="28" fillId="0" borderId="0"/>
    <xf numFmtId="3" fontId="43" fillId="0" borderId="10" applyProtection="0"/>
    <xf numFmtId="0" fontId="44" fillId="0" borderId="0"/>
    <xf numFmtId="0" fontId="1" fillId="0" borderId="0"/>
    <xf numFmtId="44" fontId="6" fillId="0" borderId="0" applyFont="0" applyFill="0" applyBorder="0" applyAlignment="0" applyProtection="0"/>
    <xf numFmtId="0" fontId="6" fillId="0" borderId="0"/>
  </cellStyleXfs>
  <cellXfs count="141">
    <xf numFmtId="0" fontId="0" fillId="0" borderId="0" xfId="0"/>
    <xf numFmtId="43" fontId="6" fillId="0" borderId="0" xfId="1" quotePrefix="1" applyFont="1"/>
    <xf numFmtId="43" fontId="6" fillId="0" borderId="0" xfId="1"/>
    <xf numFmtId="0" fontId="7" fillId="0" borderId="0" xfId="0" applyFont="1"/>
    <xf numFmtId="0" fontId="0" fillId="0" borderId="0" xfId="0" quotePrefix="1"/>
    <xf numFmtId="0" fontId="8" fillId="0" borderId="0" xfId="0" applyFont="1"/>
    <xf numFmtId="0" fontId="9" fillId="0" borderId="0" xfId="0" quotePrefix="1" applyFont="1"/>
    <xf numFmtId="0" fontId="10" fillId="0" borderId="0" xfId="0" quotePrefix="1" applyFont="1" applyFill="1" applyAlignment="1">
      <alignment horizontal="centerContinuous"/>
    </xf>
    <xf numFmtId="0" fontId="11" fillId="0" borderId="0" xfId="0" quotePrefix="1" applyFont="1" applyAlignment="1">
      <alignment horizontal="left"/>
    </xf>
    <xf numFmtId="0" fontId="0" fillId="0" borderId="0" xfId="0" applyAlignment="1">
      <alignment wrapText="1"/>
    </xf>
    <xf numFmtId="0" fontId="12" fillId="0" borderId="0" xfId="0" quotePrefix="1" applyFont="1"/>
    <xf numFmtId="0" fontId="6" fillId="0" borderId="0" xfId="0" applyFont="1"/>
    <xf numFmtId="0" fontId="13" fillId="0" borderId="0" xfId="0" quotePrefix="1" applyFont="1" applyBorder="1"/>
    <xf numFmtId="0" fontId="0" fillId="0" borderId="0" xfId="0" quotePrefix="1" applyAlignment="1">
      <alignment horizontal="center"/>
    </xf>
    <xf numFmtId="0" fontId="0" fillId="0" borderId="0" xfId="0" quotePrefix="1" applyBorder="1"/>
    <xf numFmtId="0" fontId="0" fillId="0" borderId="0" xfId="0" applyAlignment="1">
      <alignment horizontal="right"/>
    </xf>
    <xf numFmtId="0" fontId="6" fillId="0" borderId="0" xfId="0" quotePrefix="1" applyFont="1" applyBorder="1"/>
    <xf numFmtId="0" fontId="13" fillId="0" borderId="0" xfId="0" quotePrefix="1" applyFont="1"/>
    <xf numFmtId="37" fontId="0" fillId="0" borderId="0" xfId="0" quotePrefix="1" applyNumberFormat="1" applyBorder="1" applyAlignment="1">
      <alignment horizontal="right"/>
    </xf>
    <xf numFmtId="0" fontId="0" fillId="0" borderId="0" xfId="0" quotePrefix="1" applyFo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quotePrefix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0" applyNumberFormat="1" applyFont="1" applyAlignment="1">
      <alignment horizontal="right"/>
    </xf>
    <xf numFmtId="3" fontId="0" fillId="0" borderId="0" xfId="0" quotePrefix="1" applyNumberFormat="1" applyFont="1" applyAlignment="1">
      <alignment horizontal="right"/>
    </xf>
    <xf numFmtId="0" fontId="14" fillId="0" borderId="0" xfId="0" quotePrefix="1" applyFont="1" applyAlignment="1">
      <alignment horizontal="center"/>
    </xf>
    <xf numFmtId="3" fontId="13" fillId="0" borderId="1" xfId="0" applyNumberFormat="1" applyFont="1" applyBorder="1"/>
    <xf numFmtId="0" fontId="13" fillId="0" borderId="0" xfId="0" applyFont="1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0" fontId="6" fillId="2" borderId="0" xfId="0" applyFont="1" applyFill="1"/>
    <xf numFmtId="0" fontId="15" fillId="0" borderId="0" xfId="0" applyFont="1"/>
    <xf numFmtId="3" fontId="15" fillId="0" borderId="0" xfId="0" quotePrefix="1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3" fontId="13" fillId="0" borderId="0" xfId="0" applyNumberFormat="1" applyFont="1" applyBorder="1"/>
    <xf numFmtId="10" fontId="0" fillId="0" borderId="0" xfId="0" applyNumberFormat="1"/>
    <xf numFmtId="0" fontId="0" fillId="0" borderId="0" xfId="0" applyFill="1"/>
    <xf numFmtId="10" fontId="0" fillId="0" borderId="0" xfId="2" applyNumberFormat="1" applyFont="1" applyFill="1"/>
    <xf numFmtId="10" fontId="0" fillId="0" borderId="1" xfId="0" applyNumberFormat="1" applyBorder="1"/>
    <xf numFmtId="10" fontId="0" fillId="0" borderId="1" xfId="0" applyNumberFormat="1" applyFill="1" applyBorder="1"/>
    <xf numFmtId="10" fontId="16" fillId="0" borderId="0" xfId="2" applyNumberFormat="1" applyFont="1" applyFill="1"/>
    <xf numFmtId="0" fontId="16" fillId="0" borderId="0" xfId="0" applyFont="1"/>
    <xf numFmtId="3" fontId="16" fillId="0" borderId="0" xfId="0" applyNumberFormat="1" applyFont="1"/>
    <xf numFmtId="43" fontId="6" fillId="0" borderId="0" xfId="1" applyFont="1"/>
    <xf numFmtId="0" fontId="6" fillId="0" borderId="0" xfId="4" quotePrefix="1" applyAlignment="1">
      <alignment horizontal="right"/>
    </xf>
    <xf numFmtId="0" fontId="6" fillId="2" borderId="0" xfId="4" applyFill="1"/>
    <xf numFmtId="0" fontId="6" fillId="0" borderId="0" xfId="4" applyAlignment="1">
      <alignment horizontal="right"/>
    </xf>
    <xf numFmtId="10" fontId="0" fillId="3" borderId="0" xfId="0" applyNumberFormat="1" applyFill="1"/>
    <xf numFmtId="43" fontId="6" fillId="0" borderId="0" xfId="1" quotePrefix="1" applyFont="1"/>
    <xf numFmtId="0" fontId="0" fillId="0" borderId="0" xfId="0" quotePrefix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/>
    <xf numFmtId="3" fontId="16" fillId="0" borderId="0" xfId="0" applyNumberFormat="1" applyFont="1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right"/>
    </xf>
    <xf numFmtId="3" fontId="0" fillId="0" borderId="0" xfId="0" applyNumberFormat="1" applyFill="1"/>
    <xf numFmtId="0" fontId="8" fillId="0" borderId="0" xfId="0" applyFont="1" applyFill="1"/>
    <xf numFmtId="0" fontId="0" fillId="0" borderId="0" xfId="0" quotePrefix="1" applyFill="1"/>
    <xf numFmtId="3" fontId="13" fillId="0" borderId="1" xfId="0" applyNumberFormat="1" applyFont="1" applyFill="1" applyBorder="1"/>
    <xf numFmtId="165" fontId="5" fillId="0" borderId="2" xfId="1" applyNumberFormat="1" applyFont="1" applyFill="1" applyBorder="1" applyProtection="1">
      <protection locked="0"/>
    </xf>
    <xf numFmtId="10" fontId="0" fillId="5" borderId="0" xfId="2" applyNumberFormat="1" applyFont="1" applyFill="1"/>
    <xf numFmtId="0" fontId="0" fillId="3" borderId="0" xfId="0" quotePrefix="1" applyFill="1" applyAlignment="1">
      <alignment horizontal="center"/>
    </xf>
    <xf numFmtId="0" fontId="18" fillId="6" borderId="0" xfId="5" applyFont="1" applyFill="1" applyBorder="1" applyProtection="1"/>
    <xf numFmtId="0" fontId="17" fillId="0" borderId="0" xfId="5" applyFill="1" applyProtection="1"/>
    <xf numFmtId="0" fontId="19" fillId="7" borderId="3" xfId="5" applyFont="1" applyFill="1" applyBorder="1" applyAlignment="1" applyProtection="1">
      <alignment horizontal="center" vertical="center"/>
    </xf>
    <xf numFmtId="0" fontId="20" fillId="7" borderId="0" xfId="5" applyFont="1" applyFill="1" applyBorder="1" applyAlignment="1" applyProtection="1">
      <alignment vertical="center"/>
    </xf>
    <xf numFmtId="164" fontId="20" fillId="7" borderId="0" xfId="5" applyNumberFormat="1" applyFont="1" applyFill="1" applyBorder="1" applyAlignment="1" applyProtection="1">
      <alignment horizontal="right" vertical="center"/>
    </xf>
    <xf numFmtId="0" fontId="21" fillId="7" borderId="0" xfId="5" applyFont="1" applyFill="1" applyBorder="1" applyAlignment="1" applyProtection="1">
      <alignment horizontal="left" vertical="center"/>
    </xf>
    <xf numFmtId="166" fontId="21" fillId="7" borderId="4" xfId="5" applyNumberFormat="1" applyFont="1" applyFill="1" applyBorder="1" applyAlignment="1" applyProtection="1">
      <alignment horizontal="right" vertical="center"/>
    </xf>
    <xf numFmtId="0" fontId="20" fillId="8" borderId="0" xfId="5" applyFont="1" applyFill="1" applyBorder="1" applyAlignment="1" applyProtection="1">
      <alignment vertical="center"/>
    </xf>
    <xf numFmtId="0" fontId="21" fillId="8" borderId="0" xfId="5" applyFont="1" applyFill="1" applyBorder="1" applyAlignment="1" applyProtection="1">
      <alignment horizontal="left" vertical="center"/>
    </xf>
    <xf numFmtId="0" fontId="20" fillId="9" borderId="0" xfId="5" applyFont="1" applyFill="1" applyBorder="1" applyAlignment="1" applyProtection="1">
      <alignment vertical="center"/>
    </xf>
    <xf numFmtId="0" fontId="21" fillId="9" borderId="0" xfId="5" applyFont="1" applyFill="1" applyBorder="1" applyAlignment="1" applyProtection="1">
      <alignment horizontal="left" vertical="center"/>
    </xf>
    <xf numFmtId="0" fontId="17" fillId="10" borderId="0" xfId="5" applyFill="1" applyProtection="1"/>
    <xf numFmtId="0" fontId="17" fillId="11" borderId="0" xfId="5" applyFill="1" applyProtection="1"/>
    <xf numFmtId="49" fontId="3" fillId="0" borderId="2" xfId="32" quotePrefix="1" applyNumberFormat="1" applyFill="1" applyBorder="1" applyProtection="1">
      <protection locked="0"/>
    </xf>
    <xf numFmtId="165" fontId="4" fillId="0" borderId="2" xfId="1" applyNumberFormat="1" applyFont="1" applyFill="1" applyBorder="1" applyProtection="1">
      <protection locked="0"/>
    </xf>
    <xf numFmtId="165" fontId="6" fillId="0" borderId="0" xfId="1" quotePrefix="1" applyNumberFormat="1" applyAlignment="1">
      <alignment horizontal="right"/>
    </xf>
    <xf numFmtId="165" fontId="0" fillId="0" borderId="0" xfId="1" applyNumberFormat="1" applyFont="1"/>
    <xf numFmtId="165" fontId="6" fillId="0" borderId="0" xfId="1" applyNumberFormat="1" applyAlignment="1">
      <alignment horizontal="right"/>
    </xf>
    <xf numFmtId="165" fontId="0" fillId="0" borderId="0" xfId="1" quotePrefix="1" applyNumberFormat="1" applyFont="1" applyAlignment="1">
      <alignment horizontal="right"/>
    </xf>
    <xf numFmtId="165" fontId="2" fillId="0" borderId="2" xfId="1" applyNumberFormat="1" applyFont="1" applyFill="1" applyBorder="1" applyProtection="1">
      <protection locked="0"/>
    </xf>
    <xf numFmtId="0" fontId="45" fillId="2" borderId="0" xfId="3" applyFont="1" applyFill="1"/>
    <xf numFmtId="164" fontId="46" fillId="4" borderId="0" xfId="0" applyNumberFormat="1" applyFont="1" applyFill="1" applyAlignment="1">
      <alignment horizontal="right" vertical="center" wrapText="1"/>
    </xf>
    <xf numFmtId="3" fontId="45" fillId="0" borderId="0" xfId="0" quotePrefix="1" applyNumberFormat="1" applyFont="1" applyAlignment="1">
      <alignment horizontal="right"/>
    </xf>
    <xf numFmtId="0" fontId="45" fillId="0" borderId="0" xfId="3" applyFont="1" applyFill="1"/>
    <xf numFmtId="3" fontId="45" fillId="0" borderId="0" xfId="3" quotePrefix="1" applyNumberFormat="1" applyFont="1" applyFill="1" applyAlignment="1">
      <alignment horizontal="right"/>
    </xf>
    <xf numFmtId="3" fontId="47" fillId="0" borderId="0" xfId="3" quotePrefix="1" applyNumberFormat="1" applyFont="1" applyAlignment="1">
      <alignment horizontal="right"/>
    </xf>
    <xf numFmtId="0" fontId="45" fillId="2" borderId="0" xfId="0" applyFont="1" applyFill="1"/>
    <xf numFmtId="0" fontId="45" fillId="0" borderId="0" xfId="0" applyFont="1"/>
    <xf numFmtId="0" fontId="1" fillId="0" borderId="2" xfId="62" quotePrefix="1" applyNumberFormat="1" applyFill="1" applyBorder="1" applyAlignment="1" applyProtection="1">
      <alignment horizontal="left"/>
      <protection locked="0"/>
    </xf>
    <xf numFmtId="10" fontId="0" fillId="0" borderId="0" xfId="2" applyNumberFormat="1" applyFont="1"/>
    <xf numFmtId="3" fontId="0" fillId="20" borderId="0" xfId="0" applyNumberFormat="1" applyFill="1"/>
    <xf numFmtId="3" fontId="0" fillId="10" borderId="0" xfId="0" applyNumberFormat="1" applyFill="1"/>
    <xf numFmtId="0" fontId="48" fillId="0" borderId="0" xfId="5" applyFont="1" applyFill="1" applyProtection="1"/>
    <xf numFmtId="169" fontId="49" fillId="0" borderId="0" xfId="63" applyNumberFormat="1" applyFont="1"/>
    <xf numFmtId="37" fontId="49" fillId="0" borderId="0" xfId="1" applyNumberFormat="1" applyFont="1" applyBorder="1" applyAlignment="1">
      <alignment horizontal="right"/>
    </xf>
    <xf numFmtId="38" fontId="49" fillId="0" borderId="0" xfId="1" applyNumberFormat="1" applyFont="1" applyBorder="1" applyAlignment="1">
      <alignment horizontal="right"/>
    </xf>
    <xf numFmtId="0" fontId="49" fillId="0" borderId="0" xfId="64" applyFont="1" applyAlignment="1">
      <alignment horizontal="right"/>
    </xf>
    <xf numFmtId="0" fontId="49" fillId="0" borderId="0" xfId="64" applyFont="1"/>
    <xf numFmtId="49" fontId="49" fillId="0" borderId="0" xfId="1" applyNumberFormat="1" applyFont="1" applyBorder="1" applyAlignment="1">
      <alignment horizontal="right"/>
    </xf>
    <xf numFmtId="169" fontId="50" fillId="0" borderId="14" xfId="63" applyNumberFormat="1" applyFont="1" applyBorder="1"/>
    <xf numFmtId="37" fontId="49" fillId="0" borderId="14" xfId="1" applyNumberFormat="1" applyFont="1" applyBorder="1" applyAlignment="1">
      <alignment horizontal="right"/>
    </xf>
    <xf numFmtId="38" fontId="49" fillId="0" borderId="14" xfId="1" applyNumberFormat="1" applyFont="1" applyBorder="1" applyAlignment="1">
      <alignment horizontal="right"/>
    </xf>
    <xf numFmtId="0" fontId="49" fillId="0" borderId="14" xfId="64" applyFont="1" applyBorder="1" applyAlignment="1">
      <alignment horizontal="right"/>
    </xf>
    <xf numFmtId="0" fontId="49" fillId="0" borderId="14" xfId="64" applyFont="1" applyBorder="1"/>
    <xf numFmtId="169" fontId="49" fillId="0" borderId="14" xfId="63" applyNumberFormat="1" applyFont="1" applyBorder="1"/>
    <xf numFmtId="0" fontId="49" fillId="20" borderId="0" xfId="64" applyFont="1" applyFill="1"/>
    <xf numFmtId="49" fontId="49" fillId="20" borderId="0" xfId="1" applyNumberFormat="1" applyFont="1" applyFill="1" applyBorder="1" applyAlignment="1">
      <alignment horizontal="right"/>
    </xf>
    <xf numFmtId="37" fontId="49" fillId="20" borderId="0" xfId="1" applyNumberFormat="1" applyFont="1" applyFill="1" applyBorder="1" applyAlignment="1">
      <alignment horizontal="right"/>
    </xf>
    <xf numFmtId="38" fontId="49" fillId="20" borderId="0" xfId="1" applyNumberFormat="1" applyFont="1" applyFill="1" applyBorder="1" applyAlignment="1">
      <alignment horizontal="right"/>
    </xf>
    <xf numFmtId="37" fontId="49" fillId="10" borderId="0" xfId="1" applyNumberFormat="1" applyFont="1" applyFill="1" applyBorder="1" applyAlignment="1">
      <alignment horizontal="right"/>
    </xf>
    <xf numFmtId="38" fontId="49" fillId="10" borderId="0" xfId="1" applyNumberFormat="1" applyFont="1" applyFill="1" applyBorder="1" applyAlignment="1">
      <alignment horizontal="right"/>
    </xf>
    <xf numFmtId="0" fontId="49" fillId="10" borderId="0" xfId="64" applyFont="1" applyFill="1" applyAlignment="1">
      <alignment horizontal="right"/>
    </xf>
    <xf numFmtId="43" fontId="6" fillId="0" borderId="0" xfId="1" quotePrefix="1" applyFont="1" applyFill="1"/>
    <xf numFmtId="0" fontId="6" fillId="0" borderId="0" xfId="0" applyFont="1" applyFill="1"/>
    <xf numFmtId="0" fontId="0" fillId="0" borderId="0" xfId="0" quotePrefix="1" applyFill="1" applyAlignment="1">
      <alignment horizontal="center"/>
    </xf>
    <xf numFmtId="37" fontId="0" fillId="0" borderId="0" xfId="0" quotePrefix="1" applyNumberFormat="1" applyFill="1" applyBorder="1" applyAlignment="1">
      <alignment horizontal="right"/>
    </xf>
    <xf numFmtId="164" fontId="46" fillId="0" borderId="0" xfId="0" applyNumberFormat="1" applyFont="1" applyFill="1" applyAlignment="1">
      <alignment horizontal="right" vertical="center" wrapText="1"/>
    </xf>
    <xf numFmtId="3" fontId="47" fillId="0" borderId="0" xfId="3" applyNumberFormat="1" applyFont="1" applyFill="1" applyAlignment="1">
      <alignment horizontal="right"/>
    </xf>
    <xf numFmtId="3" fontId="45" fillId="0" borderId="0" xfId="3" applyNumberFormat="1" applyFont="1" applyFill="1" applyAlignment="1">
      <alignment horizontal="right"/>
    </xf>
    <xf numFmtId="3" fontId="45" fillId="0" borderId="0" xfId="0" quotePrefix="1" applyNumberFormat="1" applyFont="1" applyFill="1" applyAlignment="1">
      <alignment horizontal="right"/>
    </xf>
    <xf numFmtId="0" fontId="19" fillId="0" borderId="3" xfId="5" applyFont="1" applyFill="1" applyBorder="1" applyAlignment="1" applyProtection="1">
      <alignment horizontal="center" vertical="center"/>
    </xf>
    <xf numFmtId="0" fontId="20" fillId="0" borderId="0" xfId="5" applyFont="1" applyFill="1" applyBorder="1" applyAlignment="1" applyProtection="1">
      <alignment vertical="center"/>
    </xf>
    <xf numFmtId="164" fontId="20" fillId="0" borderId="0" xfId="5" applyNumberFormat="1" applyFont="1" applyFill="1" applyBorder="1" applyAlignment="1" applyProtection="1">
      <alignment horizontal="right" vertical="center"/>
    </xf>
    <xf numFmtId="0" fontId="21" fillId="0" borderId="0" xfId="5" applyFont="1" applyFill="1" applyBorder="1" applyAlignment="1" applyProtection="1">
      <alignment horizontal="left" vertical="center"/>
    </xf>
    <xf numFmtId="166" fontId="21" fillId="0" borderId="4" xfId="5" applyNumberFormat="1" applyFont="1" applyFill="1" applyBorder="1" applyAlignment="1" applyProtection="1">
      <alignment horizontal="right" vertical="center"/>
    </xf>
    <xf numFmtId="169" fontId="49" fillId="0" borderId="0" xfId="63" applyNumberFormat="1" applyFont="1" applyFill="1"/>
    <xf numFmtId="37" fontId="49" fillId="0" borderId="0" xfId="1" applyNumberFormat="1" applyFont="1" applyFill="1" applyBorder="1" applyAlignment="1">
      <alignment horizontal="right"/>
    </xf>
    <xf numFmtId="38" fontId="49" fillId="0" borderId="0" xfId="1" applyNumberFormat="1" applyFont="1" applyFill="1" applyBorder="1" applyAlignment="1">
      <alignment horizontal="right"/>
    </xf>
    <xf numFmtId="0" fontId="49" fillId="0" borderId="0" xfId="64" applyFont="1" applyFill="1" applyAlignment="1">
      <alignment horizontal="right"/>
    </xf>
    <xf numFmtId="0" fontId="49" fillId="0" borderId="0" xfId="64" applyFont="1" applyFill="1"/>
    <xf numFmtId="49" fontId="49" fillId="0" borderId="0" xfId="1" applyNumberFormat="1" applyFont="1" applyFill="1" applyBorder="1" applyAlignment="1">
      <alignment horizontal="right"/>
    </xf>
    <xf numFmtId="169" fontId="50" fillId="0" borderId="14" xfId="63" applyNumberFormat="1" applyFont="1" applyFill="1" applyBorder="1"/>
    <xf numFmtId="37" fontId="49" fillId="0" borderId="14" xfId="1" applyNumberFormat="1" applyFont="1" applyFill="1" applyBorder="1" applyAlignment="1">
      <alignment horizontal="right"/>
    </xf>
    <xf numFmtId="38" fontId="49" fillId="0" borderId="14" xfId="1" applyNumberFormat="1" applyFont="1" applyFill="1" applyBorder="1" applyAlignment="1">
      <alignment horizontal="right"/>
    </xf>
    <xf numFmtId="0" fontId="49" fillId="0" borderId="14" xfId="64" applyFont="1" applyFill="1" applyBorder="1" applyAlignment="1">
      <alignment horizontal="right"/>
    </xf>
    <xf numFmtId="0" fontId="49" fillId="0" borderId="14" xfId="64" applyFont="1" applyFill="1" applyBorder="1"/>
  </cellXfs>
  <cellStyles count="65">
    <cellStyle name="Actual Date" xfId="6"/>
    <cellStyle name="Affinity Input" xfId="7"/>
    <cellStyle name="Body" xfId="8"/>
    <cellStyle name="Comma" xfId="1" builtinId="3"/>
    <cellStyle name="Comma 2" xfId="9"/>
    <cellStyle name="Comma 3" xfId="10"/>
    <cellStyle name="ContentsHyperlink" xfId="11"/>
    <cellStyle name="Currency" xfId="63" builtinId="4"/>
    <cellStyle name="Currency [2]" xfId="12"/>
    <cellStyle name="Custom - Style1" xfId="13"/>
    <cellStyle name="Data   - Style2" xfId="14"/>
    <cellStyle name="Date" xfId="15"/>
    <cellStyle name="Edit" xfId="16"/>
    <cellStyle name="Engine" xfId="17"/>
    <cellStyle name="Fixed" xfId="18"/>
    <cellStyle name="Grey" xfId="19"/>
    <cellStyle name="HEADER" xfId="20"/>
    <cellStyle name="Header1" xfId="21"/>
    <cellStyle name="Header2" xfId="22"/>
    <cellStyle name="heading" xfId="23"/>
    <cellStyle name="Heading1" xfId="24"/>
    <cellStyle name="Heading2" xfId="25"/>
    <cellStyle name="HIGHLIGHT" xfId="26"/>
    <cellStyle name="Input [yellow]" xfId="27"/>
    <cellStyle name="Labels - Style3" xfId="28"/>
    <cellStyle name="Large Page Heading" xfId="29"/>
    <cellStyle name="no dec" xfId="30"/>
    <cellStyle name="No Edit" xfId="31"/>
    <cellStyle name="Normal" xfId="0" builtinId="0"/>
    <cellStyle name="Normal - Style1" xfId="33"/>
    <cellStyle name="Normal - Style2" xfId="34"/>
    <cellStyle name="Normal - Style3" xfId="35"/>
    <cellStyle name="Normal - Style4" xfId="36"/>
    <cellStyle name="Normal - Style5" xfId="37"/>
    <cellStyle name="Normal - Style6" xfId="38"/>
    <cellStyle name="Normal - Style7" xfId="39"/>
    <cellStyle name="Normal - Style8" xfId="40"/>
    <cellStyle name="Normal 2" xfId="5"/>
    <cellStyle name="Normal 3" xfId="41"/>
    <cellStyle name="Normal_Div 2" xfId="62"/>
    <cellStyle name="Normal_Div 91" xfId="32"/>
    <cellStyle name="Normal_Sheet1" xfId="64"/>
    <cellStyle name="Normal_Sheet1_1" xfId="3"/>
    <cellStyle name="Normal_Sheet2" xfId="4"/>
    <cellStyle name="nPlosion" xfId="42"/>
    <cellStyle name="Output Amounts" xfId="43"/>
    <cellStyle name="Output Column Headings" xfId="44"/>
    <cellStyle name="Output Line Items" xfId="45"/>
    <cellStyle name="Output Report Heading" xfId="46"/>
    <cellStyle name="Output Report Title" xfId="47"/>
    <cellStyle name="Percent" xfId="2" builtinId="5"/>
    <cellStyle name="Percent [2]" xfId="48"/>
    <cellStyle name="Percent 2" xfId="49"/>
    <cellStyle name="PSChar" xfId="50"/>
    <cellStyle name="Reset  - Style4" xfId="51"/>
    <cellStyle name="Small Page Heading" xfId="52"/>
    <cellStyle name="Table  - Style5" xfId="53"/>
    <cellStyle name="Title  - Style6" xfId="54"/>
    <cellStyle name="title1" xfId="55"/>
    <cellStyle name="TotCol - Style7" xfId="56"/>
    <cellStyle name="TotRow - Style8" xfId="57"/>
    <cellStyle name="Unprot" xfId="58"/>
    <cellStyle name="Unprot$" xfId="59"/>
    <cellStyle name="Unprotect" xfId="60"/>
    <cellStyle name="一般_dept code" xfId="61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8%20KY%20Rate%20Case/2018%20KY%20Rev%20Req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ation"/>
      <sheetName val="Cover A"/>
      <sheetName val="A.1"/>
      <sheetName val="Cover B"/>
      <sheetName val="B.1 B"/>
      <sheetName val="B.1 F "/>
      <sheetName val="B.2 B"/>
      <sheetName val="B.2 F"/>
      <sheetName val="B.3 B"/>
      <sheetName val="B.3 F"/>
      <sheetName val="B.3.1 F"/>
      <sheetName val="B.4 B"/>
      <sheetName val="B.4 F"/>
      <sheetName val="B.4.1 B"/>
      <sheetName val="B.4.1 F"/>
      <sheetName val="B.4.2 B"/>
      <sheetName val="B.4.2 F"/>
      <sheetName val="B.5 B"/>
      <sheetName val="B.5 F"/>
      <sheetName val="B.6 B"/>
      <sheetName val="B.6 F"/>
      <sheetName val="WP B.4.1B"/>
      <sheetName val="WP B.4.1F"/>
      <sheetName val="WP B.5 B"/>
      <sheetName val="WP B.5 F"/>
      <sheetName val="WP B.5 F1"/>
      <sheetName val="WP B.6 B"/>
      <sheetName val="WP B.6 F"/>
      <sheetName val="Cover C"/>
      <sheetName val="C.1"/>
      <sheetName val="C.2"/>
      <sheetName val="C.2.1 B"/>
      <sheetName val="C.2.1 F"/>
      <sheetName val="C.2.2 B 09"/>
      <sheetName val="C.2.2 B 02"/>
      <sheetName val="C.2.2 B 12"/>
      <sheetName val="C.2.2 B 91"/>
      <sheetName val="C.2.2-F 09"/>
      <sheetName val="C.2.2-F 02"/>
      <sheetName val="C.2.2-F 12"/>
      <sheetName val="C.2.2-F 91"/>
      <sheetName val="C.2.3 B"/>
      <sheetName val="C.2.3 F"/>
      <sheetName val="Cover D"/>
      <sheetName val="D.1"/>
      <sheetName val="D.2.1"/>
      <sheetName val="D.2.2"/>
      <sheetName val="D.2.3"/>
      <sheetName val="Cover E"/>
      <sheetName val="E"/>
      <sheetName val="Cover F"/>
      <sheetName val="F.1"/>
      <sheetName val="F.2.1"/>
      <sheetName val="F.2.2"/>
      <sheetName val="F.2.3"/>
      <sheetName val="F.3"/>
      <sheetName val="F.4"/>
      <sheetName val="F.5"/>
      <sheetName val="F.6"/>
      <sheetName val="F.7"/>
      <sheetName val="F.8"/>
      <sheetName val="F.9"/>
      <sheetName val="F.10"/>
      <sheetName val="F.11"/>
      <sheetName val="G.1"/>
      <sheetName val="G.2"/>
      <sheetName val="G.3"/>
      <sheetName val="H.1"/>
      <sheetName val="I.1"/>
      <sheetName val="I.2"/>
      <sheetName val="I.3"/>
      <sheetName val="J-1 Base"/>
      <sheetName val="J.1"/>
      <sheetName val="J-2 B"/>
      <sheetName val="J-3 B"/>
      <sheetName val="J-4"/>
      <sheetName val="J-1 F"/>
      <sheetName val="J-2 F"/>
      <sheetName val="J-3 F"/>
      <sheetName val="K"/>
    </sheetNames>
    <sheetDataSet>
      <sheetData sheetId="0"/>
      <sheetData sheetId="1">
        <row r="14">
          <cell r="E14">
            <v>5.1771199999999996E-2</v>
          </cell>
        </row>
        <row r="15">
          <cell r="E15">
            <v>5.6412179785543033E-2</v>
          </cell>
        </row>
        <row r="17">
          <cell r="E17">
            <v>0.49780000000000002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47">
          <cell r="I47">
            <v>272992.00000000006</v>
          </cell>
          <cell r="J47">
            <v>272992.00000000006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D72"/>
  <sheetViews>
    <sheetView showGridLines="0" tabSelected="1" view="pageBreakPreview" zoomScale="80" zoomScaleNormal="80" zoomScaleSheetLayoutView="80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2.75"/>
  <cols>
    <col min="1" max="1" width="2.5703125" customWidth="1"/>
    <col min="2" max="2" width="70.28515625" customWidth="1"/>
    <col min="3" max="4" width="11.42578125" customWidth="1"/>
    <col min="5" max="5" width="12" bestFit="1" customWidth="1"/>
    <col min="6" max="8" width="12.85546875" bestFit="1" customWidth="1"/>
    <col min="9" max="9" width="14.5703125" customWidth="1"/>
    <col min="10" max="10" width="12.140625" customWidth="1"/>
    <col min="11" max="11" width="10.42578125" customWidth="1"/>
    <col min="12" max="12" width="12.42578125" bestFit="1" customWidth="1"/>
    <col min="13" max="14" width="10.42578125" customWidth="1"/>
    <col min="15" max="15" width="4.42578125" customWidth="1"/>
    <col min="16" max="23" width="13.7109375" bestFit="1" customWidth="1"/>
    <col min="24" max="24" width="10.7109375" customWidth="1"/>
    <col min="26" max="29" width="11.5703125" customWidth="1"/>
  </cols>
  <sheetData>
    <row r="1" spans="2:30" ht="12" customHeight="1">
      <c r="B1" s="1" t="s">
        <v>0</v>
      </c>
    </row>
    <row r="2" spans="2:30" ht="12" customHeight="1">
      <c r="B2" s="1" t="s">
        <v>1</v>
      </c>
    </row>
    <row r="3" spans="2:30" ht="12.75" customHeight="1">
      <c r="B3" s="1" t="s">
        <v>2</v>
      </c>
    </row>
    <row r="4" spans="2:30" s="3" customFormat="1" ht="12.75" customHeight="1">
      <c r="B4" s="1" t="s">
        <v>3</v>
      </c>
    </row>
    <row r="5" spans="2:30" s="3" customFormat="1" ht="12.75" customHeight="1">
      <c r="B5" s="1" t="s">
        <v>5</v>
      </c>
    </row>
    <row r="6" spans="2:30" s="5" customFormat="1" ht="12" customHeight="1">
      <c r="I6" s="59"/>
    </row>
    <row r="7" spans="2:30" ht="21" customHeight="1">
      <c r="B7" s="8"/>
      <c r="O7" s="33"/>
    </row>
    <row r="8" spans="2:30" s="11" customFormat="1">
      <c r="B8"/>
      <c r="C8" s="51" t="s">
        <v>84</v>
      </c>
      <c r="D8" s="51" t="s">
        <v>84</v>
      </c>
      <c r="E8" s="117" t="s">
        <v>84</v>
      </c>
      <c r="F8" s="117" t="s">
        <v>85</v>
      </c>
      <c r="G8" s="117" t="s">
        <v>85</v>
      </c>
      <c r="H8" s="117" t="s">
        <v>85</v>
      </c>
      <c r="I8" s="117" t="s">
        <v>85</v>
      </c>
      <c r="J8" s="117" t="s">
        <v>85</v>
      </c>
      <c r="K8" s="117" t="s">
        <v>85</v>
      </c>
      <c r="L8" s="117" t="s">
        <v>85</v>
      </c>
      <c r="M8" s="117" t="s">
        <v>85</v>
      </c>
      <c r="N8" s="117" t="s">
        <v>85</v>
      </c>
      <c r="O8" s="118"/>
      <c r="P8" s="117" t="s">
        <v>86</v>
      </c>
      <c r="Q8" s="117" t="s">
        <v>86</v>
      </c>
      <c r="R8" s="117" t="s">
        <v>86</v>
      </c>
      <c r="S8" s="117" t="s">
        <v>114</v>
      </c>
      <c r="T8" s="117" t="s">
        <v>114</v>
      </c>
      <c r="U8" s="117" t="s">
        <v>114</v>
      </c>
      <c r="V8" s="117" t="s">
        <v>114</v>
      </c>
      <c r="W8" s="117" t="s">
        <v>114</v>
      </c>
      <c r="X8" s="117" t="s">
        <v>114</v>
      </c>
      <c r="Z8" s="1"/>
      <c r="AA8" s="1"/>
      <c r="AB8" s="1"/>
      <c r="AC8" s="1"/>
    </row>
    <row r="9" spans="2:30" ht="12.75" customHeight="1">
      <c r="B9" s="12"/>
      <c r="C9" s="52" t="s">
        <v>17</v>
      </c>
      <c r="D9" s="52" t="s">
        <v>18</v>
      </c>
      <c r="E9" s="119" t="s">
        <v>19</v>
      </c>
      <c r="F9" s="119" t="s">
        <v>8</v>
      </c>
      <c r="G9" s="119" t="s">
        <v>9</v>
      </c>
      <c r="H9" s="119" t="s">
        <v>10</v>
      </c>
      <c r="I9" s="119" t="s">
        <v>11</v>
      </c>
      <c r="J9" s="119" t="s">
        <v>12</v>
      </c>
      <c r="K9" s="119" t="s">
        <v>13</v>
      </c>
      <c r="L9" s="119" t="s">
        <v>14</v>
      </c>
      <c r="M9" s="119" t="s">
        <v>15</v>
      </c>
      <c r="N9" s="119" t="s">
        <v>16</v>
      </c>
      <c r="O9" s="39"/>
      <c r="P9" s="119" t="s">
        <v>17</v>
      </c>
      <c r="Q9" s="119" t="s">
        <v>18</v>
      </c>
      <c r="R9" s="119" t="s">
        <v>19</v>
      </c>
      <c r="S9" s="119" t="s">
        <v>8</v>
      </c>
      <c r="T9" s="119" t="s">
        <v>9</v>
      </c>
      <c r="U9" s="119" t="s">
        <v>10</v>
      </c>
      <c r="V9" s="119" t="s">
        <v>11</v>
      </c>
      <c r="W9" s="119" t="s">
        <v>12</v>
      </c>
      <c r="X9" s="119" t="s">
        <v>13</v>
      </c>
      <c r="Z9" s="13"/>
      <c r="AA9" s="13"/>
      <c r="AB9" s="13"/>
      <c r="AC9" s="13"/>
    </row>
    <row r="10" spans="2:30" ht="12.75" customHeight="1">
      <c r="B10" s="14"/>
      <c r="C10" s="18"/>
      <c r="D10" s="18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39"/>
      <c r="P10" s="39"/>
      <c r="Q10" s="39"/>
      <c r="R10" s="39"/>
      <c r="S10" s="39"/>
      <c r="T10" s="39"/>
      <c r="U10" s="39"/>
      <c r="V10" s="39"/>
      <c r="W10" s="39"/>
      <c r="X10" s="39"/>
    </row>
    <row r="11" spans="2:30" ht="15">
      <c r="B11" s="16" t="s">
        <v>23</v>
      </c>
      <c r="C11" s="84">
        <v>20476.43</v>
      </c>
      <c r="D11" s="84">
        <v>14862.19</v>
      </c>
      <c r="E11" s="84">
        <v>51620.06</v>
      </c>
      <c r="F11" s="84">
        <v>19473.259999999998</v>
      </c>
      <c r="G11" s="84">
        <v>47706.09</v>
      </c>
      <c r="H11" s="84">
        <v>21158.36</v>
      </c>
      <c r="I11" s="84">
        <v>29405.48</v>
      </c>
      <c r="J11" s="84">
        <v>25611.45</v>
      </c>
      <c r="K11" s="84">
        <v>52864.66</v>
      </c>
      <c r="L11" s="84">
        <v>21758.400000000001</v>
      </c>
      <c r="M11" s="84">
        <v>20385.22</v>
      </c>
      <c r="N11" s="84">
        <v>22217.03</v>
      </c>
      <c r="O11" s="88"/>
      <c r="P11" s="84">
        <v>31675</v>
      </c>
      <c r="Q11" s="84">
        <v>21065</v>
      </c>
      <c r="R11" s="84">
        <v>59710</v>
      </c>
      <c r="S11" s="121">
        <f>'2019 PlanIt Budget'!D4</f>
        <v>35632</v>
      </c>
      <c r="T11" s="121">
        <f>'2019 PlanIt Budget'!E4</f>
        <v>99250</v>
      </c>
      <c r="U11" s="121">
        <f>'2019 PlanIt Budget'!F4</f>
        <v>23671</v>
      </c>
      <c r="V11" s="121">
        <v>37357</v>
      </c>
      <c r="W11" s="121">
        <v>37285</v>
      </c>
      <c r="X11" s="121">
        <v>21074</v>
      </c>
      <c r="Y11" s="24"/>
      <c r="Z11" s="24"/>
      <c r="AA11" s="24"/>
      <c r="AB11" s="24"/>
      <c r="AC11" s="24"/>
      <c r="AD11" s="24"/>
    </row>
    <row r="12" spans="2:30" ht="15">
      <c r="B12" s="16" t="s">
        <v>24</v>
      </c>
      <c r="C12" s="84">
        <v>4.8099999999999996</v>
      </c>
      <c r="D12" s="84">
        <v>7.99</v>
      </c>
      <c r="E12" s="84">
        <v>33.79</v>
      </c>
      <c r="F12" s="84">
        <v>5.14</v>
      </c>
      <c r="G12" s="84">
        <v>26.32</v>
      </c>
      <c r="H12" s="84">
        <v>9.2200000000000006</v>
      </c>
      <c r="I12" s="84">
        <v>2176.6</v>
      </c>
      <c r="J12" s="84">
        <v>606.20000000000005</v>
      </c>
      <c r="K12" s="84">
        <v>86.75</v>
      </c>
      <c r="L12" s="84">
        <v>16.11</v>
      </c>
      <c r="M12" s="84">
        <v>21.5</v>
      </c>
      <c r="N12" s="84">
        <v>11.16</v>
      </c>
      <c r="O12" s="88"/>
      <c r="P12" s="84">
        <v>0</v>
      </c>
      <c r="Q12" s="84">
        <v>0</v>
      </c>
      <c r="R12" s="84">
        <v>0</v>
      </c>
      <c r="S12" s="89">
        <v>0</v>
      </c>
      <c r="T12" s="89">
        <v>0</v>
      </c>
      <c r="U12" s="89">
        <v>0</v>
      </c>
      <c r="V12" s="89">
        <v>0</v>
      </c>
      <c r="W12" s="89">
        <v>0</v>
      </c>
      <c r="X12" s="89">
        <v>0</v>
      </c>
      <c r="Y12" s="23"/>
      <c r="Z12" s="23"/>
      <c r="AA12" s="23"/>
      <c r="AB12" s="23"/>
      <c r="AC12" s="23"/>
      <c r="AD12" s="23"/>
    </row>
    <row r="13" spans="2:30" ht="15">
      <c r="B13" s="4" t="s">
        <v>25</v>
      </c>
      <c r="C13" s="84">
        <v>2.67</v>
      </c>
      <c r="D13" s="84">
        <v>-1.35</v>
      </c>
      <c r="E13" s="84">
        <v>-1.07</v>
      </c>
      <c r="F13" s="84">
        <v>2.48</v>
      </c>
      <c r="G13" s="84">
        <v>0.3</v>
      </c>
      <c r="H13" s="84">
        <v>-5.16</v>
      </c>
      <c r="I13" s="84">
        <v>861.1</v>
      </c>
      <c r="J13" s="84">
        <v>-790.5</v>
      </c>
      <c r="K13" s="84">
        <v>-45.4</v>
      </c>
      <c r="L13" s="84">
        <v>-22.69</v>
      </c>
      <c r="M13" s="84">
        <v>-1.22</v>
      </c>
      <c r="N13" s="84">
        <v>0.79</v>
      </c>
      <c r="O13" s="88"/>
      <c r="P13" s="84">
        <v>0</v>
      </c>
      <c r="Q13" s="84">
        <v>0</v>
      </c>
      <c r="R13" s="84">
        <v>0</v>
      </c>
      <c r="S13" s="89">
        <v>0</v>
      </c>
      <c r="T13" s="89">
        <v>0</v>
      </c>
      <c r="U13" s="89">
        <v>0</v>
      </c>
      <c r="V13" s="89">
        <v>0</v>
      </c>
      <c r="W13" s="89">
        <v>0</v>
      </c>
      <c r="X13" s="89">
        <v>0</v>
      </c>
      <c r="Y13" s="23"/>
      <c r="Z13" s="23"/>
      <c r="AA13" s="23"/>
      <c r="AB13" s="23"/>
      <c r="AC13" s="23"/>
      <c r="AD13" s="23"/>
    </row>
    <row r="14" spans="2:30" ht="15">
      <c r="B14" s="4" t="s">
        <v>26</v>
      </c>
      <c r="C14" s="84">
        <v>2000.18</v>
      </c>
      <c r="D14" s="84">
        <v>-858.5</v>
      </c>
      <c r="E14" s="84">
        <v>-1800.21</v>
      </c>
      <c r="F14" s="84">
        <v>-1787.69</v>
      </c>
      <c r="G14" s="84">
        <v>14652.1</v>
      </c>
      <c r="H14" s="84">
        <v>-10888.52</v>
      </c>
      <c r="I14" s="84">
        <v>8534.3700000000008</v>
      </c>
      <c r="J14" s="84">
        <v>-2466.14</v>
      </c>
      <c r="K14" s="84">
        <v>-7836.68</v>
      </c>
      <c r="L14" s="84">
        <v>-2283.25</v>
      </c>
      <c r="M14" s="84">
        <v>2645.83</v>
      </c>
      <c r="N14" s="84">
        <v>1935.19</v>
      </c>
      <c r="O14" s="88"/>
      <c r="P14" s="84">
        <v>0</v>
      </c>
      <c r="Q14" s="84">
        <v>0</v>
      </c>
      <c r="R14" s="84">
        <v>0</v>
      </c>
      <c r="S14" s="89">
        <v>0</v>
      </c>
      <c r="T14" s="89">
        <v>0</v>
      </c>
      <c r="U14" s="89">
        <v>0</v>
      </c>
      <c r="V14" s="89">
        <v>0</v>
      </c>
      <c r="W14" s="89">
        <v>0</v>
      </c>
      <c r="X14" s="89">
        <v>0</v>
      </c>
      <c r="Y14" s="23"/>
      <c r="Z14" s="23"/>
      <c r="AA14" s="23"/>
      <c r="AB14" s="23"/>
      <c r="AC14" s="23"/>
      <c r="AD14" s="23"/>
    </row>
    <row r="15" spans="2:30" ht="15">
      <c r="B15" s="4" t="s">
        <v>27</v>
      </c>
      <c r="C15" s="84">
        <v>-2.02</v>
      </c>
      <c r="D15" s="84">
        <v>2.96</v>
      </c>
      <c r="E15" s="84">
        <v>0.05</v>
      </c>
      <c r="F15" s="84">
        <v>-3.87</v>
      </c>
      <c r="G15" s="84">
        <v>10.1</v>
      </c>
      <c r="H15" s="84">
        <v>-7.18</v>
      </c>
      <c r="I15" s="84">
        <v>1410.15</v>
      </c>
      <c r="J15" s="84">
        <v>-1020.8</v>
      </c>
      <c r="K15" s="84">
        <v>-379.55</v>
      </c>
      <c r="L15" s="84">
        <v>-9.61</v>
      </c>
      <c r="M15" s="84">
        <v>4.83</v>
      </c>
      <c r="N15" s="84">
        <v>-4.04</v>
      </c>
      <c r="O15" s="88"/>
      <c r="P15" s="84">
        <v>0</v>
      </c>
      <c r="Q15" s="84">
        <v>0</v>
      </c>
      <c r="R15" s="84">
        <v>0</v>
      </c>
      <c r="S15" s="89">
        <v>0</v>
      </c>
      <c r="T15" s="89">
        <v>0</v>
      </c>
      <c r="U15" s="89">
        <v>0</v>
      </c>
      <c r="V15" s="89">
        <v>0</v>
      </c>
      <c r="W15" s="89">
        <v>0</v>
      </c>
      <c r="X15" s="89">
        <v>0</v>
      </c>
      <c r="Y15" s="23"/>
      <c r="Z15" s="23"/>
      <c r="AA15" s="23"/>
      <c r="AB15" s="23"/>
      <c r="AC15" s="23"/>
      <c r="AD15" s="23"/>
    </row>
    <row r="16" spans="2:30" ht="15">
      <c r="B16" s="4" t="s">
        <v>28</v>
      </c>
      <c r="C16" s="84">
        <v>11.19</v>
      </c>
      <c r="D16" s="84">
        <v>6.88</v>
      </c>
      <c r="E16" s="84">
        <v>22.37</v>
      </c>
      <c r="F16" s="84">
        <v>18.14</v>
      </c>
      <c r="G16" s="84">
        <v>14.47</v>
      </c>
      <c r="H16" s="84">
        <v>2.62</v>
      </c>
      <c r="I16" s="84">
        <v>1326.84</v>
      </c>
      <c r="J16" s="84">
        <v>110.66</v>
      </c>
      <c r="K16" s="84">
        <v>159.19</v>
      </c>
      <c r="L16" s="84">
        <v>12.8</v>
      </c>
      <c r="M16" s="84">
        <v>5.89</v>
      </c>
      <c r="N16" s="84">
        <v>6.81</v>
      </c>
      <c r="O16" s="88"/>
      <c r="P16" s="84">
        <v>0</v>
      </c>
      <c r="Q16" s="84">
        <v>0</v>
      </c>
      <c r="R16" s="84">
        <v>0</v>
      </c>
      <c r="S16" s="89">
        <v>0</v>
      </c>
      <c r="T16" s="89">
        <v>0</v>
      </c>
      <c r="U16" s="89">
        <v>0</v>
      </c>
      <c r="V16" s="89">
        <v>0</v>
      </c>
      <c r="W16" s="89">
        <v>0</v>
      </c>
      <c r="X16" s="89">
        <v>0</v>
      </c>
      <c r="Y16" s="23"/>
      <c r="Z16" s="23"/>
      <c r="AA16" s="23"/>
      <c r="AB16" s="23"/>
      <c r="AC16" s="23"/>
      <c r="AD16" s="23"/>
    </row>
    <row r="17" spans="2:30" ht="15">
      <c r="B17" s="4" t="s">
        <v>30</v>
      </c>
      <c r="C17" s="84">
        <v>0</v>
      </c>
      <c r="D17" s="84">
        <v>-34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8"/>
      <c r="P17" s="84">
        <v>0</v>
      </c>
      <c r="Q17" s="84">
        <v>0</v>
      </c>
      <c r="R17" s="84">
        <v>0</v>
      </c>
      <c r="S17" s="89">
        <v>0</v>
      </c>
      <c r="T17" s="89">
        <v>0</v>
      </c>
      <c r="U17" s="89">
        <v>0</v>
      </c>
      <c r="V17" s="89">
        <v>0</v>
      </c>
      <c r="W17" s="89">
        <v>0</v>
      </c>
      <c r="X17" s="89">
        <v>0</v>
      </c>
      <c r="Y17" s="23"/>
      <c r="Z17" s="23"/>
      <c r="AA17" s="23"/>
      <c r="AB17" s="23"/>
      <c r="AC17" s="23"/>
      <c r="AD17" s="23"/>
    </row>
    <row r="18" spans="2:30" ht="15">
      <c r="B18" s="17" t="s">
        <v>20</v>
      </c>
      <c r="C18" s="84">
        <v>22493.26</v>
      </c>
      <c r="D18" s="84">
        <v>13986.17</v>
      </c>
      <c r="E18" s="84">
        <v>49874.99</v>
      </c>
      <c r="F18" s="84">
        <v>17707.46</v>
      </c>
      <c r="G18" s="84">
        <v>62409.38</v>
      </c>
      <c r="H18" s="84">
        <v>10269.34</v>
      </c>
      <c r="I18" s="84">
        <v>43714.54</v>
      </c>
      <c r="J18" s="84">
        <v>22050.87</v>
      </c>
      <c r="K18" s="84">
        <v>44848.97</v>
      </c>
      <c r="L18" s="84">
        <v>19471.759999999998</v>
      </c>
      <c r="M18" s="84">
        <v>23062.05</v>
      </c>
      <c r="N18" s="84">
        <v>24166.94</v>
      </c>
      <c r="O18" s="88"/>
      <c r="P18" s="84">
        <v>31675</v>
      </c>
      <c r="Q18" s="84">
        <v>21065</v>
      </c>
      <c r="R18" s="84">
        <v>59710</v>
      </c>
      <c r="S18" s="121">
        <f>'2019 PlanIt Budget'!D5</f>
        <v>35632</v>
      </c>
      <c r="T18" s="121">
        <f>'2019 PlanIt Budget'!E5</f>
        <v>99250</v>
      </c>
      <c r="U18" s="121">
        <f>'2019 PlanIt Budget'!F5</f>
        <v>23671</v>
      </c>
      <c r="V18" s="121">
        <f>'2019 PlanIt Budget'!G5</f>
        <v>62551</v>
      </c>
      <c r="W18" s="121">
        <f>'2019 PlanIt Budget'!H5</f>
        <v>40043</v>
      </c>
      <c r="X18" s="121">
        <f>'2019 PlanIt Budget'!I5</f>
        <v>52327</v>
      </c>
      <c r="Y18" s="24"/>
      <c r="Z18" s="24"/>
      <c r="AA18" s="24"/>
      <c r="AB18" s="24"/>
      <c r="AC18" s="24"/>
      <c r="AD18" s="24"/>
    </row>
    <row r="19" spans="2:30" ht="15">
      <c r="B19" s="17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8"/>
      <c r="P19" s="84"/>
      <c r="Q19" s="84"/>
      <c r="R19" s="84"/>
      <c r="S19" s="122"/>
      <c r="T19" s="122"/>
      <c r="U19" s="122"/>
      <c r="V19" s="122"/>
      <c r="W19" s="122"/>
      <c r="X19" s="122"/>
      <c r="Y19" s="36"/>
      <c r="Z19" s="36"/>
      <c r="AA19" s="36"/>
      <c r="AB19" s="36"/>
      <c r="AC19" s="36"/>
      <c r="AD19" s="36"/>
    </row>
    <row r="20" spans="2:30" ht="15">
      <c r="B20" s="4" t="s">
        <v>31</v>
      </c>
      <c r="C20" s="84">
        <v>245588</v>
      </c>
      <c r="D20" s="84">
        <v>245588</v>
      </c>
      <c r="E20" s="84">
        <v>1745588</v>
      </c>
      <c r="F20" s="84">
        <v>387088</v>
      </c>
      <c r="G20" s="84">
        <v>387088</v>
      </c>
      <c r="H20" s="84">
        <v>387088</v>
      </c>
      <c r="I20" s="84">
        <v>418588</v>
      </c>
      <c r="J20" s="84">
        <v>418588</v>
      </c>
      <c r="K20" s="84">
        <v>418588</v>
      </c>
      <c r="L20" s="84">
        <v>418588</v>
      </c>
      <c r="M20" s="84">
        <v>418588</v>
      </c>
      <c r="N20" s="84">
        <v>418588</v>
      </c>
      <c r="O20" s="88"/>
      <c r="P20" s="84">
        <v>410845</v>
      </c>
      <c r="Q20" s="84">
        <v>410845</v>
      </c>
      <c r="R20" s="84">
        <v>410841</v>
      </c>
      <c r="S20" s="121">
        <f>'2019 PlanIt Budget'!D6</f>
        <v>481743</v>
      </c>
      <c r="T20" s="121">
        <f>'2019 PlanIt Budget'!E6</f>
        <v>481743</v>
      </c>
      <c r="U20" s="121">
        <f>'2019 PlanIt Budget'!F6</f>
        <v>481742</v>
      </c>
      <c r="V20" s="121">
        <f>'2019 PlanIt Budget'!G6</f>
        <v>613739</v>
      </c>
      <c r="W20" s="121">
        <f>'2019 PlanIt Budget'!H6</f>
        <v>613739</v>
      </c>
      <c r="X20" s="121">
        <f>'2019 PlanIt Budget'!I6</f>
        <v>613739</v>
      </c>
      <c r="Y20" s="24"/>
      <c r="Z20" s="24"/>
      <c r="AA20" s="24"/>
      <c r="AB20" s="24"/>
      <c r="AC20" s="24"/>
      <c r="AD20" s="24"/>
    </row>
    <row r="21" spans="2:30" ht="15">
      <c r="B21" s="17" t="s">
        <v>21</v>
      </c>
      <c r="C21" s="84">
        <v>245588</v>
      </c>
      <c r="D21" s="84">
        <v>245588</v>
      </c>
      <c r="E21" s="84">
        <v>1745588</v>
      </c>
      <c r="F21" s="84">
        <v>387088</v>
      </c>
      <c r="G21" s="84">
        <v>387088</v>
      </c>
      <c r="H21" s="84">
        <v>387088</v>
      </c>
      <c r="I21" s="84">
        <v>418588</v>
      </c>
      <c r="J21" s="84">
        <v>418588</v>
      </c>
      <c r="K21" s="84">
        <v>418588</v>
      </c>
      <c r="L21" s="84">
        <v>418588</v>
      </c>
      <c r="M21" s="84">
        <v>418588</v>
      </c>
      <c r="N21" s="84">
        <v>418588</v>
      </c>
      <c r="O21" s="88"/>
      <c r="P21" s="84">
        <v>410845</v>
      </c>
      <c r="Q21" s="84">
        <v>410845</v>
      </c>
      <c r="R21" s="84">
        <v>410841</v>
      </c>
      <c r="S21" s="121">
        <f>'2019 PlanIt Budget'!D7</f>
        <v>481743</v>
      </c>
      <c r="T21" s="121">
        <f>'2019 PlanIt Budget'!E7</f>
        <v>481743</v>
      </c>
      <c r="U21" s="121">
        <f>'2019 PlanIt Budget'!F7</f>
        <v>481742</v>
      </c>
      <c r="V21" s="121">
        <f>'2019 PlanIt Budget'!G7</f>
        <v>613739</v>
      </c>
      <c r="W21" s="121">
        <f>'2019 PlanIt Budget'!H7</f>
        <v>613739</v>
      </c>
      <c r="X21" s="121">
        <f>'2019 PlanIt Budget'!I7</f>
        <v>613739</v>
      </c>
      <c r="Y21" s="24"/>
      <c r="Z21" s="24"/>
      <c r="AA21" s="24"/>
      <c r="AB21" s="24"/>
      <c r="AC21" s="24"/>
      <c r="AD21" s="24"/>
    </row>
    <row r="22" spans="2:30" ht="15">
      <c r="B22" s="17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8"/>
      <c r="P22" s="84"/>
      <c r="Q22" s="84"/>
      <c r="R22" s="84"/>
      <c r="S22" s="123"/>
      <c r="T22" s="123"/>
      <c r="U22" s="123"/>
      <c r="V22" s="123"/>
      <c r="W22" s="123"/>
      <c r="X22" s="123"/>
      <c r="Y22" s="24"/>
      <c r="Z22" s="24"/>
      <c r="AA22" s="24"/>
      <c r="AB22" s="24"/>
      <c r="AC22" s="24"/>
      <c r="AD22" s="24"/>
    </row>
    <row r="23" spans="2:30" ht="15">
      <c r="B23" s="4" t="s">
        <v>64</v>
      </c>
      <c r="C23" s="84">
        <v>15827.91</v>
      </c>
      <c r="D23" s="84">
        <v>210.6</v>
      </c>
      <c r="E23" s="84">
        <v>83.1</v>
      </c>
      <c r="F23" s="84">
        <v>10431.58</v>
      </c>
      <c r="G23" s="84">
        <v>66.3</v>
      </c>
      <c r="H23" s="84">
        <v>338</v>
      </c>
      <c r="I23" s="84">
        <v>21741.8</v>
      </c>
      <c r="J23" s="84">
        <v>0</v>
      </c>
      <c r="K23" s="84">
        <v>83.3</v>
      </c>
      <c r="L23" s="84">
        <v>45101.279999999999</v>
      </c>
      <c r="M23" s="84">
        <v>42.9</v>
      </c>
      <c r="N23" s="84">
        <v>0</v>
      </c>
      <c r="O23" s="88"/>
      <c r="P23" s="84">
        <v>14643</v>
      </c>
      <c r="Q23" s="84">
        <v>191</v>
      </c>
      <c r="R23" s="84">
        <v>86</v>
      </c>
      <c r="S23" s="124">
        <f>'2019 PlanIt Budget'!D8</f>
        <v>10432</v>
      </c>
      <c r="T23" s="124">
        <f>'2019 PlanIt Budget'!E8</f>
        <v>66</v>
      </c>
      <c r="U23" s="124">
        <f>'2019 PlanIt Budget'!F8</f>
        <v>338</v>
      </c>
      <c r="V23" s="124">
        <f>'2019 PlanIt Budget'!G8</f>
        <v>21742</v>
      </c>
      <c r="W23" s="124">
        <f>'2019 PlanIt Budget'!H8</f>
        <v>0</v>
      </c>
      <c r="X23" s="124">
        <f>'2019 PlanIt Budget'!I8</f>
        <v>83</v>
      </c>
      <c r="Y23" s="23"/>
      <c r="Z23" s="23"/>
      <c r="AA23" s="23"/>
      <c r="AB23" s="23"/>
      <c r="AC23" s="23"/>
      <c r="AD23" s="23"/>
    </row>
    <row r="24" spans="2:30" ht="15">
      <c r="B24" s="17" t="s">
        <v>65</v>
      </c>
      <c r="C24" s="84">
        <v>15827.91</v>
      </c>
      <c r="D24" s="84">
        <v>210.6</v>
      </c>
      <c r="E24" s="84">
        <v>83.1</v>
      </c>
      <c r="F24" s="84">
        <v>10431.58</v>
      </c>
      <c r="G24" s="84">
        <v>66.3</v>
      </c>
      <c r="H24" s="84">
        <v>338</v>
      </c>
      <c r="I24" s="84">
        <v>21741.8</v>
      </c>
      <c r="J24" s="84">
        <v>0</v>
      </c>
      <c r="K24" s="84">
        <v>83.3</v>
      </c>
      <c r="L24" s="84">
        <v>45101.279999999999</v>
      </c>
      <c r="M24" s="84">
        <v>42.9</v>
      </c>
      <c r="N24" s="84">
        <v>0</v>
      </c>
      <c r="O24" s="88"/>
      <c r="P24" s="84">
        <v>14643</v>
      </c>
      <c r="Q24" s="84">
        <v>191</v>
      </c>
      <c r="R24" s="84">
        <v>86</v>
      </c>
      <c r="S24" s="124">
        <f>'2019 PlanIt Budget'!D9</f>
        <v>10432</v>
      </c>
      <c r="T24" s="124">
        <f>'2019 PlanIt Budget'!E9</f>
        <v>66</v>
      </c>
      <c r="U24" s="124">
        <f>'2019 PlanIt Budget'!F9</f>
        <v>338</v>
      </c>
      <c r="V24" s="124">
        <f>'2019 PlanIt Budget'!G9</f>
        <v>21742</v>
      </c>
      <c r="W24" s="124">
        <f>'2019 PlanIt Budget'!H9</f>
        <v>0</v>
      </c>
      <c r="X24" s="124">
        <f>'2019 PlanIt Budget'!I9</f>
        <v>83</v>
      </c>
      <c r="Y24" s="23"/>
      <c r="Z24" s="23"/>
      <c r="AA24" s="23"/>
      <c r="AB24" s="23"/>
      <c r="AC24" s="23"/>
      <c r="AD24" s="23"/>
    </row>
    <row r="25" spans="2:30" ht="15">
      <c r="B25" s="17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8"/>
      <c r="P25" s="84"/>
      <c r="Q25" s="84"/>
      <c r="R25" s="84"/>
      <c r="S25" s="123"/>
      <c r="T25" s="123"/>
      <c r="U25" s="123"/>
      <c r="V25" s="123"/>
      <c r="W25" s="123"/>
      <c r="X25" s="123"/>
      <c r="Y25" s="24"/>
      <c r="Z25" s="24"/>
      <c r="AA25" s="24"/>
      <c r="AB25" s="24"/>
      <c r="AC25" s="24"/>
      <c r="AD25" s="24"/>
    </row>
    <row r="26" spans="2:30" ht="15">
      <c r="B26" s="60" t="s">
        <v>72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137061.62</v>
      </c>
      <c r="N26" s="84">
        <v>0</v>
      </c>
      <c r="O26" s="88"/>
      <c r="P26" s="84">
        <v>0</v>
      </c>
      <c r="Q26" s="84">
        <v>0</v>
      </c>
      <c r="R26" s="84">
        <v>0</v>
      </c>
      <c r="S26" s="121">
        <f>'2019 PlanIt Budget'!D11</f>
        <v>0</v>
      </c>
      <c r="T26" s="121">
        <f>'2019 PlanIt Budget'!E11</f>
        <v>0</v>
      </c>
      <c r="U26" s="121">
        <f>'2019 PlanIt Budget'!F11</f>
        <v>0</v>
      </c>
      <c r="V26" s="121">
        <f>'2019 PlanIt Budget'!G11</f>
        <v>0</v>
      </c>
      <c r="W26" s="121">
        <f>'2019 PlanIt Budget'!H11</f>
        <v>0</v>
      </c>
      <c r="X26" s="121">
        <f>'2019 PlanIt Budget'!I11</f>
        <v>0</v>
      </c>
      <c r="Y26" s="24"/>
      <c r="Z26" s="23"/>
      <c r="AA26" s="23"/>
      <c r="AB26" s="23"/>
      <c r="AC26" s="23"/>
      <c r="AD26" s="24"/>
    </row>
    <row r="27" spans="2:30" ht="15">
      <c r="B27" s="4" t="s">
        <v>32</v>
      </c>
      <c r="C27" s="84">
        <v>602.51</v>
      </c>
      <c r="D27" s="84">
        <v>0</v>
      </c>
      <c r="E27" s="84">
        <v>0</v>
      </c>
      <c r="F27" s="84">
        <v>677.77</v>
      </c>
      <c r="G27" s="84">
        <v>0</v>
      </c>
      <c r="H27" s="84">
        <v>0</v>
      </c>
      <c r="I27" s="84">
        <v>562.83000000000004</v>
      </c>
      <c r="J27" s="84">
        <v>0</v>
      </c>
      <c r="K27" s="84">
        <v>2785.59</v>
      </c>
      <c r="L27" s="84">
        <v>542.84</v>
      </c>
      <c r="M27" s="84">
        <v>0</v>
      </c>
      <c r="N27" s="84">
        <v>0</v>
      </c>
      <c r="O27" s="88"/>
      <c r="P27" s="84">
        <v>389</v>
      </c>
      <c r="Q27" s="84">
        <v>0</v>
      </c>
      <c r="R27" s="84">
        <v>47194</v>
      </c>
      <c r="S27" s="121">
        <f>'2019 PlanIt Budget'!D10</f>
        <v>677.77</v>
      </c>
      <c r="T27" s="121">
        <f>'2019 PlanIt Budget'!E10</f>
        <v>0</v>
      </c>
      <c r="U27" s="121">
        <f>'2019 PlanIt Budget'!F10</f>
        <v>0</v>
      </c>
      <c r="V27" s="121">
        <f>'2019 PlanIt Budget'!G10</f>
        <v>562.83000000000004</v>
      </c>
      <c r="W27" s="121">
        <f>'2019 PlanIt Budget'!H10</f>
        <v>0</v>
      </c>
      <c r="X27" s="121">
        <f>'2019 PlanIt Budget'!I10</f>
        <v>2785.59</v>
      </c>
      <c r="Y27" s="23"/>
      <c r="Z27" s="23"/>
      <c r="AA27" s="23"/>
      <c r="AB27" s="23"/>
      <c r="AC27" s="23"/>
      <c r="AD27" s="23"/>
    </row>
    <row r="28" spans="2:30" ht="15">
      <c r="B28" s="60" t="s">
        <v>42</v>
      </c>
      <c r="C28" s="84">
        <v>24522.720000000001</v>
      </c>
      <c r="D28" s="84">
        <v>24522.720000000001</v>
      </c>
      <c r="E28" s="84">
        <v>24522.720000000001</v>
      </c>
      <c r="F28" s="84">
        <v>24522.720000000001</v>
      </c>
      <c r="G28" s="84">
        <v>24522.720000000001</v>
      </c>
      <c r="H28" s="84">
        <v>24522.720000000001</v>
      </c>
      <c r="I28" s="84">
        <v>24522.720000000001</v>
      </c>
      <c r="J28" s="84">
        <v>24522.720000000001</v>
      </c>
      <c r="K28" s="84">
        <v>24522.720000000001</v>
      </c>
      <c r="L28" s="84">
        <v>24522.720000000001</v>
      </c>
      <c r="M28" s="84">
        <v>24522.720000000001</v>
      </c>
      <c r="N28" s="84">
        <v>24522.76</v>
      </c>
      <c r="O28" s="88"/>
      <c r="P28" s="84">
        <v>26088</v>
      </c>
      <c r="Q28" s="84">
        <v>26088</v>
      </c>
      <c r="R28" s="84">
        <v>26088</v>
      </c>
      <c r="S28" s="121">
        <f>'2019 PlanIt Budget'!D12</f>
        <v>27296</v>
      </c>
      <c r="T28" s="121">
        <f>'2019 PlanIt Budget'!E12</f>
        <v>27296</v>
      </c>
      <c r="U28" s="121">
        <f>'2019 PlanIt Budget'!F12</f>
        <v>27296</v>
      </c>
      <c r="V28" s="121">
        <f>'2019 PlanIt Budget'!G12</f>
        <v>27296</v>
      </c>
      <c r="W28" s="121">
        <f>'2019 PlanIt Budget'!H12</f>
        <v>27296</v>
      </c>
      <c r="X28" s="121">
        <f>'2019 PlanIt Budget'!I12</f>
        <v>27296</v>
      </c>
      <c r="Y28" s="24"/>
      <c r="Z28" s="24"/>
      <c r="AA28" s="24"/>
      <c r="AB28" s="24"/>
      <c r="AC28" s="24"/>
      <c r="AD28" s="24"/>
    </row>
    <row r="29" spans="2:30" ht="15">
      <c r="B29" s="60" t="s">
        <v>43</v>
      </c>
      <c r="C29" s="84">
        <v>0</v>
      </c>
      <c r="D29" s="84">
        <v>0</v>
      </c>
      <c r="E29" s="84">
        <v>0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8"/>
      <c r="P29" s="84">
        <v>0</v>
      </c>
      <c r="Q29" s="84">
        <v>0</v>
      </c>
      <c r="R29" s="84">
        <v>0</v>
      </c>
      <c r="S29" s="121">
        <f>'2019 PlanIt Budget'!D13</f>
        <v>23280</v>
      </c>
      <c r="T29" s="121">
        <f>'2019 PlanIt Budget'!E13</f>
        <v>23280</v>
      </c>
      <c r="U29" s="121">
        <f>'2019 PlanIt Budget'!F13</f>
        <v>23280</v>
      </c>
      <c r="V29" s="121">
        <f>'2019 PlanIt Budget'!G13</f>
        <v>23280</v>
      </c>
      <c r="W29" s="121">
        <f>'2019 PlanIt Budget'!H13</f>
        <v>23280</v>
      </c>
      <c r="X29" s="121">
        <f>'2019 PlanIt Budget'!I13</f>
        <v>23280</v>
      </c>
      <c r="Y29" s="24"/>
      <c r="Z29" s="24"/>
      <c r="AA29" s="24"/>
      <c r="AB29" s="24"/>
      <c r="AC29" s="24"/>
      <c r="AD29" s="24"/>
    </row>
    <row r="30" spans="2:30" ht="15">
      <c r="B30" s="60" t="s">
        <v>44</v>
      </c>
      <c r="C30" s="84">
        <v>10488.47</v>
      </c>
      <c r="D30" s="84">
        <v>15772.21</v>
      </c>
      <c r="E30" s="84">
        <v>8804.43</v>
      </c>
      <c r="F30" s="84">
        <v>11327.64</v>
      </c>
      <c r="G30" s="84">
        <v>30041.01</v>
      </c>
      <c r="H30" s="84">
        <v>9340.67</v>
      </c>
      <c r="I30" s="84">
        <v>16726.78</v>
      </c>
      <c r="J30" s="84">
        <v>11571.12</v>
      </c>
      <c r="K30" s="84">
        <v>13827.51</v>
      </c>
      <c r="L30" s="84">
        <v>12398.48</v>
      </c>
      <c r="M30" s="84">
        <v>15151.86</v>
      </c>
      <c r="N30" s="84">
        <v>11197.18</v>
      </c>
      <c r="O30" s="88"/>
      <c r="P30" s="84">
        <v>15489</v>
      </c>
      <c r="Q30" s="84">
        <v>15489</v>
      </c>
      <c r="R30" s="84">
        <v>15489</v>
      </c>
      <c r="S30" s="86">
        <f>'2019 PlanIt Budget'!D14</f>
        <v>16179</v>
      </c>
      <c r="T30" s="86">
        <f>'2019 PlanIt Budget'!E14</f>
        <v>16179</v>
      </c>
      <c r="U30" s="86">
        <f>'2019 PlanIt Budget'!F14</f>
        <v>16179</v>
      </c>
      <c r="V30" s="86">
        <f>'2019 PlanIt Budget'!G14</f>
        <v>16179</v>
      </c>
      <c r="W30" s="86">
        <f>'2019 PlanIt Budget'!H14</f>
        <v>16179</v>
      </c>
      <c r="X30" s="86">
        <f>'2019 PlanIt Budget'!I14</f>
        <v>16179</v>
      </c>
      <c r="Y30" s="23"/>
      <c r="Z30" s="23"/>
      <c r="AA30" s="23"/>
      <c r="AB30" s="23"/>
      <c r="AC30" s="23"/>
      <c r="AD30" s="23"/>
    </row>
    <row r="31" spans="2:30" ht="15">
      <c r="B31" s="60" t="s">
        <v>45</v>
      </c>
      <c r="C31" s="84">
        <v>16917.669999999998</v>
      </c>
      <c r="D31" s="84">
        <v>22573.03</v>
      </c>
      <c r="E31" s="84">
        <v>13874.32</v>
      </c>
      <c r="F31" s="84">
        <v>15808.86</v>
      </c>
      <c r="G31" s="84">
        <v>47179.13</v>
      </c>
      <c r="H31" s="84">
        <v>12332.21</v>
      </c>
      <c r="I31" s="84">
        <v>21550.87</v>
      </c>
      <c r="J31" s="84">
        <v>15312.85</v>
      </c>
      <c r="K31" s="84">
        <v>15558.85</v>
      </c>
      <c r="L31" s="84">
        <v>16300.88</v>
      </c>
      <c r="M31" s="84">
        <v>20184.490000000002</v>
      </c>
      <c r="N31" s="84">
        <v>-41809.89</v>
      </c>
      <c r="O31" s="88"/>
      <c r="P31" s="84">
        <v>22288</v>
      </c>
      <c r="Q31" s="84">
        <v>22288</v>
      </c>
      <c r="R31" s="84">
        <v>22288</v>
      </c>
      <c r="S31" s="89">
        <v>0</v>
      </c>
      <c r="T31" s="89">
        <v>0</v>
      </c>
      <c r="U31" s="89">
        <v>0</v>
      </c>
      <c r="V31" s="89">
        <v>0</v>
      </c>
      <c r="W31" s="89">
        <v>0</v>
      </c>
      <c r="X31" s="89">
        <v>0</v>
      </c>
      <c r="Y31" s="23"/>
      <c r="Z31" s="23"/>
      <c r="AA31" s="23"/>
      <c r="AB31" s="23"/>
      <c r="AC31" s="23"/>
      <c r="AD31" s="23"/>
    </row>
    <row r="32" spans="2:30" ht="15">
      <c r="B32" s="60" t="s">
        <v>46</v>
      </c>
      <c r="C32" s="84">
        <v>15973.87</v>
      </c>
      <c r="D32" s="84">
        <v>19795.32</v>
      </c>
      <c r="E32" s="84">
        <v>4530.0600000000004</v>
      </c>
      <c r="F32" s="84">
        <v>17856.759999999998</v>
      </c>
      <c r="G32" s="84">
        <v>36596.36</v>
      </c>
      <c r="H32" s="84">
        <v>13375.75</v>
      </c>
      <c r="I32" s="84">
        <v>18808.73</v>
      </c>
      <c r="J32" s="84">
        <v>-179541.32</v>
      </c>
      <c r="K32" s="84">
        <v>7557.2</v>
      </c>
      <c r="L32" s="84">
        <v>16024.58</v>
      </c>
      <c r="M32" s="84">
        <v>18266.22</v>
      </c>
      <c r="N32" s="84">
        <v>15728.75</v>
      </c>
      <c r="O32" s="88"/>
      <c r="P32" s="84">
        <v>0</v>
      </c>
      <c r="Q32" s="84">
        <v>0</v>
      </c>
      <c r="R32" s="84">
        <v>0</v>
      </c>
      <c r="S32" s="87">
        <v>0</v>
      </c>
      <c r="T32" s="87">
        <v>0</v>
      </c>
      <c r="U32" s="87">
        <v>0</v>
      </c>
      <c r="V32" s="87">
        <v>0</v>
      </c>
      <c r="W32" s="87">
        <v>0</v>
      </c>
      <c r="X32" s="87">
        <v>0</v>
      </c>
      <c r="Y32" s="23"/>
      <c r="Z32" s="23"/>
      <c r="AA32" s="23"/>
      <c r="AB32" s="23"/>
      <c r="AC32" s="23"/>
      <c r="AD32" s="23"/>
    </row>
    <row r="33" spans="2:30" ht="15">
      <c r="B33" s="17" t="s">
        <v>22</v>
      </c>
      <c r="C33" s="84">
        <v>68505.240000000005</v>
      </c>
      <c r="D33" s="84">
        <v>82663.28</v>
      </c>
      <c r="E33" s="84">
        <v>51731.53</v>
      </c>
      <c r="F33" s="84">
        <v>70193.75</v>
      </c>
      <c r="G33" s="84">
        <v>138339.22</v>
      </c>
      <c r="H33" s="84">
        <v>59571.35</v>
      </c>
      <c r="I33" s="84">
        <v>82171.929999999993</v>
      </c>
      <c r="J33" s="84">
        <v>-128134.63</v>
      </c>
      <c r="K33" s="84">
        <v>64251.87</v>
      </c>
      <c r="L33" s="84">
        <v>69789.5</v>
      </c>
      <c r="M33" s="84">
        <v>215186.91</v>
      </c>
      <c r="N33" s="84">
        <v>9638.7999999999993</v>
      </c>
      <c r="O33" s="85"/>
      <c r="P33" s="84">
        <v>64254</v>
      </c>
      <c r="Q33" s="84">
        <v>63865</v>
      </c>
      <c r="R33" s="84">
        <v>111059</v>
      </c>
      <c r="S33" s="87">
        <f>'2019 PlanIt Budget'!D15</f>
        <v>67432.77</v>
      </c>
      <c r="T33" s="87">
        <f>'2019 PlanIt Budget'!E15</f>
        <v>66755</v>
      </c>
      <c r="U33" s="87">
        <f>'2019 PlanIt Budget'!F15</f>
        <v>66755</v>
      </c>
      <c r="V33" s="87">
        <f>'2019 PlanIt Budget'!G15</f>
        <v>67317.83</v>
      </c>
      <c r="W33" s="87">
        <f>'2019 PlanIt Budget'!H15</f>
        <v>66755</v>
      </c>
      <c r="X33" s="87">
        <f>'2019 PlanIt Budget'!I15</f>
        <v>69540.59</v>
      </c>
      <c r="Y33" s="24"/>
      <c r="Z33" s="24"/>
      <c r="AA33" s="24"/>
      <c r="AB33" s="24"/>
      <c r="AC33" s="24"/>
      <c r="AD33" s="24"/>
    </row>
    <row r="34" spans="2:30" ht="15">
      <c r="B34" s="17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5"/>
      <c r="P34" s="84"/>
      <c r="Q34" s="84"/>
      <c r="R34" s="84"/>
      <c r="S34" s="90"/>
      <c r="T34" s="90"/>
      <c r="U34" s="90"/>
      <c r="V34" s="90"/>
      <c r="W34" s="90"/>
      <c r="X34" s="90"/>
      <c r="Y34" s="35"/>
      <c r="Z34" s="35"/>
      <c r="AA34" s="35"/>
      <c r="AB34" s="35"/>
      <c r="AC34" s="35"/>
      <c r="AD34" s="35"/>
    </row>
    <row r="35" spans="2:30" ht="15">
      <c r="B35" s="17" t="s">
        <v>4</v>
      </c>
      <c r="C35" s="84">
        <v>352414.41</v>
      </c>
      <c r="D35" s="84">
        <v>342448.05</v>
      </c>
      <c r="E35" s="84">
        <v>1847277.62</v>
      </c>
      <c r="F35" s="84">
        <v>485420.79</v>
      </c>
      <c r="G35" s="84">
        <v>587902.9</v>
      </c>
      <c r="H35" s="84">
        <v>457266.69</v>
      </c>
      <c r="I35" s="84">
        <v>566216.27</v>
      </c>
      <c r="J35" s="84">
        <v>312504.24</v>
      </c>
      <c r="K35" s="84">
        <v>527772.14</v>
      </c>
      <c r="L35" s="84">
        <v>552950.54</v>
      </c>
      <c r="M35" s="84">
        <v>656879.86</v>
      </c>
      <c r="N35" s="84">
        <v>452393.74</v>
      </c>
      <c r="O35" s="85"/>
      <c r="P35" s="84">
        <v>521417</v>
      </c>
      <c r="Q35" s="84">
        <v>495966</v>
      </c>
      <c r="R35" s="84">
        <v>581696</v>
      </c>
      <c r="S35" s="87">
        <f>'2019 PlanIt Budget'!D16</f>
        <v>595239.77</v>
      </c>
      <c r="T35" s="87">
        <f>'2019 PlanIt Budget'!E16</f>
        <v>647814</v>
      </c>
      <c r="U35" s="87">
        <f>'2019 PlanIt Budget'!F16</f>
        <v>572506</v>
      </c>
      <c r="V35" s="87">
        <f>'2019 PlanIt Budget'!G16</f>
        <v>765349.83</v>
      </c>
      <c r="W35" s="87">
        <f>'2019 PlanIt Budget'!H16</f>
        <v>720537</v>
      </c>
      <c r="X35" s="87">
        <f>'2019 PlanIt Budget'!I16</f>
        <v>735689.59</v>
      </c>
      <c r="Y35" s="24"/>
      <c r="Z35" s="24"/>
      <c r="AA35" s="24"/>
      <c r="AB35" s="24"/>
      <c r="AC35" s="24"/>
      <c r="AD35" s="24"/>
    </row>
    <row r="36" spans="2:30">
      <c r="B36" s="4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91"/>
      <c r="P36" s="92"/>
      <c r="Q36" s="92"/>
      <c r="R36" s="92"/>
      <c r="S36" s="92"/>
      <c r="T36" s="92"/>
      <c r="U36" s="92"/>
      <c r="V36" s="92"/>
      <c r="W36" s="92"/>
      <c r="X36" s="92"/>
    </row>
    <row r="37" spans="2:30">
      <c r="B37" s="4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92"/>
      <c r="P37" s="92"/>
      <c r="Q37" s="92"/>
      <c r="R37" s="92"/>
      <c r="S37" s="92"/>
      <c r="T37" s="92"/>
      <c r="U37" s="92"/>
      <c r="V37" s="92"/>
      <c r="W37" s="92"/>
      <c r="X37" s="92"/>
    </row>
    <row r="38" spans="2:30">
      <c r="B38" s="4"/>
      <c r="C38" s="87">
        <f t="shared" ref="C38:N38" si="0">C18+C21+C24+C33</f>
        <v>352414.41</v>
      </c>
      <c r="D38" s="87">
        <f t="shared" si="0"/>
        <v>342448.05000000005</v>
      </c>
      <c r="E38" s="87">
        <f t="shared" si="0"/>
        <v>1847277.62</v>
      </c>
      <c r="F38" s="87">
        <f t="shared" si="0"/>
        <v>485420.79000000004</v>
      </c>
      <c r="G38" s="87">
        <f t="shared" si="0"/>
        <v>587902.9</v>
      </c>
      <c r="H38" s="87">
        <f t="shared" si="0"/>
        <v>457266.69</v>
      </c>
      <c r="I38" s="87">
        <f t="shared" si="0"/>
        <v>566216.27</v>
      </c>
      <c r="J38" s="87">
        <f t="shared" si="0"/>
        <v>312504.24</v>
      </c>
      <c r="K38" s="87">
        <f t="shared" si="0"/>
        <v>527772.14</v>
      </c>
      <c r="L38" s="87">
        <f t="shared" si="0"/>
        <v>552950.54</v>
      </c>
      <c r="M38" s="87">
        <f t="shared" si="0"/>
        <v>656879.86</v>
      </c>
      <c r="N38" s="87">
        <f t="shared" si="0"/>
        <v>452393.74</v>
      </c>
      <c r="O38" s="87"/>
      <c r="P38" s="87">
        <f t="shared" ref="P38:W38" si="1">P18+P21+P24+P33</f>
        <v>521417</v>
      </c>
      <c r="Q38" s="87">
        <f t="shared" si="1"/>
        <v>495966</v>
      </c>
      <c r="R38" s="87">
        <f t="shared" si="1"/>
        <v>581696</v>
      </c>
      <c r="S38" s="87">
        <f t="shared" si="1"/>
        <v>595239.77</v>
      </c>
      <c r="T38" s="87">
        <f t="shared" si="1"/>
        <v>647814</v>
      </c>
      <c r="U38" s="87">
        <f t="shared" si="1"/>
        <v>572506</v>
      </c>
      <c r="V38" s="87">
        <f t="shared" si="1"/>
        <v>765349.83</v>
      </c>
      <c r="W38" s="87">
        <f t="shared" si="1"/>
        <v>720537</v>
      </c>
      <c r="X38" s="87">
        <f t="shared" ref="X38" si="2">X18+X21+X24+X33</f>
        <v>735689.59</v>
      </c>
      <c r="Y38" s="23"/>
      <c r="Z38" s="23"/>
      <c r="AA38" s="23"/>
      <c r="AB38" s="23"/>
      <c r="AC38" s="23"/>
      <c r="AD38" s="23"/>
    </row>
    <row r="39" spans="2:30">
      <c r="B39" s="4"/>
      <c r="C39" s="87">
        <f t="shared" ref="C39:N39" si="3">C35-C38</f>
        <v>0</v>
      </c>
      <c r="D39" s="87">
        <f t="shared" si="3"/>
        <v>0</v>
      </c>
      <c r="E39" s="87">
        <f t="shared" si="3"/>
        <v>0</v>
      </c>
      <c r="F39" s="87">
        <f t="shared" si="3"/>
        <v>0</v>
      </c>
      <c r="G39" s="87">
        <f t="shared" si="3"/>
        <v>0</v>
      </c>
      <c r="H39" s="87">
        <f t="shared" si="3"/>
        <v>0</v>
      </c>
      <c r="I39" s="87">
        <f t="shared" si="3"/>
        <v>0</v>
      </c>
      <c r="J39" s="87">
        <f t="shared" si="3"/>
        <v>0</v>
      </c>
      <c r="K39" s="87">
        <f t="shared" si="3"/>
        <v>0</v>
      </c>
      <c r="L39" s="87">
        <f t="shared" si="3"/>
        <v>0</v>
      </c>
      <c r="M39" s="87">
        <f t="shared" si="3"/>
        <v>0</v>
      </c>
      <c r="N39" s="87">
        <f t="shared" si="3"/>
        <v>0</v>
      </c>
      <c r="O39" s="87"/>
      <c r="P39" s="87">
        <f t="shared" ref="P39:W39" si="4">P35-P38</f>
        <v>0</v>
      </c>
      <c r="Q39" s="87">
        <f t="shared" si="4"/>
        <v>0</v>
      </c>
      <c r="R39" s="87">
        <f t="shared" si="4"/>
        <v>0</v>
      </c>
      <c r="S39" s="87">
        <f t="shared" si="4"/>
        <v>0</v>
      </c>
      <c r="T39" s="87">
        <f t="shared" si="4"/>
        <v>0</v>
      </c>
      <c r="U39" s="87">
        <f t="shared" si="4"/>
        <v>0</v>
      </c>
      <c r="V39" s="87">
        <f t="shared" si="4"/>
        <v>0</v>
      </c>
      <c r="W39" s="87">
        <f t="shared" si="4"/>
        <v>0</v>
      </c>
      <c r="X39" s="87">
        <f t="shared" ref="X39" si="5">X35-X38</f>
        <v>0</v>
      </c>
      <c r="Y39" s="23"/>
      <c r="Z39" s="23"/>
      <c r="AA39" s="23"/>
      <c r="AB39" s="23"/>
      <c r="AC39" s="23"/>
      <c r="AD39" s="23"/>
    </row>
    <row r="40" spans="2:30">
      <c r="B40" s="4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92"/>
      <c r="P40" s="92"/>
      <c r="Q40" s="92"/>
      <c r="R40" s="92"/>
      <c r="S40" s="92"/>
      <c r="T40" s="92"/>
      <c r="U40" s="92"/>
      <c r="V40" s="92"/>
      <c r="W40" s="92"/>
      <c r="X40" s="92"/>
    </row>
    <row r="41" spans="2:30">
      <c r="B41" s="4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92"/>
      <c r="P41" s="92"/>
      <c r="Q41" s="92"/>
      <c r="R41" s="92"/>
      <c r="S41" s="92"/>
      <c r="T41" s="92"/>
      <c r="U41" s="92"/>
      <c r="V41" s="92"/>
      <c r="W41" s="92"/>
      <c r="X41" s="92"/>
    </row>
    <row r="42" spans="2:30">
      <c r="B42" s="4"/>
      <c r="C42" s="87">
        <f t="shared" ref="C42:N42" si="6">SUM(C29:C32)</f>
        <v>43380.01</v>
      </c>
      <c r="D42" s="87">
        <f t="shared" si="6"/>
        <v>58140.56</v>
      </c>
      <c r="E42" s="87">
        <f t="shared" si="6"/>
        <v>27208.81</v>
      </c>
      <c r="F42" s="87">
        <f t="shared" si="6"/>
        <v>44993.259999999995</v>
      </c>
      <c r="G42" s="87">
        <f t="shared" si="6"/>
        <v>113816.5</v>
      </c>
      <c r="H42" s="87">
        <f t="shared" si="6"/>
        <v>35048.629999999997</v>
      </c>
      <c r="I42" s="87">
        <f t="shared" si="6"/>
        <v>57086.37999999999</v>
      </c>
      <c r="J42" s="87">
        <f t="shared" si="6"/>
        <v>-152657.35</v>
      </c>
      <c r="K42" s="87">
        <f t="shared" si="6"/>
        <v>36943.56</v>
      </c>
      <c r="L42" s="87">
        <f t="shared" si="6"/>
        <v>44723.94</v>
      </c>
      <c r="M42" s="87">
        <f t="shared" si="6"/>
        <v>53602.570000000007</v>
      </c>
      <c r="N42" s="87">
        <f t="shared" si="6"/>
        <v>-14883.96</v>
      </c>
      <c r="O42" s="87"/>
      <c r="P42" s="87">
        <f t="shared" ref="P42:W42" si="7">SUM(P29:P32)</f>
        <v>37777</v>
      </c>
      <c r="Q42" s="87">
        <f t="shared" si="7"/>
        <v>37777</v>
      </c>
      <c r="R42" s="87">
        <f t="shared" si="7"/>
        <v>37777</v>
      </c>
      <c r="S42" s="87">
        <f t="shared" si="7"/>
        <v>39459</v>
      </c>
      <c r="T42" s="87">
        <f t="shared" si="7"/>
        <v>39459</v>
      </c>
      <c r="U42" s="87">
        <f t="shared" si="7"/>
        <v>39459</v>
      </c>
      <c r="V42" s="87">
        <f t="shared" si="7"/>
        <v>39459</v>
      </c>
      <c r="W42" s="87">
        <f t="shared" si="7"/>
        <v>39459</v>
      </c>
      <c r="X42" s="87">
        <f t="shared" ref="X42" si="8">SUM(X29:X32)</f>
        <v>39459</v>
      </c>
      <c r="Y42" s="23"/>
      <c r="Z42" s="23"/>
      <c r="AA42" s="23"/>
      <c r="AB42" s="23"/>
      <c r="AC42" s="23"/>
      <c r="AD42" s="23"/>
    </row>
    <row r="43" spans="2:30">
      <c r="B43" s="4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2:30">
      <c r="B44" s="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2:30">
      <c r="B45" s="4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2:30">
      <c r="B46" s="4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2:30">
      <c r="B47" s="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2:30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2:20">
      <c r="B49" s="4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P49" s="60"/>
      <c r="Q49" s="39"/>
      <c r="R49" s="39"/>
      <c r="S49" s="39"/>
      <c r="T49" s="39"/>
    </row>
    <row r="50" spans="2:20">
      <c r="B50" s="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2:20">
      <c r="B51" s="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2:20">
      <c r="B52" s="4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2:20">
      <c r="B53" s="4"/>
      <c r="C53" s="24"/>
      <c r="D53" s="24"/>
      <c r="E53" s="24"/>
      <c r="F53" s="24"/>
      <c r="G53" s="24"/>
      <c r="H53" s="24"/>
      <c r="I53" s="24"/>
      <c r="J53" s="24"/>
      <c r="K53" s="23"/>
      <c r="L53" s="23"/>
      <c r="M53" s="23"/>
      <c r="N53" s="23"/>
    </row>
    <row r="54" spans="2:20">
      <c r="B54" s="4"/>
      <c r="C54" s="24"/>
      <c r="D54" s="24"/>
      <c r="E54" s="24"/>
      <c r="F54" s="24"/>
      <c r="G54" s="24"/>
      <c r="H54" s="24"/>
      <c r="I54" s="24"/>
      <c r="J54" s="24"/>
      <c r="K54" s="23"/>
      <c r="L54" s="23"/>
      <c r="M54" s="23"/>
      <c r="N54" s="23"/>
    </row>
    <row r="55" spans="2:20">
      <c r="B55" s="4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2:20">
      <c r="B56" s="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2:20">
      <c r="B57" s="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2:20">
      <c r="B58" s="4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2:20">
      <c r="B59" s="4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2:20">
      <c r="B60" s="4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2:20">
      <c r="B61" s="4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</row>
    <row r="62" spans="2:20">
      <c r="B62" s="4"/>
      <c r="C62" s="24"/>
      <c r="D62" s="24"/>
      <c r="E62" s="24"/>
      <c r="F62" s="24"/>
      <c r="G62" s="24"/>
      <c r="H62" s="24"/>
      <c r="I62" s="24"/>
      <c r="J62" s="24"/>
      <c r="K62" s="23"/>
      <c r="L62" s="23"/>
      <c r="M62" s="23"/>
      <c r="N62" s="23"/>
    </row>
    <row r="63" spans="2:20">
      <c r="B63" s="4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2:20">
      <c r="B64" s="4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2:14">
      <c r="B65" s="4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2:14">
      <c r="B66" s="4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2:14">
      <c r="B67" s="4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2:14">
      <c r="B68" s="4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2:14">
      <c r="B69" s="4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2:14">
      <c r="B70" s="17"/>
      <c r="C70" s="24"/>
      <c r="D70" s="24"/>
      <c r="E70" s="24"/>
      <c r="F70" s="24"/>
      <c r="G70" s="24"/>
      <c r="H70" s="24"/>
      <c r="I70" s="24"/>
      <c r="J70" s="24"/>
      <c r="K70" s="23"/>
      <c r="L70" s="23"/>
      <c r="M70" s="23"/>
      <c r="N70" s="23"/>
    </row>
    <row r="71" spans="2:14"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</row>
    <row r="72" spans="2:14">
      <c r="B72" s="17"/>
      <c r="C72" s="24"/>
      <c r="D72" s="24"/>
      <c r="E72" s="24"/>
      <c r="F72" s="24"/>
      <c r="G72" s="24"/>
      <c r="H72" s="24"/>
      <c r="I72" s="24"/>
      <c r="J72" s="24"/>
      <c r="K72" s="23"/>
      <c r="L72" s="23"/>
      <c r="M72" s="23"/>
      <c r="N72" s="23"/>
    </row>
  </sheetData>
  <pageMargins left="1.02" right="0.34" top="0.55000000000000004" bottom="0.59" header="0.3" footer="0.19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W35"/>
  <sheetViews>
    <sheetView showGridLines="0" view="pageBreakPreview" zoomScale="85" zoomScaleNormal="80" zoomScaleSheetLayoutView="85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2.75"/>
  <cols>
    <col min="1" max="1" width="4" customWidth="1"/>
    <col min="2" max="2" width="74.5703125" customWidth="1"/>
    <col min="3" max="3" width="12.85546875" bestFit="1" customWidth="1"/>
    <col min="4" max="4" width="12.85546875" customWidth="1"/>
    <col min="5" max="5" width="13.5703125" customWidth="1"/>
    <col min="6" max="6" width="12" customWidth="1"/>
    <col min="7" max="7" width="12.42578125" customWidth="1"/>
    <col min="8" max="8" width="12.85546875" bestFit="1" customWidth="1"/>
    <col min="9" max="9" width="12.85546875" customWidth="1"/>
    <col min="10" max="10" width="12.85546875" bestFit="1" customWidth="1"/>
    <col min="11" max="12" width="10.5703125" customWidth="1"/>
    <col min="13" max="13" width="12" customWidth="1"/>
    <col min="14" max="14" width="10.5703125" customWidth="1"/>
    <col min="15" max="15" width="4.7109375" customWidth="1"/>
    <col min="16" max="16" width="14.28515625" customWidth="1"/>
    <col min="17" max="23" width="13.5703125" bestFit="1" customWidth="1"/>
  </cols>
  <sheetData>
    <row r="1" spans="2:23" ht="12" customHeight="1">
      <c r="B1" s="1" t="s">
        <v>0</v>
      </c>
    </row>
    <row r="2" spans="2:23" ht="13.5" customHeight="1">
      <c r="B2" s="1" t="s">
        <v>1</v>
      </c>
      <c r="E2" s="2"/>
    </row>
    <row r="3" spans="2:23" s="3" customFormat="1" ht="12.75" customHeight="1">
      <c r="B3" s="1" t="s">
        <v>2</v>
      </c>
    </row>
    <row r="4" spans="2:23" s="3" customFormat="1" ht="12.75" customHeight="1">
      <c r="B4" s="4" t="s">
        <v>3</v>
      </c>
    </row>
    <row r="5" spans="2:23" s="5" customFormat="1" ht="12" customHeight="1">
      <c r="B5" s="78" t="s">
        <v>99</v>
      </c>
      <c r="H5" s="6"/>
    </row>
    <row r="6" spans="2:23" ht="12" customHeight="1">
      <c r="B6" s="7"/>
      <c r="C6" s="5"/>
      <c r="D6" s="5"/>
    </row>
    <row r="7" spans="2:23" ht="21" customHeight="1">
      <c r="B7" s="8"/>
      <c r="C7" s="9"/>
      <c r="D7" s="9"/>
      <c r="E7" s="9"/>
      <c r="G7" s="10"/>
    </row>
    <row r="8" spans="2:23" s="11" customFormat="1">
      <c r="B8"/>
      <c r="C8" s="51" t="s">
        <v>84</v>
      </c>
      <c r="D8" s="51" t="s">
        <v>84</v>
      </c>
      <c r="E8" s="51" t="s">
        <v>84</v>
      </c>
      <c r="F8" s="51" t="s">
        <v>85</v>
      </c>
      <c r="G8" s="51" t="s">
        <v>85</v>
      </c>
      <c r="H8" s="51" t="s">
        <v>85</v>
      </c>
      <c r="I8" s="51" t="s">
        <v>85</v>
      </c>
      <c r="J8" s="51" t="s">
        <v>85</v>
      </c>
      <c r="K8" s="51" t="s">
        <v>85</v>
      </c>
      <c r="L8" s="51" t="s">
        <v>85</v>
      </c>
      <c r="M8" s="51" t="s">
        <v>85</v>
      </c>
      <c r="N8" s="51" t="s">
        <v>85</v>
      </c>
      <c r="O8" s="33"/>
      <c r="P8" s="51" t="s">
        <v>86</v>
      </c>
      <c r="Q8" s="51" t="s">
        <v>86</v>
      </c>
      <c r="R8" s="51" t="s">
        <v>86</v>
      </c>
      <c r="S8" s="51" t="s">
        <v>86</v>
      </c>
      <c r="T8" s="51" t="s">
        <v>79</v>
      </c>
      <c r="U8" s="51" t="s">
        <v>86</v>
      </c>
      <c r="V8" s="1" t="s">
        <v>79</v>
      </c>
      <c r="W8" s="1" t="s">
        <v>79</v>
      </c>
    </row>
    <row r="9" spans="2:23" ht="12.75" customHeight="1">
      <c r="B9" s="12"/>
      <c r="C9" s="52" t="s">
        <v>17</v>
      </c>
      <c r="D9" s="52" t="s">
        <v>18</v>
      </c>
      <c r="E9" s="52" t="s">
        <v>19</v>
      </c>
      <c r="F9" s="52" t="s">
        <v>8</v>
      </c>
      <c r="G9" s="52" t="s">
        <v>9</v>
      </c>
      <c r="H9" s="52" t="s">
        <v>10</v>
      </c>
      <c r="I9" s="52" t="s">
        <v>11</v>
      </c>
      <c r="J9" s="52" t="s">
        <v>12</v>
      </c>
      <c r="K9" s="52" t="s">
        <v>13</v>
      </c>
      <c r="L9" s="52" t="s">
        <v>14</v>
      </c>
      <c r="M9" s="52" t="s">
        <v>15</v>
      </c>
      <c r="N9" s="52" t="s">
        <v>16</v>
      </c>
      <c r="O9" s="31"/>
      <c r="P9" s="52" t="s">
        <v>17</v>
      </c>
      <c r="Q9" s="52" t="s">
        <v>18</v>
      </c>
      <c r="R9" s="52" t="s">
        <v>19</v>
      </c>
      <c r="S9" s="64" t="s">
        <v>8</v>
      </c>
      <c r="T9" s="64" t="s">
        <v>9</v>
      </c>
      <c r="U9" s="64" t="s">
        <v>10</v>
      </c>
      <c r="V9" s="13" t="s">
        <v>13</v>
      </c>
      <c r="W9" s="13" t="s">
        <v>14</v>
      </c>
    </row>
    <row r="10" spans="2:23" ht="12.75" customHeight="1">
      <c r="B10" s="14"/>
      <c r="E10" s="15"/>
      <c r="O10" s="31"/>
      <c r="P10" s="15"/>
      <c r="Q10" s="15"/>
      <c r="R10" s="15"/>
      <c r="S10" s="15"/>
      <c r="T10" s="15"/>
      <c r="U10" s="15"/>
      <c r="V10" s="15"/>
      <c r="W10" s="15"/>
    </row>
    <row r="11" spans="2:23" ht="15">
      <c r="B11" s="16" t="s">
        <v>23</v>
      </c>
      <c r="C11" s="62">
        <v>25513.040000000001</v>
      </c>
      <c r="D11" s="62">
        <v>34955.61</v>
      </c>
      <c r="E11" s="62">
        <v>4998.3999999999996</v>
      </c>
      <c r="F11" s="62">
        <v>36810.71</v>
      </c>
      <c r="G11" s="62">
        <v>67268.7</v>
      </c>
      <c r="H11" s="62">
        <v>31130.86</v>
      </c>
      <c r="I11" s="62">
        <v>31662.37</v>
      </c>
      <c r="J11" s="62">
        <v>28843.54</v>
      </c>
      <c r="K11" s="62">
        <v>25999.09</v>
      </c>
      <c r="L11" s="62">
        <v>33124.99</v>
      </c>
      <c r="M11" s="62">
        <v>35306.58</v>
      </c>
      <c r="N11" s="62">
        <v>29781.91</v>
      </c>
      <c r="O11" s="48"/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</row>
    <row r="12" spans="2:23" ht="15">
      <c r="B12" s="16" t="s">
        <v>24</v>
      </c>
      <c r="C12" s="62">
        <v>2.65</v>
      </c>
      <c r="D12" s="62">
        <v>4.28</v>
      </c>
      <c r="E12" s="62">
        <v>17.87</v>
      </c>
      <c r="F12" s="62">
        <v>2.5299999999999998</v>
      </c>
      <c r="G12" s="62">
        <v>11.56</v>
      </c>
      <c r="H12" s="62">
        <v>4.33</v>
      </c>
      <c r="I12" s="62">
        <v>943.25</v>
      </c>
      <c r="J12" s="62">
        <v>297.52</v>
      </c>
      <c r="K12" s="62">
        <v>44.8</v>
      </c>
      <c r="L12" s="62">
        <v>8.18</v>
      </c>
      <c r="M12" s="62">
        <v>10.3</v>
      </c>
      <c r="N12" s="62">
        <v>5.45</v>
      </c>
      <c r="O12" s="48"/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</row>
    <row r="13" spans="2:23" ht="15">
      <c r="B13" s="4" t="s">
        <v>25</v>
      </c>
      <c r="C13" s="62">
        <v>1.48</v>
      </c>
      <c r="D13" s="62">
        <v>-0.74</v>
      </c>
      <c r="E13" s="62">
        <v>-0.62</v>
      </c>
      <c r="F13" s="62">
        <v>1.29</v>
      </c>
      <c r="G13" s="62">
        <v>-0.45</v>
      </c>
      <c r="H13" s="62">
        <v>-2.1800000000000002</v>
      </c>
      <c r="I13" s="62">
        <v>373.08</v>
      </c>
      <c r="J13" s="62">
        <v>-338.46</v>
      </c>
      <c r="K13" s="62">
        <v>-21.56</v>
      </c>
      <c r="L13" s="62">
        <v>-11.77</v>
      </c>
      <c r="M13" s="62">
        <v>-0.63</v>
      </c>
      <c r="N13" s="62">
        <v>0.36</v>
      </c>
      <c r="O13" s="48"/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</row>
    <row r="14" spans="2:23" ht="15">
      <c r="B14" s="4" t="s">
        <v>26</v>
      </c>
      <c r="C14" s="62">
        <v>1249.51</v>
      </c>
      <c r="D14" s="62">
        <v>-570.74</v>
      </c>
      <c r="E14" s="62">
        <v>-1019.18</v>
      </c>
      <c r="F14" s="62">
        <v>-1150.18</v>
      </c>
      <c r="G14" s="62">
        <v>6025.75</v>
      </c>
      <c r="H14" s="62">
        <v>-4461.5200000000004</v>
      </c>
      <c r="I14" s="62">
        <v>3319.12</v>
      </c>
      <c r="J14" s="62">
        <v>7346.39</v>
      </c>
      <c r="K14" s="62">
        <v>-11079.15</v>
      </c>
      <c r="L14" s="62">
        <v>-1232.1199999999999</v>
      </c>
      <c r="M14" s="62">
        <v>1072.6600000000001</v>
      </c>
      <c r="N14" s="62">
        <v>1007.3</v>
      </c>
      <c r="O14" s="48"/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</row>
    <row r="15" spans="2:23" ht="15">
      <c r="B15" s="4" t="s">
        <v>27</v>
      </c>
      <c r="C15" s="62">
        <v>-1</v>
      </c>
      <c r="D15" s="62">
        <v>1.56</v>
      </c>
      <c r="E15" s="62">
        <v>-0.04</v>
      </c>
      <c r="F15" s="62">
        <v>-2.04</v>
      </c>
      <c r="G15" s="62">
        <v>4.28</v>
      </c>
      <c r="H15" s="62">
        <v>-3.01</v>
      </c>
      <c r="I15" s="62">
        <v>610.91</v>
      </c>
      <c r="J15" s="62">
        <v>-419.72</v>
      </c>
      <c r="K15" s="62">
        <v>-185.9</v>
      </c>
      <c r="L15" s="62">
        <v>-5.0199999999999996</v>
      </c>
      <c r="M15" s="62">
        <v>2.1800000000000002</v>
      </c>
      <c r="N15" s="62">
        <v>-1.88</v>
      </c>
      <c r="O15" s="48"/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</row>
    <row r="16" spans="2:23" ht="15">
      <c r="B16" s="4" t="s">
        <v>28</v>
      </c>
      <c r="C16" s="62">
        <v>6.12</v>
      </c>
      <c r="D16" s="62">
        <v>3.7</v>
      </c>
      <c r="E16" s="62">
        <v>11.83</v>
      </c>
      <c r="F16" s="62">
        <v>9.0299999999999994</v>
      </c>
      <c r="G16" s="62">
        <v>6.34</v>
      </c>
      <c r="H16" s="62">
        <v>1.24</v>
      </c>
      <c r="I16" s="62">
        <v>574.98</v>
      </c>
      <c r="J16" s="62">
        <v>54.3</v>
      </c>
      <c r="K16" s="62">
        <v>82.22</v>
      </c>
      <c r="L16" s="62">
        <v>6.53</v>
      </c>
      <c r="M16" s="62">
        <v>2.85</v>
      </c>
      <c r="N16" s="62">
        <v>3.33</v>
      </c>
      <c r="O16" s="48"/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</row>
    <row r="17" spans="2:23" ht="15">
      <c r="B17" s="4" t="s">
        <v>30</v>
      </c>
      <c r="C17" s="62">
        <v>17</v>
      </c>
      <c r="D17" s="62">
        <v>0</v>
      </c>
      <c r="E17" s="62">
        <v>6.79</v>
      </c>
      <c r="F17" s="62">
        <v>0</v>
      </c>
      <c r="G17" s="62">
        <v>0</v>
      </c>
      <c r="H17" s="62">
        <v>0</v>
      </c>
      <c r="I17" s="62">
        <v>0</v>
      </c>
      <c r="J17" s="62">
        <v>20.84</v>
      </c>
      <c r="K17" s="62">
        <v>41.69</v>
      </c>
      <c r="L17" s="62">
        <v>0</v>
      </c>
      <c r="M17" s="62">
        <v>0</v>
      </c>
      <c r="N17" s="62">
        <v>0</v>
      </c>
      <c r="O17" s="48"/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</row>
    <row r="18" spans="2:23" ht="15">
      <c r="B18" s="4" t="s">
        <v>20</v>
      </c>
      <c r="C18" s="62">
        <v>26788.799999999999</v>
      </c>
      <c r="D18" s="62">
        <v>34393.67</v>
      </c>
      <c r="E18" s="62">
        <v>4015.05</v>
      </c>
      <c r="F18" s="62">
        <v>35671.339999999997</v>
      </c>
      <c r="G18" s="62">
        <v>73316.179999999993</v>
      </c>
      <c r="H18" s="62">
        <v>26669.72</v>
      </c>
      <c r="I18" s="62">
        <v>37483.71</v>
      </c>
      <c r="J18" s="62">
        <v>35804.410000000003</v>
      </c>
      <c r="K18" s="62">
        <v>14881.19</v>
      </c>
      <c r="L18" s="62">
        <v>31890.79</v>
      </c>
      <c r="M18" s="62">
        <v>36393.94</v>
      </c>
      <c r="N18" s="62">
        <v>30796.47</v>
      </c>
      <c r="O18" s="48"/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</row>
    <row r="19" spans="2:23" ht="15">
      <c r="B19" s="17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48"/>
      <c r="P19" s="47"/>
      <c r="Q19" s="47"/>
      <c r="R19" s="47"/>
      <c r="S19" s="47"/>
      <c r="T19" s="47"/>
      <c r="U19" s="47"/>
      <c r="V19" s="47"/>
      <c r="W19" s="47"/>
    </row>
    <row r="20" spans="2:23" ht="15">
      <c r="B20" s="4" t="s">
        <v>31</v>
      </c>
      <c r="C20" s="62">
        <v>5000</v>
      </c>
      <c r="D20" s="62">
        <v>5000</v>
      </c>
      <c r="E20" s="62">
        <v>5000</v>
      </c>
      <c r="F20" s="62">
        <v>200</v>
      </c>
      <c r="G20" s="62">
        <v>200</v>
      </c>
      <c r="H20" s="62">
        <v>200</v>
      </c>
      <c r="I20" s="62">
        <v>300</v>
      </c>
      <c r="J20" s="62">
        <v>-396474</v>
      </c>
      <c r="K20" s="62">
        <v>300</v>
      </c>
      <c r="L20" s="62">
        <v>300</v>
      </c>
      <c r="M20" s="62">
        <v>300</v>
      </c>
      <c r="N20" s="62">
        <v>800</v>
      </c>
      <c r="O20" s="48"/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</row>
    <row r="21" spans="2:23" ht="15">
      <c r="B21" s="4" t="s">
        <v>21</v>
      </c>
      <c r="C21" s="62">
        <v>5000</v>
      </c>
      <c r="D21" s="62">
        <v>5000</v>
      </c>
      <c r="E21" s="62">
        <v>5000</v>
      </c>
      <c r="F21" s="62">
        <v>200</v>
      </c>
      <c r="G21" s="62">
        <v>200</v>
      </c>
      <c r="H21" s="62">
        <v>200</v>
      </c>
      <c r="I21" s="62">
        <v>300</v>
      </c>
      <c r="J21" s="62">
        <v>-396474</v>
      </c>
      <c r="K21" s="62">
        <v>300</v>
      </c>
      <c r="L21" s="62">
        <v>300</v>
      </c>
      <c r="M21" s="62">
        <v>300</v>
      </c>
      <c r="N21" s="62">
        <v>800</v>
      </c>
      <c r="O21" s="48"/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</row>
    <row r="22" spans="2:23" ht="15">
      <c r="B22" s="17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48"/>
      <c r="P22" s="47"/>
      <c r="Q22" s="47"/>
      <c r="R22" s="47"/>
      <c r="S22" s="47"/>
      <c r="T22" s="47"/>
      <c r="U22" s="47"/>
      <c r="V22" s="47"/>
      <c r="W22" s="47"/>
    </row>
    <row r="23" spans="2:23" ht="15">
      <c r="B23" s="19" t="s">
        <v>41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48"/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</row>
    <row r="24" spans="2:23" ht="15">
      <c r="B24" s="19" t="s">
        <v>43</v>
      </c>
      <c r="C24" s="62">
        <v>33667</v>
      </c>
      <c r="D24" s="62">
        <v>44921.45</v>
      </c>
      <c r="E24" s="62">
        <v>27610.58</v>
      </c>
      <c r="F24" s="62">
        <v>31757.46</v>
      </c>
      <c r="G24" s="62">
        <v>94775.27</v>
      </c>
      <c r="H24" s="62">
        <v>24773.42</v>
      </c>
      <c r="I24" s="62">
        <v>43292.23</v>
      </c>
      <c r="J24" s="62">
        <v>30761.05</v>
      </c>
      <c r="K24" s="62">
        <v>31255.23</v>
      </c>
      <c r="L24" s="62">
        <v>32745.85</v>
      </c>
      <c r="M24" s="62">
        <v>40547.39</v>
      </c>
      <c r="N24" s="62">
        <v>29953.16</v>
      </c>
      <c r="O24" s="48"/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</row>
    <row r="25" spans="2:23" ht="15">
      <c r="B25" s="19" t="s">
        <v>44</v>
      </c>
      <c r="C25" s="62">
        <v>0</v>
      </c>
      <c r="D25" s="62">
        <v>0</v>
      </c>
      <c r="E25" s="62">
        <v>-0.01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0.01</v>
      </c>
      <c r="N25" s="62">
        <v>0</v>
      </c>
      <c r="O25" s="48"/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</row>
    <row r="26" spans="2:23" ht="15">
      <c r="B26" s="19" t="s">
        <v>45</v>
      </c>
      <c r="C26" s="62">
        <v>-33667</v>
      </c>
      <c r="D26" s="62">
        <v>-44921.45</v>
      </c>
      <c r="E26" s="62">
        <v>-27610.58</v>
      </c>
      <c r="F26" s="62">
        <v>-31757.45</v>
      </c>
      <c r="G26" s="62">
        <v>-94775.27</v>
      </c>
      <c r="H26" s="62">
        <v>-24773.42</v>
      </c>
      <c r="I26" s="62">
        <v>-43292.22</v>
      </c>
      <c r="J26" s="62">
        <v>-30761.05</v>
      </c>
      <c r="K26" s="62">
        <v>-31255.23</v>
      </c>
      <c r="L26" s="62">
        <v>-32745.85</v>
      </c>
      <c r="M26" s="62">
        <v>-40547.39</v>
      </c>
      <c r="N26" s="62">
        <v>83989.33</v>
      </c>
      <c r="O26" s="48"/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</row>
    <row r="27" spans="2:23" ht="15">
      <c r="B27" s="19" t="s">
        <v>46</v>
      </c>
      <c r="C27" s="62">
        <v>-31788.799999999999</v>
      </c>
      <c r="D27" s="62">
        <v>-39393.67</v>
      </c>
      <c r="E27" s="62">
        <v>-9015.0400000000009</v>
      </c>
      <c r="F27" s="62">
        <v>-35871.35</v>
      </c>
      <c r="G27" s="62">
        <v>-73516.2</v>
      </c>
      <c r="H27" s="62">
        <v>-26869.72</v>
      </c>
      <c r="I27" s="62">
        <v>-37783.71</v>
      </c>
      <c r="J27" s="62">
        <v>360669.59</v>
      </c>
      <c r="K27" s="62">
        <v>-15181.2</v>
      </c>
      <c r="L27" s="62">
        <v>-32190.79</v>
      </c>
      <c r="M27" s="62">
        <v>-36693.89</v>
      </c>
      <c r="N27" s="62">
        <v>-31596.52</v>
      </c>
      <c r="O27" s="48"/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</row>
    <row r="28" spans="2:23" ht="15">
      <c r="B28" s="19" t="s">
        <v>22</v>
      </c>
      <c r="C28" s="62">
        <v>-31788.799999999999</v>
      </c>
      <c r="D28" s="62">
        <v>-39393.67</v>
      </c>
      <c r="E28" s="62">
        <v>-9015.0499999999993</v>
      </c>
      <c r="F28" s="62">
        <v>-35871.339999999997</v>
      </c>
      <c r="G28" s="62">
        <v>-73516.2</v>
      </c>
      <c r="H28" s="62">
        <v>-26869.72</v>
      </c>
      <c r="I28" s="62">
        <v>-37783.699999999997</v>
      </c>
      <c r="J28" s="62">
        <v>360669.59</v>
      </c>
      <c r="K28" s="62">
        <v>-15181.2</v>
      </c>
      <c r="L28" s="62">
        <v>-32190.79</v>
      </c>
      <c r="M28" s="62">
        <v>-36693.879999999997</v>
      </c>
      <c r="N28" s="62">
        <v>82345.97</v>
      </c>
      <c r="O28" s="48"/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</row>
    <row r="29" spans="2:23" ht="15">
      <c r="B29" s="17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48"/>
      <c r="P29" s="47"/>
      <c r="Q29" s="47"/>
      <c r="R29" s="47"/>
      <c r="S29" s="47"/>
      <c r="T29" s="47"/>
      <c r="U29" s="47"/>
      <c r="V29" s="47"/>
      <c r="W29" s="47"/>
    </row>
    <row r="30" spans="2:23" ht="15">
      <c r="B30" s="17" t="s">
        <v>4</v>
      </c>
      <c r="C30" s="62">
        <v>0</v>
      </c>
      <c r="D30" s="62">
        <v>0</v>
      </c>
      <c r="E30" s="62">
        <v>0</v>
      </c>
      <c r="F30" s="62">
        <v>0</v>
      </c>
      <c r="G30" s="62">
        <v>-0.02</v>
      </c>
      <c r="H30" s="62">
        <v>0</v>
      </c>
      <c r="I30" s="62">
        <v>0.01</v>
      </c>
      <c r="J30" s="62">
        <v>5.8207700000000002E-11</v>
      </c>
      <c r="K30" s="62">
        <v>-0.01</v>
      </c>
      <c r="L30" s="62">
        <v>0</v>
      </c>
      <c r="M30" s="62">
        <v>0.06</v>
      </c>
      <c r="N30" s="62">
        <v>113942.44</v>
      </c>
      <c r="O30" s="48"/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7">
        <v>0</v>
      </c>
      <c r="W30" s="47">
        <v>0</v>
      </c>
    </row>
    <row r="31" spans="2:23">
      <c r="B31" s="17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31"/>
      <c r="P31" s="22"/>
      <c r="Q31" s="22"/>
      <c r="R31" s="22"/>
      <c r="S31" s="22"/>
      <c r="T31" s="22"/>
      <c r="U31" s="22"/>
      <c r="V31" s="22"/>
      <c r="W31" s="22"/>
    </row>
    <row r="32" spans="2:23">
      <c r="B32" s="19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2:23">
      <c r="B33" s="17"/>
      <c r="C33" s="24">
        <f>C18+C21+C28</f>
        <v>0</v>
      </c>
      <c r="D33" s="24">
        <f t="shared" ref="D33:N33" si="0">D18+D21+D28</f>
        <v>0</v>
      </c>
      <c r="E33" s="24">
        <f t="shared" si="0"/>
        <v>0</v>
      </c>
      <c r="F33" s="24">
        <f t="shared" si="0"/>
        <v>0</v>
      </c>
      <c r="G33" s="24">
        <f t="shared" si="0"/>
        <v>-2.0000000004074536E-2</v>
      </c>
      <c r="H33" s="24">
        <f t="shared" si="0"/>
        <v>0</v>
      </c>
      <c r="I33" s="24">
        <f t="shared" si="0"/>
        <v>1.0000000002037268E-2</v>
      </c>
      <c r="J33" s="24">
        <f t="shared" si="0"/>
        <v>0</v>
      </c>
      <c r="K33" s="24">
        <f t="shared" si="0"/>
        <v>-1.0000000000218279E-2</v>
      </c>
      <c r="L33" s="24">
        <f t="shared" si="0"/>
        <v>0</v>
      </c>
      <c r="M33" s="24">
        <f t="shared" si="0"/>
        <v>6.0000000004947651E-2</v>
      </c>
      <c r="N33" s="24">
        <f t="shared" si="0"/>
        <v>113942.44</v>
      </c>
      <c r="O33" s="24"/>
      <c r="P33" s="24">
        <f t="shared" ref="P33:W33" si="1">P18+P21+P28</f>
        <v>0</v>
      </c>
      <c r="Q33" s="24">
        <f t="shared" si="1"/>
        <v>0</v>
      </c>
      <c r="R33" s="24">
        <f t="shared" si="1"/>
        <v>0</v>
      </c>
      <c r="S33" s="24">
        <f t="shared" si="1"/>
        <v>0</v>
      </c>
      <c r="T33" s="24">
        <f t="shared" si="1"/>
        <v>0</v>
      </c>
      <c r="U33" s="24">
        <f t="shared" si="1"/>
        <v>0</v>
      </c>
      <c r="V33" s="24">
        <f t="shared" si="1"/>
        <v>0</v>
      </c>
      <c r="W33" s="24">
        <f t="shared" si="1"/>
        <v>0</v>
      </c>
    </row>
    <row r="34" spans="2:23">
      <c r="C34" s="24">
        <f>C30-C33</f>
        <v>0</v>
      </c>
      <c r="D34" s="24">
        <f t="shared" ref="D34:N34" si="2">D30-D33</f>
        <v>0</v>
      </c>
      <c r="E34" s="24">
        <f t="shared" si="2"/>
        <v>0</v>
      </c>
      <c r="F34" s="24">
        <f t="shared" si="2"/>
        <v>0</v>
      </c>
      <c r="G34" s="24">
        <f t="shared" si="2"/>
        <v>4.0745358476090843E-12</v>
      </c>
      <c r="H34" s="24">
        <f t="shared" si="2"/>
        <v>0</v>
      </c>
      <c r="I34" s="24">
        <f t="shared" si="2"/>
        <v>-2.0372679238045421E-12</v>
      </c>
      <c r="J34" s="24">
        <f t="shared" si="2"/>
        <v>5.8207700000000002E-11</v>
      </c>
      <c r="K34" s="24">
        <f t="shared" si="2"/>
        <v>2.1827852025868566E-13</v>
      </c>
      <c r="L34" s="24">
        <f t="shared" si="2"/>
        <v>0</v>
      </c>
      <c r="M34" s="24">
        <f t="shared" si="2"/>
        <v>-4.9476533980907789E-12</v>
      </c>
      <c r="N34" s="24">
        <f t="shared" si="2"/>
        <v>0</v>
      </c>
      <c r="O34" s="24"/>
      <c r="P34" s="24">
        <f t="shared" ref="P34" si="3">P30-P33</f>
        <v>0</v>
      </c>
      <c r="Q34" s="24">
        <f t="shared" ref="Q34" si="4">Q30-Q33</f>
        <v>0</v>
      </c>
      <c r="R34" s="24">
        <f t="shared" ref="R34" si="5">R30-R33</f>
        <v>0</v>
      </c>
      <c r="S34" s="24">
        <f t="shared" ref="S34" si="6">S30-S33</f>
        <v>0</v>
      </c>
      <c r="T34" s="24">
        <f t="shared" ref="T34" si="7">T30-T33</f>
        <v>0</v>
      </c>
      <c r="U34" s="24">
        <f t="shared" ref="U34" si="8">U30-U33</f>
        <v>0</v>
      </c>
      <c r="V34" s="24">
        <f t="shared" ref="V34" si="9">V30-V33</f>
        <v>0</v>
      </c>
      <c r="W34" s="24">
        <f t="shared" ref="W34" si="10">W30-W33</f>
        <v>0</v>
      </c>
    </row>
    <row r="35" spans="2:23">
      <c r="B35" s="17"/>
      <c r="C35" s="24"/>
      <c r="D35" s="24"/>
      <c r="E35" s="24"/>
      <c r="F35" s="24"/>
      <c r="G35" s="24"/>
      <c r="H35" s="24"/>
      <c r="I35" s="24"/>
      <c r="J35" s="24"/>
      <c r="K35" s="23"/>
      <c r="L35" s="23"/>
      <c r="M35" s="23"/>
      <c r="N35" s="23"/>
    </row>
  </sheetData>
  <pageMargins left="1.02" right="0.34" top="0.55000000000000004" bottom="0.59" header="0.3" footer="0.19"/>
  <pageSetup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40"/>
  <sheetViews>
    <sheetView showGridLines="0" view="pageBreakPreview" zoomScale="80" zoomScaleNormal="80" zoomScaleSheetLayoutView="80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2.75"/>
  <cols>
    <col min="1" max="1" width="4" customWidth="1"/>
    <col min="2" max="2" width="66.5703125" customWidth="1"/>
    <col min="3" max="4" width="13.7109375" bestFit="1" customWidth="1"/>
    <col min="5" max="5" width="13.42578125" bestFit="1" customWidth="1"/>
    <col min="6" max="6" width="13.7109375" bestFit="1" customWidth="1"/>
    <col min="7" max="7" width="12.42578125" customWidth="1"/>
    <col min="8" max="8" width="13.42578125" bestFit="1" customWidth="1"/>
    <col min="9" max="9" width="14.140625" bestFit="1" customWidth="1"/>
    <col min="10" max="11" width="13.7109375" bestFit="1" customWidth="1"/>
    <col min="12" max="12" width="16.140625" bestFit="1" customWidth="1"/>
    <col min="13" max="13" width="15.140625" bestFit="1" customWidth="1"/>
    <col min="14" max="14" width="13.7109375" bestFit="1" customWidth="1"/>
    <col min="15" max="15" width="4" customWidth="1"/>
    <col min="16" max="16" width="12.7109375" customWidth="1"/>
    <col min="17" max="17" width="12.140625" customWidth="1"/>
    <col min="18" max="23" width="13.5703125" bestFit="1" customWidth="1"/>
    <col min="24" max="24" width="14.140625" bestFit="1" customWidth="1"/>
  </cols>
  <sheetData>
    <row r="1" spans="2:24" ht="12" customHeight="1">
      <c r="B1" s="1" t="s">
        <v>0</v>
      </c>
    </row>
    <row r="2" spans="2:24" ht="13.5" customHeight="1">
      <c r="B2" s="1" t="s">
        <v>1</v>
      </c>
      <c r="E2" s="2"/>
    </row>
    <row r="3" spans="2:24" s="3" customFormat="1" ht="12.75" customHeight="1">
      <c r="B3" s="1" t="s">
        <v>2</v>
      </c>
    </row>
    <row r="4" spans="2:24" s="3" customFormat="1" ht="12.75" customHeight="1">
      <c r="B4" s="4" t="s">
        <v>3</v>
      </c>
    </row>
    <row r="5" spans="2:24" s="5" customFormat="1" ht="12" customHeight="1">
      <c r="B5" s="4" t="s">
        <v>6</v>
      </c>
      <c r="H5" s="6"/>
    </row>
    <row r="6" spans="2:24" ht="12" customHeight="1">
      <c r="B6" s="7"/>
      <c r="C6" s="5"/>
      <c r="D6" s="5"/>
    </row>
    <row r="7" spans="2:24" ht="21" customHeight="1">
      <c r="B7" s="8"/>
      <c r="C7" s="9"/>
      <c r="D7" s="9"/>
      <c r="E7" s="9"/>
      <c r="G7" s="10"/>
    </row>
    <row r="8" spans="2:24" s="11" customFormat="1">
      <c r="B8"/>
      <c r="C8" s="51" t="s">
        <v>84</v>
      </c>
      <c r="D8" s="51" t="s">
        <v>84</v>
      </c>
      <c r="E8" s="51" t="s">
        <v>84</v>
      </c>
      <c r="F8" s="51" t="s">
        <v>85</v>
      </c>
      <c r="G8" s="51" t="s">
        <v>85</v>
      </c>
      <c r="H8" s="51" t="s">
        <v>85</v>
      </c>
      <c r="I8" s="51" t="s">
        <v>85</v>
      </c>
      <c r="J8" s="51" t="s">
        <v>85</v>
      </c>
      <c r="K8" s="51" t="s">
        <v>85</v>
      </c>
      <c r="L8" s="51" t="s">
        <v>85</v>
      </c>
      <c r="M8" s="51" t="s">
        <v>85</v>
      </c>
      <c r="N8" s="51" t="s">
        <v>85</v>
      </c>
      <c r="O8" s="51"/>
      <c r="P8" s="51" t="s">
        <v>86</v>
      </c>
      <c r="Q8" s="51" t="s">
        <v>86</v>
      </c>
      <c r="R8" s="51" t="s">
        <v>86</v>
      </c>
      <c r="S8" s="51" t="s">
        <v>86</v>
      </c>
      <c r="T8" s="51" t="s">
        <v>79</v>
      </c>
      <c r="U8" s="51" t="s">
        <v>86</v>
      </c>
      <c r="V8" s="51" t="s">
        <v>86</v>
      </c>
      <c r="W8" s="51" t="s">
        <v>86</v>
      </c>
      <c r="X8" s="51" t="s">
        <v>86</v>
      </c>
    </row>
    <row r="9" spans="2:24" ht="12.75" customHeight="1">
      <c r="B9" s="12"/>
      <c r="C9" s="52" t="s">
        <v>17</v>
      </c>
      <c r="D9" s="52" t="s">
        <v>18</v>
      </c>
      <c r="E9" s="52" t="s">
        <v>19</v>
      </c>
      <c r="F9" s="52" t="s">
        <v>8</v>
      </c>
      <c r="G9" s="52" t="s">
        <v>9</v>
      </c>
      <c r="H9" s="52" t="s">
        <v>10</v>
      </c>
      <c r="I9" s="52" t="s">
        <v>11</v>
      </c>
      <c r="J9" s="52" t="s">
        <v>12</v>
      </c>
      <c r="K9" s="52" t="s">
        <v>13</v>
      </c>
      <c r="L9" s="52" t="s">
        <v>14</v>
      </c>
      <c r="M9" s="52" t="s">
        <v>15</v>
      </c>
      <c r="N9" s="52" t="s">
        <v>16</v>
      </c>
      <c r="O9" s="31"/>
      <c r="P9" s="52" t="s">
        <v>17</v>
      </c>
      <c r="Q9" s="52" t="s">
        <v>18</v>
      </c>
      <c r="R9" s="52" t="s">
        <v>19</v>
      </c>
      <c r="S9" s="64" t="s">
        <v>8</v>
      </c>
      <c r="T9" s="64" t="s">
        <v>9</v>
      </c>
      <c r="U9" s="64" t="s">
        <v>10</v>
      </c>
      <c r="V9" s="64" t="s">
        <v>11</v>
      </c>
      <c r="W9" s="64" t="s">
        <v>12</v>
      </c>
      <c r="X9" s="64" t="s">
        <v>13</v>
      </c>
    </row>
    <row r="10" spans="2:24" ht="12.75" customHeight="1">
      <c r="B10" s="14"/>
      <c r="C10" s="20"/>
      <c r="D10" s="20"/>
      <c r="E10" s="21"/>
      <c r="F10" s="20"/>
      <c r="G10" s="20"/>
      <c r="H10" s="20"/>
      <c r="I10" s="20"/>
      <c r="J10" s="20"/>
      <c r="K10" s="20"/>
      <c r="L10" s="20"/>
      <c r="M10" s="20"/>
      <c r="N10" s="20"/>
      <c r="O10" s="31"/>
    </row>
    <row r="11" spans="2:24" ht="12.75" customHeight="1">
      <c r="B11" s="16" t="s">
        <v>23</v>
      </c>
      <c r="C11" s="62">
        <v>262503.57</v>
      </c>
      <c r="D11" s="62">
        <v>313637.77</v>
      </c>
      <c r="E11" s="62">
        <v>357818.19</v>
      </c>
      <c r="F11" s="62">
        <v>214131</v>
      </c>
      <c r="G11" s="62">
        <v>563803.68000000005</v>
      </c>
      <c r="H11" s="62">
        <v>295422</v>
      </c>
      <c r="I11" s="62">
        <v>225457.18</v>
      </c>
      <c r="J11" s="62">
        <v>239315.18</v>
      </c>
      <c r="K11" s="62">
        <v>328622.96999999997</v>
      </c>
      <c r="L11" s="62">
        <v>232257.77</v>
      </c>
      <c r="M11" s="62">
        <v>274802.52</v>
      </c>
      <c r="N11" s="62">
        <v>227429.54</v>
      </c>
      <c r="O11" s="48"/>
      <c r="P11" s="79">
        <v>571583</v>
      </c>
      <c r="Q11" s="79">
        <v>571583</v>
      </c>
      <c r="R11" s="79">
        <v>571584</v>
      </c>
      <c r="S11" s="79">
        <f>'2019 PlanIt Budget'!D17</f>
        <v>605877</v>
      </c>
      <c r="T11" s="79">
        <f>'2019 PlanIt Budget'!E17</f>
        <v>605877</v>
      </c>
      <c r="U11" s="79">
        <f>'2019 PlanIt Budget'!F17</f>
        <v>605877</v>
      </c>
      <c r="V11" s="79">
        <f>'2019 PlanIt Budget'!G17</f>
        <v>605877</v>
      </c>
      <c r="W11" s="79">
        <f>'2019 PlanIt Budget'!H17</f>
        <v>605877</v>
      </c>
      <c r="X11" s="79">
        <f>'2019 PlanIt Budget'!I17</f>
        <v>605877</v>
      </c>
    </row>
    <row r="12" spans="2:24" ht="12.75" customHeight="1">
      <c r="B12" s="16" t="s">
        <v>24</v>
      </c>
      <c r="C12" s="62">
        <v>362.59</v>
      </c>
      <c r="D12" s="62">
        <v>217.71</v>
      </c>
      <c r="E12" s="62">
        <v>555.41</v>
      </c>
      <c r="F12" s="62">
        <v>359.65</v>
      </c>
      <c r="G12" s="62">
        <v>369.79</v>
      </c>
      <c r="H12" s="62">
        <v>201.58</v>
      </c>
      <c r="I12" s="62">
        <v>18094.48</v>
      </c>
      <c r="J12" s="62">
        <v>6745.56</v>
      </c>
      <c r="K12" s="62">
        <v>2875.85</v>
      </c>
      <c r="L12" s="62">
        <v>427</v>
      </c>
      <c r="M12" s="62">
        <v>567.35</v>
      </c>
      <c r="N12" s="62">
        <v>275.93</v>
      </c>
      <c r="O12" s="48"/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80">
        <v>0</v>
      </c>
      <c r="W12" s="80">
        <v>0</v>
      </c>
      <c r="X12" s="81"/>
    </row>
    <row r="13" spans="2:24" ht="15">
      <c r="B13" s="4" t="s">
        <v>25</v>
      </c>
      <c r="C13" s="62">
        <v>20.52</v>
      </c>
      <c r="D13" s="62">
        <v>0.62</v>
      </c>
      <c r="E13" s="62">
        <v>-322.77</v>
      </c>
      <c r="F13" s="62">
        <v>97.38</v>
      </c>
      <c r="G13" s="62">
        <v>206.54</v>
      </c>
      <c r="H13" s="62">
        <v>-212.06</v>
      </c>
      <c r="I13" s="62">
        <v>27866.27</v>
      </c>
      <c r="J13" s="62">
        <v>-23131.279999999999</v>
      </c>
      <c r="K13" s="62">
        <v>-3663.31</v>
      </c>
      <c r="L13" s="62">
        <v>-969.04</v>
      </c>
      <c r="M13" s="62">
        <v>166.04</v>
      </c>
      <c r="N13" s="62">
        <v>-209.85</v>
      </c>
      <c r="O13" s="48"/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80">
        <v>0</v>
      </c>
      <c r="W13" s="80">
        <v>0</v>
      </c>
      <c r="X13" s="81"/>
    </row>
    <row r="14" spans="2:24" ht="15">
      <c r="B14" s="4" t="s">
        <v>26</v>
      </c>
      <c r="C14" s="62">
        <v>17364.41</v>
      </c>
      <c r="D14" s="62">
        <v>75429.78</v>
      </c>
      <c r="E14" s="62">
        <v>-158787.54</v>
      </c>
      <c r="F14" s="62">
        <v>25248.85</v>
      </c>
      <c r="G14" s="62">
        <v>198412.77</v>
      </c>
      <c r="H14" s="62">
        <v>-122276.57</v>
      </c>
      <c r="I14" s="62">
        <v>20131.900000000001</v>
      </c>
      <c r="J14" s="62">
        <v>2752.14</v>
      </c>
      <c r="K14" s="62">
        <v>-114968.72</v>
      </c>
      <c r="L14" s="62">
        <v>11653.27</v>
      </c>
      <c r="M14" s="62">
        <v>58905.04</v>
      </c>
      <c r="N14" s="62">
        <v>-9821.3700000000008</v>
      </c>
      <c r="O14" s="48"/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80">
        <v>0</v>
      </c>
      <c r="W14" s="80">
        <v>0</v>
      </c>
      <c r="X14" s="81"/>
    </row>
    <row r="15" spans="2:24" ht="15">
      <c r="B15" s="4" t="s">
        <v>27</v>
      </c>
      <c r="C15" s="62">
        <v>36.21</v>
      </c>
      <c r="D15" s="62">
        <v>-46.95</v>
      </c>
      <c r="E15" s="62">
        <v>-59.84</v>
      </c>
      <c r="F15" s="62">
        <v>33.26</v>
      </c>
      <c r="G15" s="62">
        <v>40.57</v>
      </c>
      <c r="H15" s="62">
        <v>-65.510000000000005</v>
      </c>
      <c r="I15" s="62">
        <v>11660.53</v>
      </c>
      <c r="J15" s="62">
        <v>-7376.81</v>
      </c>
      <c r="K15" s="62">
        <v>-3905.29</v>
      </c>
      <c r="L15" s="62">
        <v>-351.23</v>
      </c>
      <c r="M15" s="62">
        <v>127.23</v>
      </c>
      <c r="N15" s="62">
        <v>-117.19</v>
      </c>
      <c r="O15" s="48"/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80">
        <v>0</v>
      </c>
      <c r="W15" s="80">
        <v>0</v>
      </c>
      <c r="X15" s="81"/>
    </row>
    <row r="16" spans="2:24" ht="15">
      <c r="B16" s="4" t="s">
        <v>28</v>
      </c>
      <c r="C16" s="62">
        <v>997.73</v>
      </c>
      <c r="D16" s="62">
        <v>784.76</v>
      </c>
      <c r="E16" s="62">
        <v>1359.28</v>
      </c>
      <c r="F16" s="62">
        <v>925.49</v>
      </c>
      <c r="G16" s="62">
        <v>1178.98</v>
      </c>
      <c r="H16" s="62">
        <v>636.54999999999995</v>
      </c>
      <c r="I16" s="62">
        <v>43361.06</v>
      </c>
      <c r="J16" s="62">
        <v>7774.53</v>
      </c>
      <c r="K16" s="62">
        <v>8340.2800000000007</v>
      </c>
      <c r="L16" s="62">
        <v>1403.45</v>
      </c>
      <c r="M16" s="62">
        <v>1304.68</v>
      </c>
      <c r="N16" s="62">
        <v>754.12</v>
      </c>
      <c r="O16" s="48"/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80">
        <v>0</v>
      </c>
      <c r="W16" s="80">
        <v>0</v>
      </c>
      <c r="X16" s="81"/>
    </row>
    <row r="17" spans="2:24" ht="15">
      <c r="B17" s="4" t="s">
        <v>29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48"/>
      <c r="P17" s="79"/>
      <c r="Q17" s="79"/>
      <c r="R17" s="79"/>
      <c r="S17" s="79"/>
      <c r="T17" s="79"/>
      <c r="U17" s="79"/>
      <c r="V17" s="80"/>
      <c r="W17" s="80"/>
      <c r="X17" s="81"/>
    </row>
    <row r="18" spans="2:24" s="54" customFormat="1" ht="15">
      <c r="B18" s="93" t="s">
        <v>116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13529.26</v>
      </c>
      <c r="L18" s="62">
        <v>742.73</v>
      </c>
      <c r="M18" s="62">
        <v>151.59</v>
      </c>
      <c r="N18" s="62">
        <v>0</v>
      </c>
      <c r="O18" s="48"/>
      <c r="P18" s="79"/>
      <c r="Q18" s="79"/>
      <c r="R18" s="79"/>
      <c r="S18" s="79"/>
      <c r="T18" s="79"/>
      <c r="U18" s="79"/>
      <c r="V18" s="80"/>
      <c r="W18" s="80"/>
      <c r="X18" s="81"/>
    </row>
    <row r="19" spans="2:24" ht="15">
      <c r="B19" s="60" t="s">
        <v>70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48"/>
      <c r="P19" s="79">
        <v>0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80">
        <v>0</v>
      </c>
      <c r="W19" s="80">
        <v>0</v>
      </c>
      <c r="X19" s="81"/>
    </row>
    <row r="20" spans="2:24" ht="15">
      <c r="B20" s="4" t="s">
        <v>20</v>
      </c>
      <c r="C20" s="62">
        <v>281285.03000000003</v>
      </c>
      <c r="D20" s="62">
        <v>390023.69</v>
      </c>
      <c r="E20" s="62">
        <v>200562.73</v>
      </c>
      <c r="F20" s="62">
        <v>240795.63</v>
      </c>
      <c r="G20" s="62">
        <v>764012.33</v>
      </c>
      <c r="H20" s="62">
        <v>173705.99</v>
      </c>
      <c r="I20" s="62">
        <v>346571.42</v>
      </c>
      <c r="J20" s="62">
        <v>226079.32</v>
      </c>
      <c r="K20" s="62">
        <v>230831.04</v>
      </c>
      <c r="L20" s="62">
        <v>245163.95</v>
      </c>
      <c r="M20" s="62">
        <v>336024.45</v>
      </c>
      <c r="N20" s="62">
        <v>218311.18</v>
      </c>
      <c r="O20" s="48"/>
      <c r="P20" s="79">
        <v>571583</v>
      </c>
      <c r="Q20" s="79">
        <v>571583</v>
      </c>
      <c r="R20" s="79">
        <v>571584</v>
      </c>
      <c r="S20" s="79">
        <f>'2019 PlanIt Budget'!D18</f>
        <v>605877</v>
      </c>
      <c r="T20" s="79">
        <f>'2019 PlanIt Budget'!E18</f>
        <v>605877</v>
      </c>
      <c r="U20" s="79">
        <f>'2019 PlanIt Budget'!F18</f>
        <v>605877</v>
      </c>
      <c r="V20" s="79">
        <f>'2019 PlanIt Budget'!G18</f>
        <v>605877</v>
      </c>
      <c r="W20" s="79">
        <f>'2019 PlanIt Budget'!H18</f>
        <v>605877</v>
      </c>
      <c r="X20" s="79">
        <f>'2019 PlanIt Budget'!I18</f>
        <v>605877</v>
      </c>
    </row>
    <row r="21" spans="2:24" ht="15">
      <c r="B21" s="17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48"/>
      <c r="P21" s="79"/>
      <c r="Q21" s="79"/>
      <c r="R21" s="79"/>
      <c r="S21" s="79"/>
      <c r="T21" s="79"/>
      <c r="U21" s="79"/>
      <c r="V21" s="80"/>
      <c r="W21" s="80"/>
      <c r="X21" s="81"/>
    </row>
    <row r="22" spans="2:24" ht="15">
      <c r="B22" s="4" t="s">
        <v>31</v>
      </c>
      <c r="C22" s="62">
        <v>44000</v>
      </c>
      <c r="D22" s="62">
        <v>44000</v>
      </c>
      <c r="E22" s="62">
        <v>44000</v>
      </c>
      <c r="F22" s="62">
        <v>64500</v>
      </c>
      <c r="G22" s="62">
        <v>64500</v>
      </c>
      <c r="H22" s="62">
        <v>64500</v>
      </c>
      <c r="I22" s="62">
        <v>69700</v>
      </c>
      <c r="J22" s="62">
        <v>69700</v>
      </c>
      <c r="K22" s="62">
        <v>69700</v>
      </c>
      <c r="L22" s="62">
        <v>69700</v>
      </c>
      <c r="M22" s="62">
        <v>69700</v>
      </c>
      <c r="N22" s="62">
        <v>69700</v>
      </c>
      <c r="O22" s="48"/>
      <c r="P22" s="79">
        <v>122300</v>
      </c>
      <c r="Q22" s="79">
        <v>122300</v>
      </c>
      <c r="R22" s="79">
        <v>122300</v>
      </c>
      <c r="S22" s="79">
        <f>'2019 PlanIt Budget'!D19</f>
        <v>122300</v>
      </c>
      <c r="T22" s="79">
        <f>'2019 PlanIt Budget'!E19</f>
        <v>122300</v>
      </c>
      <c r="U22" s="79">
        <f>'2019 PlanIt Budget'!F19</f>
        <v>122300</v>
      </c>
      <c r="V22" s="79">
        <f>'2019 PlanIt Budget'!G19</f>
        <v>127500</v>
      </c>
      <c r="W22" s="79">
        <f>'2019 PlanIt Budget'!H19</f>
        <v>127500</v>
      </c>
      <c r="X22" s="79">
        <f>'2019 PlanIt Budget'!I19</f>
        <v>127500</v>
      </c>
    </row>
    <row r="23" spans="2:24" ht="15">
      <c r="B23" s="4" t="s">
        <v>21</v>
      </c>
      <c r="C23" s="62">
        <v>44000</v>
      </c>
      <c r="D23" s="62">
        <v>44000</v>
      </c>
      <c r="E23" s="62">
        <v>44000</v>
      </c>
      <c r="F23" s="62">
        <v>64500</v>
      </c>
      <c r="G23" s="62">
        <v>64500</v>
      </c>
      <c r="H23" s="62">
        <v>64500</v>
      </c>
      <c r="I23" s="62">
        <v>69700</v>
      </c>
      <c r="J23" s="62">
        <v>69700</v>
      </c>
      <c r="K23" s="62">
        <v>69700</v>
      </c>
      <c r="L23" s="62">
        <v>69700</v>
      </c>
      <c r="M23" s="62">
        <v>69700</v>
      </c>
      <c r="N23" s="62">
        <v>69700</v>
      </c>
      <c r="O23" s="48"/>
      <c r="P23" s="79">
        <v>122300</v>
      </c>
      <c r="Q23" s="79">
        <v>122300</v>
      </c>
      <c r="R23" s="79">
        <v>122300</v>
      </c>
      <c r="S23" s="79">
        <f>'2019 PlanIt Budget'!D20</f>
        <v>122300</v>
      </c>
      <c r="T23" s="79">
        <f>'2019 PlanIt Budget'!E20</f>
        <v>122300</v>
      </c>
      <c r="U23" s="79">
        <f>'2019 PlanIt Budget'!F20</f>
        <v>122300</v>
      </c>
      <c r="V23" s="79">
        <f>'2019 PlanIt Budget'!G20</f>
        <v>127500</v>
      </c>
      <c r="W23" s="79">
        <f>'2019 PlanIt Budget'!H20</f>
        <v>127500</v>
      </c>
      <c r="X23" s="79">
        <f>'2019 PlanIt Budget'!I20</f>
        <v>127500</v>
      </c>
    </row>
    <row r="24" spans="2:24" ht="15">
      <c r="B24" s="17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48"/>
      <c r="P24" s="79"/>
      <c r="Q24" s="79"/>
      <c r="R24" s="79"/>
      <c r="S24" s="79"/>
      <c r="T24" s="79"/>
      <c r="U24" s="79"/>
      <c r="V24" s="80"/>
      <c r="W24" s="80"/>
      <c r="X24" s="81"/>
    </row>
    <row r="25" spans="2:24" ht="15">
      <c r="B25" s="4" t="s">
        <v>32</v>
      </c>
      <c r="C25" s="62">
        <v>26607.56</v>
      </c>
      <c r="D25" s="62">
        <v>0</v>
      </c>
      <c r="E25" s="62">
        <v>1117807.18</v>
      </c>
      <c r="F25" s="62">
        <v>64.569999999999993</v>
      </c>
      <c r="G25" s="62">
        <v>82788.36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-15845.68</v>
      </c>
      <c r="N25" s="62">
        <v>-1095601</v>
      </c>
      <c r="O25" s="48"/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79">
        <v>0</v>
      </c>
      <c r="V25" s="80">
        <v>0</v>
      </c>
      <c r="W25" s="80">
        <v>0</v>
      </c>
      <c r="X25" s="81"/>
    </row>
    <row r="26" spans="2:24" ht="15">
      <c r="B26" s="4" t="s">
        <v>33</v>
      </c>
      <c r="C26" s="62">
        <v>-26575.79</v>
      </c>
      <c r="D26" s="62">
        <v>-35459.74</v>
      </c>
      <c r="E26" s="62">
        <v>-21795.02</v>
      </c>
      <c r="F26" s="62">
        <v>-24673.1</v>
      </c>
      <c r="G26" s="62">
        <v>-73633.100000000006</v>
      </c>
      <c r="H26" s="62">
        <v>-19247.04</v>
      </c>
      <c r="I26" s="62">
        <v>-33634.730000000003</v>
      </c>
      <c r="J26" s="62">
        <v>-23898.97</v>
      </c>
      <c r="K26" s="62">
        <v>-24282.91</v>
      </c>
      <c r="L26" s="62">
        <v>-25441.01</v>
      </c>
      <c r="M26" s="62">
        <v>-31502.2</v>
      </c>
      <c r="N26" s="62">
        <v>-23271.3</v>
      </c>
      <c r="O26" s="48"/>
      <c r="P26" s="79">
        <v>-61467</v>
      </c>
      <c r="Q26" s="79">
        <v>-61467</v>
      </c>
      <c r="R26" s="79">
        <v>-61467</v>
      </c>
      <c r="S26" s="79">
        <v>0</v>
      </c>
      <c r="T26" s="79">
        <v>0</v>
      </c>
      <c r="U26" s="79">
        <v>0</v>
      </c>
      <c r="V26" s="80">
        <v>0</v>
      </c>
      <c r="W26" s="80">
        <v>0</v>
      </c>
      <c r="X26" s="81"/>
    </row>
    <row r="27" spans="2:24" ht="15">
      <c r="B27" s="4" t="s">
        <v>34</v>
      </c>
      <c r="C27" s="62">
        <v>-22119.38</v>
      </c>
      <c r="D27" s="62">
        <v>-29513.61</v>
      </c>
      <c r="E27" s="62">
        <v>-18140.29</v>
      </c>
      <c r="F27" s="62">
        <v>-20581.28</v>
      </c>
      <c r="G27" s="62">
        <v>-61421.67</v>
      </c>
      <c r="H27" s="62">
        <v>-16055.08</v>
      </c>
      <c r="I27" s="62">
        <v>-28056.69</v>
      </c>
      <c r="J27" s="62">
        <v>-19935.53</v>
      </c>
      <c r="K27" s="62">
        <v>-20255.79</v>
      </c>
      <c r="L27" s="62">
        <v>-21221.83</v>
      </c>
      <c r="M27" s="62">
        <v>-26277.83</v>
      </c>
      <c r="N27" s="62">
        <v>-19411.95</v>
      </c>
      <c r="O27" s="48"/>
      <c r="P27" s="79">
        <v>-51094</v>
      </c>
      <c r="Q27" s="79">
        <v>-51094</v>
      </c>
      <c r="R27" s="79">
        <v>-51094</v>
      </c>
      <c r="S27" s="79">
        <v>0</v>
      </c>
      <c r="T27" s="79">
        <v>0</v>
      </c>
      <c r="U27" s="79">
        <v>0</v>
      </c>
      <c r="V27" s="80">
        <v>0</v>
      </c>
      <c r="W27" s="80">
        <v>0</v>
      </c>
      <c r="X27" s="81"/>
    </row>
    <row r="28" spans="2:24" ht="15">
      <c r="B28" s="4" t="s">
        <v>35</v>
      </c>
      <c r="C28" s="62">
        <v>-30023.81</v>
      </c>
      <c r="D28" s="62">
        <v>-40060.39</v>
      </c>
      <c r="E28" s="62">
        <v>-24622.77</v>
      </c>
      <c r="F28" s="62">
        <v>-28032.07</v>
      </c>
      <c r="G28" s="62">
        <v>-83657.399999999994</v>
      </c>
      <c r="H28" s="62">
        <v>-21867.31</v>
      </c>
      <c r="I28" s="62">
        <v>-38213.72</v>
      </c>
      <c r="J28" s="62">
        <v>-27152.54</v>
      </c>
      <c r="K28" s="62">
        <v>-27588.75</v>
      </c>
      <c r="L28" s="62">
        <v>-28904.51</v>
      </c>
      <c r="M28" s="62">
        <v>-35790.870000000003</v>
      </c>
      <c r="N28" s="62">
        <v>-26439.43</v>
      </c>
      <c r="O28" s="48"/>
      <c r="P28" s="79">
        <v>-70228</v>
      </c>
      <c r="Q28" s="79">
        <v>-70228</v>
      </c>
      <c r="R28" s="79">
        <v>-70228</v>
      </c>
      <c r="S28" s="79">
        <v>0</v>
      </c>
      <c r="T28" s="79">
        <v>0</v>
      </c>
      <c r="U28" s="79">
        <v>0</v>
      </c>
      <c r="V28" s="80">
        <v>0</v>
      </c>
      <c r="W28" s="80">
        <v>0</v>
      </c>
      <c r="X28" s="81"/>
    </row>
    <row r="29" spans="2:24" ht="15">
      <c r="B29" s="4" t="s">
        <v>36</v>
      </c>
      <c r="C29" s="62">
        <v>-33667</v>
      </c>
      <c r="D29" s="62">
        <v>-44921.45</v>
      </c>
      <c r="E29" s="62">
        <v>-27610.58</v>
      </c>
      <c r="F29" s="62">
        <v>-31757.46</v>
      </c>
      <c r="G29" s="62">
        <v>-94775.27</v>
      </c>
      <c r="H29" s="62">
        <v>-24773.42</v>
      </c>
      <c r="I29" s="62">
        <v>-43292.23</v>
      </c>
      <c r="J29" s="62">
        <v>-30761.05</v>
      </c>
      <c r="K29" s="62">
        <v>-31255.23</v>
      </c>
      <c r="L29" s="62">
        <v>-32745.85</v>
      </c>
      <c r="M29" s="62">
        <v>-40547.39</v>
      </c>
      <c r="N29" s="62">
        <v>-29953.16</v>
      </c>
      <c r="O29" s="48"/>
      <c r="P29" s="79">
        <v>-74222</v>
      </c>
      <c r="Q29" s="79">
        <v>-74222</v>
      </c>
      <c r="R29" s="79">
        <v>-74222</v>
      </c>
      <c r="S29" s="79">
        <v>0</v>
      </c>
      <c r="T29" s="79">
        <v>0</v>
      </c>
      <c r="U29" s="79">
        <v>0</v>
      </c>
      <c r="V29" s="80">
        <v>0</v>
      </c>
      <c r="W29" s="80">
        <v>0</v>
      </c>
      <c r="X29" s="81"/>
    </row>
    <row r="30" spans="2:24" ht="15">
      <c r="B30" s="4" t="s">
        <v>37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48"/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79">
        <v>0</v>
      </c>
      <c r="V30" s="80">
        <v>0</v>
      </c>
      <c r="W30" s="80">
        <v>0</v>
      </c>
      <c r="X30" s="81"/>
    </row>
    <row r="31" spans="2:24" ht="15">
      <c r="B31" s="4" t="s">
        <v>38</v>
      </c>
      <c r="C31" s="62">
        <v>-130309.18</v>
      </c>
      <c r="D31" s="62">
        <v>-173869.89</v>
      </c>
      <c r="E31" s="62">
        <v>-106867.63</v>
      </c>
      <c r="F31" s="62">
        <v>-122754.8</v>
      </c>
      <c r="G31" s="62">
        <v>-366342.88</v>
      </c>
      <c r="H31" s="62">
        <v>-95758.81</v>
      </c>
      <c r="I31" s="62">
        <v>-167341.10999999999</v>
      </c>
      <c r="J31" s="62">
        <v>-118903.29</v>
      </c>
      <c r="K31" s="62">
        <v>-120813.48</v>
      </c>
      <c r="L31" s="62">
        <v>-126575.31</v>
      </c>
      <c r="M31" s="62">
        <v>-156731.26999999999</v>
      </c>
      <c r="N31" s="62">
        <v>-115780.49</v>
      </c>
      <c r="O31" s="48"/>
      <c r="P31" s="79">
        <v>-313363</v>
      </c>
      <c r="Q31" s="79">
        <v>-313363</v>
      </c>
      <c r="R31" s="79">
        <v>-313363</v>
      </c>
      <c r="S31" s="79">
        <v>0</v>
      </c>
      <c r="T31" s="79">
        <v>0</v>
      </c>
      <c r="U31" s="79">
        <v>0</v>
      </c>
      <c r="V31" s="80">
        <v>0</v>
      </c>
      <c r="W31" s="80">
        <v>0</v>
      </c>
      <c r="X31" s="81"/>
    </row>
    <row r="32" spans="2:24" ht="15">
      <c r="B32" s="4" t="s">
        <v>39</v>
      </c>
      <c r="C32" s="62">
        <v>-23225.35</v>
      </c>
      <c r="D32" s="62">
        <v>-30989.29</v>
      </c>
      <c r="E32" s="62">
        <v>-19047.3</v>
      </c>
      <c r="F32" s="62">
        <v>-22688.26</v>
      </c>
      <c r="G32" s="62">
        <v>-67709.64</v>
      </c>
      <c r="H32" s="62">
        <v>-17698.71</v>
      </c>
      <c r="I32" s="62">
        <v>-30928.97</v>
      </c>
      <c r="J32" s="62">
        <v>-21976.400000000001</v>
      </c>
      <c r="K32" s="62">
        <v>-22329.46</v>
      </c>
      <c r="L32" s="62">
        <v>-23394.39</v>
      </c>
      <c r="M32" s="62">
        <v>-28967.99</v>
      </c>
      <c r="N32" s="62">
        <v>-21399.23</v>
      </c>
      <c r="O32" s="48"/>
      <c r="P32" s="79">
        <v>-52425</v>
      </c>
      <c r="Q32" s="79">
        <v>-52425</v>
      </c>
      <c r="R32" s="79">
        <v>-52425</v>
      </c>
      <c r="S32" s="79">
        <v>0</v>
      </c>
      <c r="T32" s="79">
        <v>0</v>
      </c>
      <c r="U32" s="79">
        <v>0</v>
      </c>
      <c r="V32" s="80">
        <v>0</v>
      </c>
      <c r="W32" s="80">
        <v>0</v>
      </c>
      <c r="X32" s="81"/>
    </row>
    <row r="33" spans="2:24" ht="15">
      <c r="B33" s="4" t="s">
        <v>40</v>
      </c>
      <c r="C33" s="62">
        <v>-58258.55</v>
      </c>
      <c r="D33" s="62">
        <v>-77733.64</v>
      </c>
      <c r="E33" s="62">
        <v>-47778.31</v>
      </c>
      <c r="F33" s="62">
        <v>-53163.21</v>
      </c>
      <c r="G33" s="62">
        <v>-158657.45000000001</v>
      </c>
      <c r="H33" s="62">
        <v>-41471.660000000003</v>
      </c>
      <c r="I33" s="62">
        <v>-72472.850000000006</v>
      </c>
      <c r="J33" s="62">
        <v>-51495.18</v>
      </c>
      <c r="K33" s="62">
        <v>-52322.45</v>
      </c>
      <c r="L33" s="62">
        <v>-54817.81</v>
      </c>
      <c r="M33" s="62">
        <v>-67877.89</v>
      </c>
      <c r="N33" s="62">
        <v>-50142.75</v>
      </c>
      <c r="O33" s="48"/>
      <c r="P33" s="79">
        <v>-76676</v>
      </c>
      <c r="Q33" s="79">
        <v>-76676</v>
      </c>
      <c r="R33" s="79">
        <v>-76676</v>
      </c>
      <c r="S33" s="79">
        <v>0</v>
      </c>
      <c r="T33" s="79">
        <v>0</v>
      </c>
      <c r="U33" s="79">
        <v>0</v>
      </c>
      <c r="V33" s="80">
        <v>0</v>
      </c>
      <c r="W33" s="80">
        <v>0</v>
      </c>
      <c r="X33" s="81"/>
    </row>
    <row r="34" spans="2:24" ht="15">
      <c r="B34" s="4" t="s">
        <v>22</v>
      </c>
      <c r="C34" s="62">
        <v>-298677.46000000002</v>
      </c>
      <c r="D34" s="62">
        <v>-434023.69</v>
      </c>
      <c r="E34" s="62">
        <v>851038.27</v>
      </c>
      <c r="F34" s="62">
        <v>-305295.63</v>
      </c>
      <c r="G34" s="62">
        <v>-828512.33</v>
      </c>
      <c r="H34" s="62">
        <v>-238205.98</v>
      </c>
      <c r="I34" s="62">
        <v>-416271.41</v>
      </c>
      <c r="J34" s="62">
        <v>-295779.33</v>
      </c>
      <c r="K34" s="62">
        <v>-300531.05</v>
      </c>
      <c r="L34" s="62">
        <v>-314863.95</v>
      </c>
      <c r="M34" s="62">
        <v>-405724.45</v>
      </c>
      <c r="N34" s="62">
        <v>-1383612.18</v>
      </c>
      <c r="O34" s="48"/>
      <c r="P34" s="79">
        <v>-700878</v>
      </c>
      <c r="Q34" s="79">
        <v>-700878</v>
      </c>
      <c r="R34" s="79">
        <v>4299122</v>
      </c>
      <c r="S34" s="79">
        <f>'2019 PlanIt Budget'!D24</f>
        <v>-732077</v>
      </c>
      <c r="T34" s="79">
        <f>'2019 PlanIt Budget'!E24</f>
        <v>-732077</v>
      </c>
      <c r="U34" s="79">
        <f>'2019 PlanIt Budget'!F24</f>
        <v>-732077</v>
      </c>
      <c r="V34" s="79">
        <f>'2019 PlanIt Budget'!G24</f>
        <v>-732077</v>
      </c>
      <c r="W34" s="79">
        <f>'2019 PlanIt Budget'!H24</f>
        <v>-732077</v>
      </c>
      <c r="X34" s="79">
        <f>'2019 PlanIt Budget'!I24</f>
        <v>-732077</v>
      </c>
    </row>
    <row r="35" spans="2:24" ht="15">
      <c r="B35" s="17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48"/>
      <c r="P35" s="80"/>
      <c r="Q35" s="80"/>
      <c r="R35" s="80"/>
      <c r="S35" s="80"/>
      <c r="T35" s="80"/>
      <c r="U35" s="80"/>
      <c r="V35" s="80"/>
      <c r="W35" s="82"/>
      <c r="X35" s="81"/>
    </row>
    <row r="36" spans="2:24" ht="15">
      <c r="B36" s="4" t="s">
        <v>4</v>
      </c>
      <c r="C36" s="62">
        <v>26607.57</v>
      </c>
      <c r="D36" s="62">
        <v>5.8207700000000002E-11</v>
      </c>
      <c r="E36" s="62">
        <v>1095601</v>
      </c>
      <c r="F36" s="62">
        <v>5.8207700000000002E-11</v>
      </c>
      <c r="G36" s="62">
        <v>-2.3283100000000002E-10</v>
      </c>
      <c r="H36" s="62">
        <v>0.01</v>
      </c>
      <c r="I36" s="62">
        <v>0.01</v>
      </c>
      <c r="J36" s="62">
        <v>-0.01</v>
      </c>
      <c r="K36" s="62">
        <v>-0.01</v>
      </c>
      <c r="L36" s="62">
        <v>0</v>
      </c>
      <c r="M36" s="62">
        <v>0</v>
      </c>
      <c r="N36" s="62">
        <v>-1095601</v>
      </c>
      <c r="O36" s="48"/>
      <c r="P36" s="79">
        <v>-6995</v>
      </c>
      <c r="Q36" s="79">
        <v>-6995</v>
      </c>
      <c r="R36" s="79">
        <v>4993006</v>
      </c>
      <c r="S36" s="79">
        <f>'2019 PlanIt Budget'!D25</f>
        <v>-3900</v>
      </c>
      <c r="T36" s="79">
        <f>'2019 PlanIt Budget'!E25</f>
        <v>-3900</v>
      </c>
      <c r="U36" s="79">
        <f>'2019 PlanIt Budget'!F25</f>
        <v>-3900</v>
      </c>
      <c r="V36" s="79">
        <f>'2019 PlanIt Budget'!G25</f>
        <v>1300</v>
      </c>
      <c r="W36" s="79">
        <f>'2019 PlanIt Budget'!H25</f>
        <v>1300</v>
      </c>
      <c r="X36" s="79">
        <f>'2019 PlanIt Budget'!I25</f>
        <v>1300</v>
      </c>
    </row>
    <row r="37" spans="2:24">
      <c r="B37" s="17"/>
      <c r="C37" s="25"/>
      <c r="D37" s="25"/>
      <c r="E37" s="25"/>
      <c r="F37" s="25"/>
      <c r="G37" s="25"/>
      <c r="H37" s="25"/>
      <c r="I37" s="25"/>
      <c r="J37" s="25"/>
      <c r="K37" s="23"/>
      <c r="L37" s="23"/>
      <c r="M37" s="23"/>
      <c r="N37" s="22"/>
      <c r="O37" s="31"/>
      <c r="P37" s="83"/>
      <c r="Q37" s="83"/>
      <c r="R37" s="83"/>
      <c r="S37" s="83"/>
      <c r="T37" s="83"/>
      <c r="U37" s="83"/>
      <c r="V37" s="83"/>
      <c r="W37" s="83"/>
      <c r="X37" s="81"/>
    </row>
    <row r="38" spans="2:24">
      <c r="P38" s="81"/>
      <c r="Q38" s="81"/>
      <c r="R38" s="81"/>
      <c r="S38" s="81"/>
      <c r="T38" s="81"/>
      <c r="U38" s="81"/>
      <c r="V38" s="81"/>
      <c r="W38" s="81"/>
      <c r="X38" s="81"/>
    </row>
    <row r="39" spans="2:24">
      <c r="C39" s="25">
        <f t="shared" ref="C39:N39" si="0">C20+C23+C34</f>
        <v>26607.570000000007</v>
      </c>
      <c r="D39" s="25">
        <f t="shared" si="0"/>
        <v>0</v>
      </c>
      <c r="E39" s="25">
        <f t="shared" si="0"/>
        <v>1095601</v>
      </c>
      <c r="F39" s="25">
        <f t="shared" si="0"/>
        <v>0</v>
      </c>
      <c r="G39" s="25">
        <f t="shared" si="0"/>
        <v>0</v>
      </c>
      <c r="H39" s="25">
        <f t="shared" si="0"/>
        <v>9.9999999802093953E-3</v>
      </c>
      <c r="I39" s="25">
        <f t="shared" si="0"/>
        <v>1.0000000009313226E-2</v>
      </c>
      <c r="J39" s="25">
        <f t="shared" si="0"/>
        <v>-1.0000000009313226E-2</v>
      </c>
      <c r="K39" s="25">
        <f t="shared" si="0"/>
        <v>-9.9999999511055648E-3</v>
      </c>
      <c r="L39" s="25">
        <f t="shared" si="0"/>
        <v>0</v>
      </c>
      <c r="M39" s="25">
        <f t="shared" si="0"/>
        <v>0</v>
      </c>
      <c r="N39" s="25">
        <f t="shared" si="0"/>
        <v>-1095601</v>
      </c>
      <c r="O39" s="25"/>
      <c r="P39" s="81">
        <f t="shared" ref="P39:W39" si="1">P20+P23+P34</f>
        <v>-6995</v>
      </c>
      <c r="Q39" s="81">
        <f t="shared" si="1"/>
        <v>-6995</v>
      </c>
      <c r="R39" s="81">
        <f t="shared" si="1"/>
        <v>4993006</v>
      </c>
      <c r="S39" s="81">
        <f t="shared" si="1"/>
        <v>-3900</v>
      </c>
      <c r="T39" s="81">
        <f t="shared" si="1"/>
        <v>-3900</v>
      </c>
      <c r="U39" s="81">
        <f t="shared" si="1"/>
        <v>-3900</v>
      </c>
      <c r="V39" s="81">
        <f t="shared" si="1"/>
        <v>1300</v>
      </c>
      <c r="W39" s="81">
        <f t="shared" si="1"/>
        <v>1300</v>
      </c>
      <c r="X39" s="81">
        <f t="shared" ref="X39" si="2">X20+X23+X34</f>
        <v>1300</v>
      </c>
    </row>
    <row r="40" spans="2:24">
      <c r="C40" s="25">
        <f t="shared" ref="C40:N40" si="3">C36-C39</f>
        <v>0</v>
      </c>
      <c r="D40" s="25">
        <f t="shared" si="3"/>
        <v>5.8207700000000002E-11</v>
      </c>
      <c r="E40" s="25">
        <f t="shared" si="3"/>
        <v>0</v>
      </c>
      <c r="F40" s="25">
        <f t="shared" si="3"/>
        <v>5.8207700000000002E-11</v>
      </c>
      <c r="G40" s="25">
        <f t="shared" si="3"/>
        <v>-2.3283100000000002E-10</v>
      </c>
      <c r="H40" s="25">
        <f t="shared" si="3"/>
        <v>1.9790604918745736E-11</v>
      </c>
      <c r="I40" s="25">
        <f t="shared" si="3"/>
        <v>-9.313225537987968E-12</v>
      </c>
      <c r="J40" s="25">
        <f t="shared" si="3"/>
        <v>9.313225537987968E-12</v>
      </c>
      <c r="K40" s="25">
        <f t="shared" si="3"/>
        <v>-4.8894435375479439E-11</v>
      </c>
      <c r="L40" s="25">
        <f t="shared" si="3"/>
        <v>0</v>
      </c>
      <c r="M40" s="25">
        <f t="shared" si="3"/>
        <v>0</v>
      </c>
      <c r="N40" s="25">
        <f t="shared" si="3"/>
        <v>0</v>
      </c>
      <c r="O40" s="25"/>
      <c r="P40" s="81">
        <f t="shared" ref="P40:W40" si="4">P36-P39</f>
        <v>0</v>
      </c>
      <c r="Q40" s="81">
        <f t="shared" si="4"/>
        <v>0</v>
      </c>
      <c r="R40" s="81">
        <f t="shared" si="4"/>
        <v>0</v>
      </c>
      <c r="S40" s="81">
        <f t="shared" si="4"/>
        <v>0</v>
      </c>
      <c r="T40" s="81">
        <f t="shared" si="4"/>
        <v>0</v>
      </c>
      <c r="U40" s="81">
        <f t="shared" si="4"/>
        <v>0</v>
      </c>
      <c r="V40" s="81">
        <f t="shared" si="4"/>
        <v>0</v>
      </c>
      <c r="W40" s="81">
        <f t="shared" si="4"/>
        <v>0</v>
      </c>
      <c r="X40" s="81">
        <f t="shared" ref="X40" si="5">X36-X39</f>
        <v>0</v>
      </c>
    </row>
  </sheetData>
  <pageMargins left="1.02" right="0.34" top="0.55000000000000004" bottom="0.59" header="0.3" footer="0.19"/>
  <pageSetup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36"/>
  <sheetViews>
    <sheetView showGridLines="0" view="pageBreakPreview" zoomScale="60" zoomScaleNormal="80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RowHeight="12.75"/>
  <cols>
    <col min="1" max="1" width="4" customWidth="1"/>
    <col min="2" max="2" width="62.42578125" bestFit="1" customWidth="1"/>
    <col min="3" max="3" width="12.85546875" bestFit="1" customWidth="1"/>
    <col min="4" max="4" width="12.85546875" customWidth="1"/>
    <col min="5" max="5" width="13.5703125" customWidth="1"/>
    <col min="6" max="6" width="12" customWidth="1"/>
    <col min="7" max="7" width="12.42578125" customWidth="1"/>
    <col min="8" max="14" width="11.85546875" customWidth="1"/>
    <col min="15" max="15" width="4.85546875" customWidth="1"/>
  </cols>
  <sheetData>
    <row r="1" spans="2:24" ht="12" customHeight="1">
      <c r="B1" s="1" t="s">
        <v>0</v>
      </c>
    </row>
    <row r="2" spans="2:24" ht="13.5" customHeight="1">
      <c r="B2" s="1" t="s">
        <v>1</v>
      </c>
      <c r="E2" s="2"/>
    </row>
    <row r="3" spans="2:24" s="3" customFormat="1" ht="12.75" customHeight="1">
      <c r="B3" s="1" t="s">
        <v>2</v>
      </c>
    </row>
    <row r="4" spans="2:24" s="3" customFormat="1" ht="12.75" customHeight="1">
      <c r="B4" s="4" t="s">
        <v>3</v>
      </c>
    </row>
    <row r="5" spans="2:24" s="5" customFormat="1" ht="12" customHeight="1">
      <c r="B5" s="4" t="s">
        <v>7</v>
      </c>
      <c r="H5" s="6"/>
    </row>
    <row r="6" spans="2:24" ht="12" customHeight="1">
      <c r="B6" s="7"/>
      <c r="C6" s="5"/>
      <c r="D6" s="5"/>
    </row>
    <row r="7" spans="2:24" ht="21" customHeight="1">
      <c r="B7" s="8"/>
      <c r="C7" s="9"/>
      <c r="D7" s="9"/>
      <c r="E7" s="9"/>
      <c r="G7" s="10"/>
    </row>
    <row r="8" spans="2:24" s="11" customFormat="1">
      <c r="B8"/>
      <c r="C8" s="51" t="s">
        <v>84</v>
      </c>
      <c r="D8" s="51" t="s">
        <v>84</v>
      </c>
      <c r="E8" s="51" t="s">
        <v>84</v>
      </c>
      <c r="F8" s="51" t="s">
        <v>85</v>
      </c>
      <c r="G8" s="51" t="s">
        <v>85</v>
      </c>
      <c r="H8" s="51" t="s">
        <v>85</v>
      </c>
      <c r="I8" s="51" t="s">
        <v>85</v>
      </c>
      <c r="J8" s="51" t="s">
        <v>85</v>
      </c>
      <c r="K8" s="51" t="s">
        <v>85</v>
      </c>
      <c r="L8" s="51" t="s">
        <v>85</v>
      </c>
      <c r="M8" s="51" t="s">
        <v>85</v>
      </c>
      <c r="N8" s="51" t="s">
        <v>85</v>
      </c>
      <c r="O8" s="33"/>
      <c r="P8" s="51" t="s">
        <v>86</v>
      </c>
      <c r="Q8" s="51" t="s">
        <v>86</v>
      </c>
      <c r="R8" s="51" t="s">
        <v>86</v>
      </c>
      <c r="S8" s="51" t="s">
        <v>86</v>
      </c>
      <c r="T8" s="51" t="s">
        <v>79</v>
      </c>
      <c r="U8" s="51" t="s">
        <v>86</v>
      </c>
      <c r="V8" s="1" t="s">
        <v>79</v>
      </c>
      <c r="W8" s="1" t="s">
        <v>80</v>
      </c>
    </row>
    <row r="9" spans="2:24" ht="12.75" customHeight="1">
      <c r="B9" s="12"/>
      <c r="C9" s="52" t="s">
        <v>17</v>
      </c>
      <c r="D9" s="52" t="s">
        <v>18</v>
      </c>
      <c r="E9" s="52" t="s">
        <v>19</v>
      </c>
      <c r="F9" s="52" t="s">
        <v>8</v>
      </c>
      <c r="G9" s="52" t="s">
        <v>9</v>
      </c>
      <c r="H9" s="52" t="s">
        <v>10</v>
      </c>
      <c r="I9" s="52" t="s">
        <v>11</v>
      </c>
      <c r="J9" s="52" t="s">
        <v>12</v>
      </c>
      <c r="K9" s="52" t="s">
        <v>13</v>
      </c>
      <c r="L9" s="52" t="s">
        <v>14</v>
      </c>
      <c r="M9" s="52" t="s">
        <v>15</v>
      </c>
      <c r="N9" s="52" t="s">
        <v>16</v>
      </c>
      <c r="O9" s="31"/>
      <c r="P9" s="52" t="s">
        <v>17</v>
      </c>
      <c r="Q9" s="52" t="s">
        <v>18</v>
      </c>
      <c r="R9" s="52" t="s">
        <v>19</v>
      </c>
      <c r="S9" s="64" t="s">
        <v>8</v>
      </c>
      <c r="T9" s="64" t="s">
        <v>9</v>
      </c>
      <c r="U9" s="64" t="s">
        <v>10</v>
      </c>
      <c r="V9" s="13" t="s">
        <v>13</v>
      </c>
      <c r="W9" s="13" t="s">
        <v>14</v>
      </c>
    </row>
    <row r="10" spans="2:24" ht="12.75" customHeight="1">
      <c r="B10" s="14"/>
      <c r="E10" s="15"/>
      <c r="O10" s="31"/>
      <c r="P10" s="15"/>
      <c r="Q10" s="15"/>
      <c r="R10" s="15"/>
      <c r="S10" s="15"/>
      <c r="T10" s="15"/>
      <c r="U10" s="15"/>
      <c r="V10" s="15"/>
      <c r="W10" s="15"/>
      <c r="X10" s="15"/>
    </row>
    <row r="11" spans="2:24" ht="15">
      <c r="B11" s="16" t="s">
        <v>23</v>
      </c>
      <c r="C11" s="62">
        <v>138056.43</v>
      </c>
      <c r="D11" s="62">
        <v>182148.24</v>
      </c>
      <c r="E11" s="62">
        <v>203365.94</v>
      </c>
      <c r="F11" s="62">
        <v>137593.64000000001</v>
      </c>
      <c r="G11" s="62">
        <v>368383.71</v>
      </c>
      <c r="H11" s="62">
        <v>186051.95</v>
      </c>
      <c r="I11" s="62">
        <v>167371.53</v>
      </c>
      <c r="J11" s="62">
        <v>164332.44</v>
      </c>
      <c r="K11" s="62">
        <v>254744.75</v>
      </c>
      <c r="L11" s="62">
        <v>160919.4</v>
      </c>
      <c r="M11" s="62">
        <v>181450.68</v>
      </c>
      <c r="N11" s="62">
        <v>151613.28</v>
      </c>
      <c r="O11" s="48"/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  <c r="X11" s="15"/>
    </row>
    <row r="12" spans="2:24" ht="15">
      <c r="B12" s="16" t="s">
        <v>24</v>
      </c>
      <c r="C12" s="62">
        <v>191.32</v>
      </c>
      <c r="D12" s="62">
        <v>126.46</v>
      </c>
      <c r="E12" s="62">
        <v>315.64999999999998</v>
      </c>
      <c r="F12" s="62">
        <v>201.69</v>
      </c>
      <c r="G12" s="62">
        <v>211.46</v>
      </c>
      <c r="H12" s="62">
        <v>115.8</v>
      </c>
      <c r="I12" s="62">
        <v>10838.69</v>
      </c>
      <c r="J12" s="62">
        <v>3914.33</v>
      </c>
      <c r="K12" s="62">
        <v>1751.35</v>
      </c>
      <c r="L12" s="62">
        <v>254.15</v>
      </c>
      <c r="M12" s="62">
        <v>330.44</v>
      </c>
      <c r="N12" s="62">
        <v>159.78</v>
      </c>
      <c r="O12" s="48"/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15"/>
    </row>
    <row r="13" spans="2:24" ht="15">
      <c r="B13" s="4" t="s">
        <v>25</v>
      </c>
      <c r="C13" s="62">
        <v>-18.3</v>
      </c>
      <c r="D13" s="62">
        <v>29.46</v>
      </c>
      <c r="E13" s="62">
        <v>-190.29</v>
      </c>
      <c r="F13" s="62">
        <v>52.92</v>
      </c>
      <c r="G13" s="62">
        <v>121.69</v>
      </c>
      <c r="H13" s="62">
        <v>-120.53</v>
      </c>
      <c r="I13" s="62">
        <v>16699.900000000001</v>
      </c>
      <c r="J13" s="62">
        <v>-13950.28</v>
      </c>
      <c r="K13" s="62">
        <v>-2085.94</v>
      </c>
      <c r="L13" s="62">
        <v>-595.92999999999995</v>
      </c>
      <c r="M13" s="62">
        <v>91.34</v>
      </c>
      <c r="N13" s="62">
        <v>-123.53</v>
      </c>
      <c r="O13" s="48"/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15"/>
    </row>
    <row r="14" spans="2:24" ht="15">
      <c r="B14" s="4" t="s">
        <v>26</v>
      </c>
      <c r="C14" s="62">
        <v>2199.91</v>
      </c>
      <c r="D14" s="62">
        <v>51402.5</v>
      </c>
      <c r="E14" s="62">
        <v>-92960.3</v>
      </c>
      <c r="F14" s="62">
        <v>13708.22</v>
      </c>
      <c r="G14" s="62">
        <v>114390.55</v>
      </c>
      <c r="H14" s="62">
        <v>-69503.12</v>
      </c>
      <c r="I14" s="62">
        <v>16027.54</v>
      </c>
      <c r="J14" s="62">
        <v>-1797.65</v>
      </c>
      <c r="K14" s="62">
        <v>-64730.8</v>
      </c>
      <c r="L14" s="62">
        <v>5977.87</v>
      </c>
      <c r="M14" s="62">
        <v>33276.65</v>
      </c>
      <c r="N14" s="62">
        <v>-6136.61</v>
      </c>
      <c r="O14" s="48"/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15"/>
    </row>
    <row r="15" spans="2:24" ht="15">
      <c r="B15" s="4" t="s">
        <v>27</v>
      </c>
      <c r="C15" s="62">
        <v>10.17</v>
      </c>
      <c r="D15" s="62">
        <v>-16.72</v>
      </c>
      <c r="E15" s="62">
        <v>-35.89</v>
      </c>
      <c r="F15" s="62">
        <v>17.98</v>
      </c>
      <c r="G15" s="62">
        <v>24.56</v>
      </c>
      <c r="H15" s="62">
        <v>-37.24</v>
      </c>
      <c r="I15" s="62">
        <v>6987.23</v>
      </c>
      <c r="J15" s="62">
        <v>-4500.8500000000004</v>
      </c>
      <c r="K15" s="62">
        <v>-2252.4</v>
      </c>
      <c r="L15" s="62">
        <v>-215.66</v>
      </c>
      <c r="M15" s="62">
        <v>72.47</v>
      </c>
      <c r="N15" s="62">
        <v>-68.8</v>
      </c>
      <c r="O15" s="48"/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15"/>
    </row>
    <row r="16" spans="2:24" ht="15">
      <c r="B16" s="19" t="s">
        <v>28</v>
      </c>
      <c r="C16" s="62">
        <v>526.51</v>
      </c>
      <c r="D16" s="62">
        <v>455.76</v>
      </c>
      <c r="E16" s="62">
        <v>772.47</v>
      </c>
      <c r="F16" s="62">
        <v>519</v>
      </c>
      <c r="G16" s="62">
        <v>674.15</v>
      </c>
      <c r="H16" s="62">
        <v>365.63</v>
      </c>
      <c r="I16" s="62">
        <v>25973.45</v>
      </c>
      <c r="J16" s="62">
        <v>4511.46</v>
      </c>
      <c r="K16" s="62">
        <v>5079.07</v>
      </c>
      <c r="L16" s="62">
        <v>835.26</v>
      </c>
      <c r="M16" s="62">
        <v>759.85</v>
      </c>
      <c r="N16" s="62">
        <v>436.74</v>
      </c>
      <c r="O16" s="48"/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15"/>
    </row>
    <row r="17" spans="2:24" ht="15">
      <c r="B17" s="60" t="s">
        <v>70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48"/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15"/>
    </row>
    <row r="18" spans="2:24" ht="15">
      <c r="B18" s="17" t="s">
        <v>20</v>
      </c>
      <c r="C18" s="62">
        <v>140966.04</v>
      </c>
      <c r="D18" s="62">
        <v>234145.7</v>
      </c>
      <c r="E18" s="62">
        <v>111267.58</v>
      </c>
      <c r="F18" s="62">
        <v>152093.45000000001</v>
      </c>
      <c r="G18" s="62">
        <v>483806.12</v>
      </c>
      <c r="H18" s="62">
        <v>116872.49</v>
      </c>
      <c r="I18" s="62">
        <v>243898.34</v>
      </c>
      <c r="J18" s="62">
        <v>152509.45000000001</v>
      </c>
      <c r="K18" s="62">
        <v>192506.03</v>
      </c>
      <c r="L18" s="62">
        <v>167175.09</v>
      </c>
      <c r="M18" s="62">
        <v>215981.43</v>
      </c>
      <c r="N18" s="62">
        <v>145880.85999999999</v>
      </c>
      <c r="O18" s="48"/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15"/>
    </row>
    <row r="19" spans="2:24" ht="15">
      <c r="B19" s="19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48"/>
      <c r="P19" s="49"/>
      <c r="Q19" s="49"/>
      <c r="R19" s="49"/>
      <c r="S19" s="49"/>
      <c r="T19" s="49"/>
      <c r="U19" s="49"/>
      <c r="V19" s="49"/>
      <c r="W19" s="49"/>
      <c r="X19" s="15"/>
    </row>
    <row r="20" spans="2:24" ht="15">
      <c r="B20" s="19" t="s">
        <v>31</v>
      </c>
      <c r="C20" s="62">
        <v>44000</v>
      </c>
      <c r="D20" s="62">
        <v>44000</v>
      </c>
      <c r="E20" s="62">
        <v>44000</v>
      </c>
      <c r="F20" s="62">
        <v>48700</v>
      </c>
      <c r="G20" s="62">
        <v>48700</v>
      </c>
      <c r="H20" s="62">
        <v>48700</v>
      </c>
      <c r="I20" s="62">
        <v>52600</v>
      </c>
      <c r="J20" s="62">
        <v>52600</v>
      </c>
      <c r="K20" s="62">
        <v>52600</v>
      </c>
      <c r="L20" s="62">
        <v>52600</v>
      </c>
      <c r="M20" s="62">
        <v>52600</v>
      </c>
      <c r="N20" s="62">
        <v>52600</v>
      </c>
      <c r="O20" s="48"/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7">
        <v>0</v>
      </c>
      <c r="X20" s="15"/>
    </row>
    <row r="21" spans="2:24" ht="15">
      <c r="B21" s="17" t="s">
        <v>21</v>
      </c>
      <c r="C21" s="62">
        <v>44000</v>
      </c>
      <c r="D21" s="62">
        <v>44000</v>
      </c>
      <c r="E21" s="62">
        <v>44000</v>
      </c>
      <c r="F21" s="62">
        <v>48700</v>
      </c>
      <c r="G21" s="62">
        <v>48700</v>
      </c>
      <c r="H21" s="62">
        <v>48700</v>
      </c>
      <c r="I21" s="62">
        <v>52600</v>
      </c>
      <c r="J21" s="62">
        <v>52600</v>
      </c>
      <c r="K21" s="62">
        <v>52600</v>
      </c>
      <c r="L21" s="62">
        <v>52600</v>
      </c>
      <c r="M21" s="62">
        <v>52600</v>
      </c>
      <c r="N21" s="62">
        <v>52600</v>
      </c>
      <c r="O21" s="48"/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15"/>
    </row>
    <row r="22" spans="2:24" ht="15">
      <c r="B22" s="19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48"/>
      <c r="P22" s="49"/>
      <c r="Q22" s="49"/>
      <c r="R22" s="49"/>
      <c r="S22" s="49"/>
      <c r="T22" s="49"/>
      <c r="U22" s="49"/>
      <c r="V22" s="49"/>
      <c r="W22" s="49"/>
      <c r="X22" s="15"/>
    </row>
    <row r="23" spans="2:24" ht="15">
      <c r="B23" s="19" t="s">
        <v>33</v>
      </c>
      <c r="C23" s="62">
        <v>-17941.71</v>
      </c>
      <c r="D23" s="62">
        <v>-26980.13</v>
      </c>
      <c r="E23" s="62">
        <v>-15060.96</v>
      </c>
      <c r="F23" s="62">
        <v>-19416.73</v>
      </c>
      <c r="G23" s="62">
        <v>-51493.34</v>
      </c>
      <c r="H23" s="62">
        <v>-16010.86</v>
      </c>
      <c r="I23" s="62">
        <v>-28671.39</v>
      </c>
      <c r="J23" s="62">
        <v>-19834.080000000002</v>
      </c>
      <c r="K23" s="62">
        <v>-23701.75</v>
      </c>
      <c r="L23" s="62">
        <v>-21252.25</v>
      </c>
      <c r="M23" s="62">
        <v>-25971.82</v>
      </c>
      <c r="N23" s="62">
        <v>-19193.099999999999</v>
      </c>
      <c r="O23" s="48"/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15"/>
    </row>
    <row r="24" spans="2:24" ht="15">
      <c r="B24" s="19" t="s">
        <v>34</v>
      </c>
      <c r="C24" s="62">
        <v>-14926.76</v>
      </c>
      <c r="D24" s="62">
        <v>-22446.36</v>
      </c>
      <c r="E24" s="62">
        <v>-12530.09</v>
      </c>
      <c r="F24" s="62">
        <v>-16284.35</v>
      </c>
      <c r="G24" s="62">
        <v>-43186.25</v>
      </c>
      <c r="H24" s="62">
        <v>-13427.93</v>
      </c>
      <c r="I24" s="62">
        <v>-24046.02</v>
      </c>
      <c r="J24" s="62">
        <v>-16634.38</v>
      </c>
      <c r="K24" s="62">
        <v>-19878.099999999999</v>
      </c>
      <c r="L24" s="62">
        <v>-17823.759999999998</v>
      </c>
      <c r="M24" s="62">
        <v>-21781.95</v>
      </c>
      <c r="N24" s="62">
        <v>-16096.8</v>
      </c>
      <c r="O24" s="48"/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  <c r="W24" s="47">
        <v>0</v>
      </c>
      <c r="X24" s="15"/>
    </row>
    <row r="25" spans="2:24" ht="15">
      <c r="B25" s="19" t="s">
        <v>35</v>
      </c>
      <c r="C25" s="62">
        <v>-20845.669999999998</v>
      </c>
      <c r="D25" s="62">
        <v>-31347.02</v>
      </c>
      <c r="E25" s="62">
        <v>-17498.66</v>
      </c>
      <c r="F25" s="62">
        <v>-22488.87</v>
      </c>
      <c r="G25" s="62">
        <v>-59640.69</v>
      </c>
      <c r="H25" s="62">
        <v>-18544.12</v>
      </c>
      <c r="I25" s="62">
        <v>-33207.81</v>
      </c>
      <c r="J25" s="62">
        <v>-22972.26</v>
      </c>
      <c r="K25" s="62">
        <v>-27451.88</v>
      </c>
      <c r="L25" s="62">
        <v>-24614.81</v>
      </c>
      <c r="M25" s="62">
        <v>-30081.119999999999</v>
      </c>
      <c r="N25" s="62">
        <v>-22229.86</v>
      </c>
      <c r="O25" s="48"/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47">
        <v>0</v>
      </c>
      <c r="W25" s="47">
        <v>0</v>
      </c>
      <c r="X25" s="15"/>
    </row>
    <row r="26" spans="2:24" ht="15">
      <c r="B26" s="19" t="s">
        <v>36</v>
      </c>
      <c r="C26" s="62">
        <v>-20216.79</v>
      </c>
      <c r="D26" s="62">
        <v>-30401.33</v>
      </c>
      <c r="E26" s="62">
        <v>-16970.75</v>
      </c>
      <c r="F26" s="62">
        <v>-21986.880000000001</v>
      </c>
      <c r="G26" s="62">
        <v>-58309.42</v>
      </c>
      <c r="H26" s="62">
        <v>-18130.189999999999</v>
      </c>
      <c r="I26" s="62">
        <v>-32466.57</v>
      </c>
      <c r="J26" s="62">
        <v>-22459.48</v>
      </c>
      <c r="K26" s="62">
        <v>-26839.11</v>
      </c>
      <c r="L26" s="62">
        <v>-24065.37</v>
      </c>
      <c r="M26" s="62">
        <v>-29409.67</v>
      </c>
      <c r="N26" s="62">
        <v>-21733.65</v>
      </c>
      <c r="O26" s="48"/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15"/>
    </row>
    <row r="27" spans="2:24" ht="15">
      <c r="B27" s="19" t="s">
        <v>38</v>
      </c>
      <c r="C27" s="62">
        <v>-96200.84</v>
      </c>
      <c r="D27" s="62">
        <v>-144663.57999999999</v>
      </c>
      <c r="E27" s="62">
        <v>-80754.67</v>
      </c>
      <c r="F27" s="62">
        <v>-104673.63</v>
      </c>
      <c r="G27" s="62">
        <v>-277595.44</v>
      </c>
      <c r="H27" s="62">
        <v>-86312.94</v>
      </c>
      <c r="I27" s="62">
        <v>-154564.57999999999</v>
      </c>
      <c r="J27" s="62">
        <v>-106923.56</v>
      </c>
      <c r="K27" s="62">
        <v>-127773.77</v>
      </c>
      <c r="L27" s="62">
        <v>-114568.75</v>
      </c>
      <c r="M27" s="62">
        <v>-140011.5</v>
      </c>
      <c r="N27" s="62">
        <v>-103468.07</v>
      </c>
      <c r="O27" s="48"/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15"/>
    </row>
    <row r="28" spans="2:24" ht="15">
      <c r="B28" s="19" t="s">
        <v>39</v>
      </c>
      <c r="C28" s="62">
        <v>-14834.28</v>
      </c>
      <c r="D28" s="62">
        <v>-22307.29</v>
      </c>
      <c r="E28" s="62">
        <v>-12452.46</v>
      </c>
      <c r="F28" s="62">
        <v>-15943</v>
      </c>
      <c r="G28" s="62">
        <v>-42280.99</v>
      </c>
      <c r="H28" s="62">
        <v>-13146.46</v>
      </c>
      <c r="I28" s="62">
        <v>-23541.97</v>
      </c>
      <c r="J28" s="62">
        <v>-16285.69</v>
      </c>
      <c r="K28" s="62">
        <v>-19461.419999999998</v>
      </c>
      <c r="L28" s="62">
        <v>-17450.14</v>
      </c>
      <c r="M28" s="62">
        <v>-21325.37</v>
      </c>
      <c r="N28" s="62">
        <v>-15759.38</v>
      </c>
      <c r="O28" s="48"/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  <c r="V28" s="47">
        <v>0</v>
      </c>
      <c r="W28" s="47">
        <v>0</v>
      </c>
      <c r="X28" s="15"/>
    </row>
    <row r="29" spans="2:24" ht="15">
      <c r="B29" s="17" t="s">
        <v>22</v>
      </c>
      <c r="C29" s="62">
        <v>-184966.05</v>
      </c>
      <c r="D29" s="62">
        <v>-278145.71000000002</v>
      </c>
      <c r="E29" s="62">
        <v>-155267.59</v>
      </c>
      <c r="F29" s="62">
        <v>-200793.46</v>
      </c>
      <c r="G29" s="62">
        <v>-532506.13</v>
      </c>
      <c r="H29" s="62">
        <v>-165572.5</v>
      </c>
      <c r="I29" s="62">
        <v>-296498.34000000003</v>
      </c>
      <c r="J29" s="62">
        <v>-205109.45</v>
      </c>
      <c r="K29" s="62">
        <v>-245106.03</v>
      </c>
      <c r="L29" s="62">
        <v>-219775.08</v>
      </c>
      <c r="M29" s="62">
        <v>-268581.43</v>
      </c>
      <c r="N29" s="62">
        <v>-198480.86</v>
      </c>
      <c r="O29" s="48"/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15"/>
    </row>
    <row r="30" spans="2:24" ht="15">
      <c r="B30" s="19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48"/>
      <c r="P30" s="49"/>
      <c r="Q30" s="49"/>
      <c r="R30" s="49"/>
      <c r="S30" s="49"/>
      <c r="T30" s="49"/>
      <c r="U30" s="49"/>
      <c r="V30" s="49"/>
      <c r="W30" s="49"/>
      <c r="X30" s="15"/>
    </row>
    <row r="31" spans="2:24" ht="15">
      <c r="B31" s="17" t="s">
        <v>4</v>
      </c>
      <c r="C31" s="62">
        <v>-0.01</v>
      </c>
      <c r="D31" s="62">
        <v>-0.01</v>
      </c>
      <c r="E31" s="62">
        <v>-0.01</v>
      </c>
      <c r="F31" s="62">
        <v>-0.01</v>
      </c>
      <c r="G31" s="62">
        <v>-0.01</v>
      </c>
      <c r="H31" s="62">
        <v>-0.01</v>
      </c>
      <c r="I31" s="62">
        <v>5.8207700000000002E-11</v>
      </c>
      <c r="J31" s="62">
        <v>0</v>
      </c>
      <c r="K31" s="62">
        <v>2.9103800000000001E-11</v>
      </c>
      <c r="L31" s="62">
        <v>0.01</v>
      </c>
      <c r="M31" s="62">
        <v>0</v>
      </c>
      <c r="N31" s="62">
        <v>-2.9103800000000001E-11</v>
      </c>
      <c r="O31" s="48"/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0</v>
      </c>
      <c r="V31" s="47">
        <v>0</v>
      </c>
      <c r="W31" s="47">
        <v>0</v>
      </c>
      <c r="X31" s="15"/>
    </row>
    <row r="32" spans="2:24">
      <c r="B32" s="19"/>
      <c r="C32" s="26"/>
      <c r="D32" s="26"/>
      <c r="E32" s="26"/>
      <c r="F32" s="26"/>
      <c r="G32" s="26"/>
      <c r="H32" s="26"/>
      <c r="I32" s="26"/>
      <c r="J32" s="26"/>
      <c r="K32" s="27"/>
      <c r="L32" s="27"/>
      <c r="M32" s="27"/>
      <c r="N32" s="27"/>
    </row>
    <row r="33" spans="2:23">
      <c r="B33" s="4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34" spans="2:23">
      <c r="B34" s="17"/>
      <c r="C34" s="26">
        <f t="shared" ref="C34:N34" si="0">C18+C21+C29</f>
        <v>-9.9999999802093953E-3</v>
      </c>
      <c r="D34" s="26">
        <f t="shared" si="0"/>
        <v>-1.0000000009313226E-2</v>
      </c>
      <c r="E34" s="26">
        <f t="shared" si="0"/>
        <v>-9.9999999802093953E-3</v>
      </c>
      <c r="F34" s="26">
        <f t="shared" si="0"/>
        <v>-9.9999999802093953E-3</v>
      </c>
      <c r="G34" s="26">
        <f t="shared" si="0"/>
        <v>-1.0000000009313226E-2</v>
      </c>
      <c r="H34" s="26">
        <f t="shared" si="0"/>
        <v>-1.0000000009313226E-2</v>
      </c>
      <c r="I34" s="26">
        <f t="shared" si="0"/>
        <v>0</v>
      </c>
      <c r="J34" s="26">
        <f t="shared" si="0"/>
        <v>0</v>
      </c>
      <c r="K34" s="26">
        <f t="shared" si="0"/>
        <v>0</v>
      </c>
      <c r="L34" s="26">
        <f t="shared" si="0"/>
        <v>1.0000000009313226E-2</v>
      </c>
      <c r="M34" s="26">
        <f t="shared" si="0"/>
        <v>0</v>
      </c>
      <c r="N34" s="26">
        <f t="shared" si="0"/>
        <v>0</v>
      </c>
      <c r="O34" s="26"/>
      <c r="P34" s="26">
        <f t="shared" ref="P34:W34" si="1">P18+P21+P29</f>
        <v>0</v>
      </c>
      <c r="Q34" s="26">
        <f t="shared" si="1"/>
        <v>0</v>
      </c>
      <c r="R34" s="26">
        <f t="shared" si="1"/>
        <v>0</v>
      </c>
      <c r="S34" s="26">
        <f t="shared" si="1"/>
        <v>0</v>
      </c>
      <c r="T34" s="26">
        <f t="shared" si="1"/>
        <v>0</v>
      </c>
      <c r="U34" s="26">
        <f t="shared" si="1"/>
        <v>0</v>
      </c>
      <c r="V34" s="26">
        <f t="shared" si="1"/>
        <v>0</v>
      </c>
      <c r="W34" s="26">
        <f t="shared" si="1"/>
        <v>0</v>
      </c>
    </row>
    <row r="35" spans="2:23">
      <c r="C35" s="26">
        <f t="shared" ref="C35:N35" si="2">C31-C34</f>
        <v>-1.9790604918745736E-11</v>
      </c>
      <c r="D35" s="26">
        <f t="shared" si="2"/>
        <v>9.313225537987968E-12</v>
      </c>
      <c r="E35" s="26">
        <f t="shared" si="2"/>
        <v>-1.9790604918745736E-11</v>
      </c>
      <c r="F35" s="26">
        <f t="shared" si="2"/>
        <v>-1.9790604918745736E-11</v>
      </c>
      <c r="G35" s="26">
        <f t="shared" si="2"/>
        <v>9.313225537987968E-12</v>
      </c>
      <c r="H35" s="26">
        <f t="shared" si="2"/>
        <v>9.313225537987968E-12</v>
      </c>
      <c r="I35" s="26">
        <f t="shared" si="2"/>
        <v>5.8207700000000002E-11</v>
      </c>
      <c r="J35" s="26">
        <f t="shared" si="2"/>
        <v>0</v>
      </c>
      <c r="K35" s="26">
        <f t="shared" si="2"/>
        <v>2.9103800000000001E-11</v>
      </c>
      <c r="L35" s="26">
        <f t="shared" si="2"/>
        <v>-9.313225537987968E-12</v>
      </c>
      <c r="M35" s="26">
        <f t="shared" si="2"/>
        <v>0</v>
      </c>
      <c r="N35" s="26">
        <f t="shared" si="2"/>
        <v>-2.9103800000000001E-11</v>
      </c>
      <c r="O35" s="26"/>
      <c r="P35" s="26">
        <f t="shared" ref="P35:W35" si="3">P31-P34</f>
        <v>0</v>
      </c>
      <c r="Q35" s="26">
        <f t="shared" si="3"/>
        <v>0</v>
      </c>
      <c r="R35" s="26">
        <f t="shared" si="3"/>
        <v>0</v>
      </c>
      <c r="S35" s="26">
        <f t="shared" si="3"/>
        <v>0</v>
      </c>
      <c r="T35" s="26">
        <f t="shared" si="3"/>
        <v>0</v>
      </c>
      <c r="U35" s="26">
        <f t="shared" si="3"/>
        <v>0</v>
      </c>
      <c r="V35" s="26">
        <f t="shared" si="3"/>
        <v>0</v>
      </c>
      <c r="W35" s="26">
        <f t="shared" si="3"/>
        <v>0</v>
      </c>
    </row>
    <row r="36" spans="2:23">
      <c r="B36" s="17"/>
      <c r="C36" s="26"/>
      <c r="D36" s="26"/>
      <c r="E36" s="26"/>
      <c r="F36" s="26"/>
      <c r="G36" s="26"/>
      <c r="H36" s="26"/>
      <c r="I36" s="26"/>
      <c r="J36" s="26"/>
      <c r="K36" s="27"/>
      <c r="L36" s="27"/>
      <c r="M36" s="27"/>
      <c r="N36" s="27"/>
    </row>
  </sheetData>
  <pageMargins left="1.02" right="0.34" top="0.55000000000000004" bottom="0.59" header="0.3" footer="0.19"/>
  <pageSetup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view="pageBreakPreview" zoomScale="90" zoomScaleNormal="100" zoomScaleSheetLayoutView="90" workbookViewId="0"/>
  </sheetViews>
  <sheetFormatPr defaultRowHeight="15"/>
  <cols>
    <col min="1" max="1" width="26.85546875" style="66" customWidth="1"/>
    <col min="2" max="2" width="55.28515625" style="66" customWidth="1"/>
    <col min="3" max="3" width="20.5703125" style="66" customWidth="1"/>
    <col min="4" max="4" width="14.140625" style="66" customWidth="1"/>
    <col min="5" max="5" width="14.7109375" style="66" customWidth="1"/>
    <col min="6" max="6" width="14.5703125" style="66" customWidth="1"/>
    <col min="7" max="7" width="14.28515625" style="66" customWidth="1"/>
    <col min="8" max="9" width="14.5703125" style="66" customWidth="1"/>
    <col min="10" max="10" width="14.140625" style="66" customWidth="1"/>
    <col min="11" max="11" width="14.7109375" style="66" customWidth="1"/>
    <col min="12" max="12" width="14.42578125" style="66" customWidth="1"/>
    <col min="13" max="13" width="13.7109375" style="66" customWidth="1"/>
    <col min="14" max="15" width="14.5703125" style="66" customWidth="1"/>
    <col min="16" max="16384" width="9.140625" style="66"/>
  </cols>
  <sheetData>
    <row r="1" spans="1:15" ht="11.85" customHeight="1">
      <c r="A1" s="65" t="s">
        <v>2</v>
      </c>
      <c r="B1" s="65" t="s">
        <v>87</v>
      </c>
    </row>
    <row r="2" spans="1:15" ht="11.85" customHeight="1">
      <c r="A2" s="65" t="s">
        <v>88</v>
      </c>
      <c r="B2" s="65" t="s">
        <v>89</v>
      </c>
    </row>
    <row r="3" spans="1:15" ht="13.7" customHeight="1">
      <c r="C3" s="125" t="s">
        <v>100</v>
      </c>
      <c r="D3" s="125" t="s">
        <v>101</v>
      </c>
      <c r="E3" s="125" t="s">
        <v>102</v>
      </c>
      <c r="F3" s="125" t="s">
        <v>103</v>
      </c>
      <c r="G3" s="125" t="s">
        <v>104</v>
      </c>
      <c r="H3" s="125" t="s">
        <v>105</v>
      </c>
      <c r="I3" s="125" t="s">
        <v>106</v>
      </c>
      <c r="J3" s="125" t="s">
        <v>107</v>
      </c>
      <c r="K3" s="125" t="s">
        <v>108</v>
      </c>
      <c r="L3" s="125" t="s">
        <v>109</v>
      </c>
      <c r="M3" s="125" t="s">
        <v>110</v>
      </c>
      <c r="N3" s="125" t="s">
        <v>111</v>
      </c>
      <c r="O3" s="125" t="s">
        <v>112</v>
      </c>
    </row>
    <row r="4" spans="1:15" ht="12.75" customHeight="1">
      <c r="A4" s="126" t="s">
        <v>82</v>
      </c>
      <c r="B4" s="126" t="s">
        <v>90</v>
      </c>
      <c r="C4" s="127">
        <v>544401</v>
      </c>
      <c r="D4" s="127">
        <v>35632</v>
      </c>
      <c r="E4" s="127">
        <v>99250</v>
      </c>
      <c r="F4" s="127">
        <v>23671</v>
      </c>
      <c r="G4" s="127">
        <v>62551</v>
      </c>
      <c r="H4" s="127">
        <v>40043</v>
      </c>
      <c r="I4" s="127">
        <v>52327</v>
      </c>
      <c r="J4" s="127">
        <v>35497</v>
      </c>
      <c r="K4" s="127">
        <v>41350</v>
      </c>
      <c r="L4" s="127">
        <v>34964</v>
      </c>
      <c r="M4" s="127">
        <v>35954</v>
      </c>
      <c r="N4" s="127">
        <v>31269</v>
      </c>
      <c r="O4" s="127">
        <v>51893</v>
      </c>
    </row>
    <row r="5" spans="1:15" ht="12.75" customHeight="1">
      <c r="A5" s="128"/>
      <c r="B5" s="128" t="s">
        <v>20</v>
      </c>
      <c r="C5" s="129">
        <v>544401</v>
      </c>
      <c r="D5" s="129">
        <v>35632</v>
      </c>
      <c r="E5" s="129">
        <v>99250</v>
      </c>
      <c r="F5" s="129">
        <v>23671</v>
      </c>
      <c r="G5" s="129">
        <v>62551</v>
      </c>
      <c r="H5" s="129">
        <v>40043</v>
      </c>
      <c r="I5" s="129">
        <v>52327</v>
      </c>
      <c r="J5" s="129">
        <v>35497</v>
      </c>
      <c r="K5" s="129">
        <v>41350</v>
      </c>
      <c r="L5" s="129">
        <v>34964</v>
      </c>
      <c r="M5" s="129">
        <v>35954</v>
      </c>
      <c r="N5" s="129">
        <v>31269</v>
      </c>
      <c r="O5" s="129">
        <v>51893</v>
      </c>
    </row>
    <row r="6" spans="1:15" ht="12.75" customHeight="1">
      <c r="A6" s="126"/>
      <c r="B6" s="126" t="s">
        <v>91</v>
      </c>
      <c r="C6" s="127">
        <v>6968880</v>
      </c>
      <c r="D6" s="127">
        <v>481743</v>
      </c>
      <c r="E6" s="127">
        <v>481743</v>
      </c>
      <c r="F6" s="127">
        <v>481742</v>
      </c>
      <c r="G6" s="127">
        <v>613739</v>
      </c>
      <c r="H6" s="127">
        <v>613739</v>
      </c>
      <c r="I6" s="127">
        <v>613739</v>
      </c>
      <c r="J6" s="127">
        <v>613739</v>
      </c>
      <c r="K6" s="127">
        <v>613739</v>
      </c>
      <c r="L6" s="127">
        <v>613739</v>
      </c>
      <c r="M6" s="127">
        <v>613739</v>
      </c>
      <c r="N6" s="127">
        <v>613739</v>
      </c>
      <c r="O6" s="127">
        <v>613740</v>
      </c>
    </row>
    <row r="7" spans="1:15" ht="12.75" customHeight="1">
      <c r="A7" s="128"/>
      <c r="B7" s="128" t="s">
        <v>21</v>
      </c>
      <c r="C7" s="129">
        <v>6968880</v>
      </c>
      <c r="D7" s="129">
        <v>481743</v>
      </c>
      <c r="E7" s="129">
        <v>481743</v>
      </c>
      <c r="F7" s="129">
        <v>481742</v>
      </c>
      <c r="G7" s="129">
        <v>613739</v>
      </c>
      <c r="H7" s="129">
        <v>613739</v>
      </c>
      <c r="I7" s="129">
        <v>613739</v>
      </c>
      <c r="J7" s="129">
        <v>613739</v>
      </c>
      <c r="K7" s="129">
        <v>613739</v>
      </c>
      <c r="L7" s="129">
        <v>613739</v>
      </c>
      <c r="M7" s="129">
        <v>613739</v>
      </c>
      <c r="N7" s="129">
        <v>613739</v>
      </c>
      <c r="O7" s="129">
        <v>613740</v>
      </c>
    </row>
    <row r="8" spans="1:15" ht="12.75" customHeight="1">
      <c r="A8" s="126"/>
      <c r="B8" s="126" t="s">
        <v>92</v>
      </c>
      <c r="C8" s="127">
        <v>93927</v>
      </c>
      <c r="D8" s="127">
        <v>10432</v>
      </c>
      <c r="E8" s="127">
        <v>66</v>
      </c>
      <c r="F8" s="127">
        <v>338</v>
      </c>
      <c r="G8" s="127">
        <v>21742</v>
      </c>
      <c r="H8" s="127">
        <v>0</v>
      </c>
      <c r="I8" s="127">
        <v>83</v>
      </c>
      <c r="J8" s="127">
        <v>45101</v>
      </c>
      <c r="K8" s="127">
        <v>43</v>
      </c>
      <c r="L8" s="127">
        <v>0</v>
      </c>
      <c r="M8" s="127">
        <v>15828</v>
      </c>
      <c r="N8" s="127">
        <v>211</v>
      </c>
      <c r="O8" s="127">
        <v>83</v>
      </c>
    </row>
    <row r="9" spans="1:15" ht="12.75" customHeight="1">
      <c r="A9" s="128"/>
      <c r="B9" s="128" t="s">
        <v>65</v>
      </c>
      <c r="C9" s="129">
        <v>93927</v>
      </c>
      <c r="D9" s="129">
        <v>10432</v>
      </c>
      <c r="E9" s="129">
        <v>66</v>
      </c>
      <c r="F9" s="129">
        <v>338</v>
      </c>
      <c r="G9" s="129">
        <v>21742</v>
      </c>
      <c r="H9" s="129">
        <v>0</v>
      </c>
      <c r="I9" s="129">
        <v>83</v>
      </c>
      <c r="J9" s="129">
        <v>45101</v>
      </c>
      <c r="K9" s="129">
        <v>43</v>
      </c>
      <c r="L9" s="129">
        <v>0</v>
      </c>
      <c r="M9" s="129">
        <v>15828</v>
      </c>
      <c r="N9" s="129">
        <v>211</v>
      </c>
      <c r="O9" s="129">
        <v>83</v>
      </c>
    </row>
    <row r="10" spans="1:15" ht="12.75" customHeight="1">
      <c r="A10" s="126"/>
      <c r="B10" s="126" t="s">
        <v>93</v>
      </c>
      <c r="C10" s="127">
        <v>5171.54</v>
      </c>
      <c r="D10" s="127">
        <v>677.77</v>
      </c>
      <c r="E10" s="127">
        <v>0</v>
      </c>
      <c r="F10" s="127">
        <v>0</v>
      </c>
      <c r="G10" s="127">
        <v>562.83000000000004</v>
      </c>
      <c r="H10" s="127">
        <v>0</v>
      </c>
      <c r="I10" s="127">
        <v>2785.59</v>
      </c>
      <c r="J10" s="127">
        <v>542.84</v>
      </c>
      <c r="K10" s="127">
        <v>0</v>
      </c>
      <c r="L10" s="127">
        <v>0</v>
      </c>
      <c r="M10" s="127">
        <v>602.51</v>
      </c>
      <c r="N10" s="127">
        <v>0</v>
      </c>
      <c r="O10" s="127">
        <v>0</v>
      </c>
    </row>
    <row r="11" spans="1:15" ht="12.75" customHeight="1">
      <c r="A11" s="126"/>
      <c r="B11" s="126" t="s">
        <v>113</v>
      </c>
      <c r="C11" s="127">
        <v>137062</v>
      </c>
      <c r="D11" s="127"/>
      <c r="E11" s="127"/>
      <c r="F11" s="127"/>
      <c r="G11" s="127"/>
      <c r="H11" s="127"/>
      <c r="I11" s="127"/>
      <c r="J11" s="127"/>
      <c r="K11" s="127">
        <v>137062</v>
      </c>
      <c r="L11" s="127"/>
      <c r="M11" s="127"/>
      <c r="N11" s="127"/>
      <c r="O11" s="127"/>
    </row>
    <row r="12" spans="1:15" ht="12.75" customHeight="1">
      <c r="A12" s="126"/>
      <c r="B12" s="126" t="s">
        <v>94</v>
      </c>
      <c r="C12" s="127">
        <v>335937</v>
      </c>
      <c r="D12" s="127">
        <v>27296</v>
      </c>
      <c r="E12" s="127">
        <v>27296</v>
      </c>
      <c r="F12" s="127">
        <v>27296</v>
      </c>
      <c r="G12" s="127">
        <v>27296</v>
      </c>
      <c r="H12" s="127">
        <v>27296</v>
      </c>
      <c r="I12" s="127">
        <v>27296</v>
      </c>
      <c r="J12" s="127">
        <v>27296</v>
      </c>
      <c r="K12" s="127">
        <v>27296</v>
      </c>
      <c r="L12" s="127">
        <v>27296</v>
      </c>
      <c r="M12" s="127">
        <v>30091</v>
      </c>
      <c r="N12" s="127">
        <v>30091</v>
      </c>
      <c r="O12" s="127">
        <v>30091</v>
      </c>
    </row>
    <row r="13" spans="1:15" ht="12.75" customHeight="1">
      <c r="A13" s="126"/>
      <c r="B13" s="126" t="s">
        <v>95</v>
      </c>
      <c r="C13" s="127">
        <v>279360</v>
      </c>
      <c r="D13" s="127">
        <v>23280</v>
      </c>
      <c r="E13" s="127">
        <v>23280</v>
      </c>
      <c r="F13" s="127">
        <v>23280</v>
      </c>
      <c r="G13" s="127">
        <v>23280</v>
      </c>
      <c r="H13" s="127">
        <v>23280</v>
      </c>
      <c r="I13" s="127">
        <v>23280</v>
      </c>
      <c r="J13" s="127">
        <v>23280</v>
      </c>
      <c r="K13" s="127">
        <v>23280</v>
      </c>
      <c r="L13" s="127">
        <v>23280</v>
      </c>
      <c r="M13" s="127">
        <v>23280</v>
      </c>
      <c r="N13" s="127">
        <v>23280</v>
      </c>
      <c r="O13" s="127">
        <v>23280</v>
      </c>
    </row>
    <row r="14" spans="1:15" ht="12.75" customHeight="1">
      <c r="A14" s="126"/>
      <c r="B14" s="126" t="s">
        <v>96</v>
      </c>
      <c r="C14" s="127">
        <v>194148</v>
      </c>
      <c r="D14" s="127">
        <v>16179</v>
      </c>
      <c r="E14" s="127">
        <v>16179</v>
      </c>
      <c r="F14" s="127">
        <v>16179</v>
      </c>
      <c r="G14" s="127">
        <v>16179</v>
      </c>
      <c r="H14" s="127">
        <v>16179</v>
      </c>
      <c r="I14" s="127">
        <v>16179</v>
      </c>
      <c r="J14" s="127">
        <v>16179</v>
      </c>
      <c r="K14" s="127">
        <v>16179</v>
      </c>
      <c r="L14" s="127">
        <v>16179</v>
      </c>
      <c r="M14" s="127">
        <v>16179</v>
      </c>
      <c r="N14" s="127">
        <v>16179</v>
      </c>
      <c r="O14" s="127">
        <v>16179</v>
      </c>
    </row>
    <row r="15" spans="1:15" ht="12.75" customHeight="1">
      <c r="A15" s="128"/>
      <c r="B15" s="128" t="s">
        <v>83</v>
      </c>
      <c r="C15" s="129">
        <v>951678.54</v>
      </c>
      <c r="D15" s="129">
        <v>67432.77</v>
      </c>
      <c r="E15" s="129">
        <v>66755</v>
      </c>
      <c r="F15" s="129">
        <v>66755</v>
      </c>
      <c r="G15" s="129">
        <v>67317.83</v>
      </c>
      <c r="H15" s="129">
        <v>66755</v>
      </c>
      <c r="I15" s="129">
        <v>69540.59</v>
      </c>
      <c r="J15" s="129">
        <v>67297.84</v>
      </c>
      <c r="K15" s="129">
        <v>203817</v>
      </c>
      <c r="L15" s="129">
        <v>66755</v>
      </c>
      <c r="M15" s="129">
        <v>70152.509999999995</v>
      </c>
      <c r="N15" s="129">
        <v>69550</v>
      </c>
      <c r="O15" s="129">
        <v>69550</v>
      </c>
    </row>
    <row r="16" spans="1:15" ht="12.75" customHeight="1">
      <c r="A16" s="128"/>
      <c r="B16" s="128" t="s">
        <v>4</v>
      </c>
      <c r="C16" s="129">
        <v>8558886.5399999991</v>
      </c>
      <c r="D16" s="129">
        <v>595239.77</v>
      </c>
      <c r="E16" s="129">
        <v>647814</v>
      </c>
      <c r="F16" s="129">
        <v>572506</v>
      </c>
      <c r="G16" s="129">
        <v>765349.83</v>
      </c>
      <c r="H16" s="129">
        <v>720537</v>
      </c>
      <c r="I16" s="129">
        <v>735689.59</v>
      </c>
      <c r="J16" s="129">
        <v>761634.84</v>
      </c>
      <c r="K16" s="129">
        <v>858949</v>
      </c>
      <c r="L16" s="129">
        <v>715458</v>
      </c>
      <c r="M16" s="129">
        <v>735673.51</v>
      </c>
      <c r="N16" s="129">
        <v>714769</v>
      </c>
      <c r="O16" s="129">
        <v>735266</v>
      </c>
    </row>
    <row r="17" spans="1:15" ht="12.75" customHeight="1">
      <c r="A17" s="126" t="s">
        <v>97</v>
      </c>
      <c r="B17" s="126" t="s">
        <v>90</v>
      </c>
      <c r="C17" s="127">
        <v>7270520</v>
      </c>
      <c r="D17" s="127">
        <v>605877</v>
      </c>
      <c r="E17" s="127">
        <v>605877</v>
      </c>
      <c r="F17" s="127">
        <v>605877</v>
      </c>
      <c r="G17" s="127">
        <v>605877</v>
      </c>
      <c r="H17" s="127">
        <v>605877</v>
      </c>
      <c r="I17" s="127">
        <v>605877</v>
      </c>
      <c r="J17" s="127">
        <v>605877</v>
      </c>
      <c r="K17" s="127">
        <v>605877</v>
      </c>
      <c r="L17" s="127">
        <v>605877</v>
      </c>
      <c r="M17" s="127">
        <v>605877</v>
      </c>
      <c r="N17" s="127">
        <v>605877</v>
      </c>
      <c r="O17" s="127">
        <v>605873</v>
      </c>
    </row>
    <row r="18" spans="1:15" ht="12.75" customHeight="1">
      <c r="A18" s="128"/>
      <c r="B18" s="128" t="s">
        <v>20</v>
      </c>
      <c r="C18" s="129">
        <v>7270520</v>
      </c>
      <c r="D18" s="129">
        <v>605877</v>
      </c>
      <c r="E18" s="129">
        <v>605877</v>
      </c>
      <c r="F18" s="129">
        <v>605877</v>
      </c>
      <c r="G18" s="129">
        <v>605877</v>
      </c>
      <c r="H18" s="129">
        <v>605877</v>
      </c>
      <c r="I18" s="129">
        <v>605877</v>
      </c>
      <c r="J18" s="129">
        <v>605877</v>
      </c>
      <c r="K18" s="129">
        <v>605877</v>
      </c>
      <c r="L18" s="129">
        <v>605877</v>
      </c>
      <c r="M18" s="129">
        <v>605877</v>
      </c>
      <c r="N18" s="129">
        <v>605877</v>
      </c>
      <c r="O18" s="129">
        <v>605873</v>
      </c>
    </row>
    <row r="19" spans="1:15" ht="12.75" customHeight="1">
      <c r="A19" s="126"/>
      <c r="B19" s="126" t="s">
        <v>91</v>
      </c>
      <c r="C19" s="127">
        <v>1514400</v>
      </c>
      <c r="D19" s="127">
        <v>122300</v>
      </c>
      <c r="E19" s="127">
        <v>122300</v>
      </c>
      <c r="F19" s="127">
        <v>122300</v>
      </c>
      <c r="G19" s="127">
        <v>127500</v>
      </c>
      <c r="H19" s="127">
        <v>127500</v>
      </c>
      <c r="I19" s="127">
        <v>127500</v>
      </c>
      <c r="J19" s="127">
        <v>127500</v>
      </c>
      <c r="K19" s="127">
        <v>127500</v>
      </c>
      <c r="L19" s="127">
        <v>127500</v>
      </c>
      <c r="M19" s="127">
        <v>127500</v>
      </c>
      <c r="N19" s="127">
        <v>127500</v>
      </c>
      <c r="O19" s="127">
        <v>127500</v>
      </c>
    </row>
    <row r="20" spans="1:15" ht="12.75" customHeight="1">
      <c r="A20" s="128"/>
      <c r="B20" s="128" t="s">
        <v>21</v>
      </c>
      <c r="C20" s="129">
        <v>1514400</v>
      </c>
      <c r="D20" s="129">
        <v>122300</v>
      </c>
      <c r="E20" s="129">
        <v>122300</v>
      </c>
      <c r="F20" s="129">
        <v>122300</v>
      </c>
      <c r="G20" s="129">
        <v>127500</v>
      </c>
      <c r="H20" s="129">
        <v>127500</v>
      </c>
      <c r="I20" s="129">
        <v>127500</v>
      </c>
      <c r="J20" s="129">
        <v>127500</v>
      </c>
      <c r="K20" s="129">
        <v>127500</v>
      </c>
      <c r="L20" s="129">
        <v>127500</v>
      </c>
      <c r="M20" s="129">
        <v>127500</v>
      </c>
      <c r="N20" s="129">
        <v>127500</v>
      </c>
      <c r="O20" s="129">
        <v>127500</v>
      </c>
    </row>
    <row r="21" spans="1:15" ht="12.75" customHeight="1">
      <c r="A21" s="126"/>
      <c r="B21" s="126" t="s">
        <v>98</v>
      </c>
      <c r="C21" s="127">
        <v>0</v>
      </c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>
        <v>0</v>
      </c>
    </row>
    <row r="22" spans="1:15" ht="12.75" customHeight="1">
      <c r="A22" s="126"/>
      <c r="B22" s="126" t="s">
        <v>95</v>
      </c>
      <c r="C22" s="127">
        <v>-5363196</v>
      </c>
      <c r="D22" s="127">
        <v>-446933</v>
      </c>
      <c r="E22" s="127">
        <v>-446933</v>
      </c>
      <c r="F22" s="127">
        <v>-446933</v>
      </c>
      <c r="G22" s="127">
        <v>-446933</v>
      </c>
      <c r="H22" s="127">
        <v>-446933</v>
      </c>
      <c r="I22" s="127">
        <v>-446933</v>
      </c>
      <c r="J22" s="127">
        <v>-446933</v>
      </c>
      <c r="K22" s="127">
        <v>-446933</v>
      </c>
      <c r="L22" s="127">
        <v>-446933</v>
      </c>
      <c r="M22" s="127">
        <v>-446933</v>
      </c>
      <c r="N22" s="127">
        <v>-446933</v>
      </c>
      <c r="O22" s="127">
        <v>-446933</v>
      </c>
    </row>
    <row r="23" spans="1:15" ht="12.75" customHeight="1">
      <c r="A23" s="126"/>
      <c r="B23" s="126" t="s">
        <v>96</v>
      </c>
      <c r="C23" s="127">
        <v>-3421728</v>
      </c>
      <c r="D23" s="127">
        <v>-285144</v>
      </c>
      <c r="E23" s="127">
        <v>-285144</v>
      </c>
      <c r="F23" s="127">
        <v>-285144</v>
      </c>
      <c r="G23" s="127">
        <v>-285144</v>
      </c>
      <c r="H23" s="127">
        <v>-285144</v>
      </c>
      <c r="I23" s="127">
        <v>-285144</v>
      </c>
      <c r="J23" s="127">
        <v>-285144</v>
      </c>
      <c r="K23" s="127">
        <v>-285144</v>
      </c>
      <c r="L23" s="127">
        <v>-285144</v>
      </c>
      <c r="M23" s="127">
        <v>-285144</v>
      </c>
      <c r="N23" s="127">
        <v>-285144</v>
      </c>
      <c r="O23" s="127">
        <v>-285144</v>
      </c>
    </row>
    <row r="24" spans="1:15" ht="12.75" customHeight="1">
      <c r="A24" s="128"/>
      <c r="B24" s="128" t="s">
        <v>83</v>
      </c>
      <c r="C24" s="129">
        <v>-8784924</v>
      </c>
      <c r="D24" s="129">
        <v>-732077</v>
      </c>
      <c r="E24" s="129">
        <v>-732077</v>
      </c>
      <c r="F24" s="129">
        <v>-732077</v>
      </c>
      <c r="G24" s="129">
        <v>-732077</v>
      </c>
      <c r="H24" s="129">
        <v>-732077</v>
      </c>
      <c r="I24" s="129">
        <v>-732077</v>
      </c>
      <c r="J24" s="129">
        <v>-732077</v>
      </c>
      <c r="K24" s="129">
        <v>-732077</v>
      </c>
      <c r="L24" s="129">
        <v>-732077</v>
      </c>
      <c r="M24" s="129">
        <v>-732077</v>
      </c>
      <c r="N24" s="129">
        <v>-732077</v>
      </c>
      <c r="O24" s="129">
        <v>-732077</v>
      </c>
    </row>
    <row r="25" spans="1:15" ht="12.75" customHeight="1">
      <c r="A25" s="128"/>
      <c r="B25" s="128" t="s">
        <v>4</v>
      </c>
      <c r="C25" s="129">
        <v>-4</v>
      </c>
      <c r="D25" s="129">
        <v>-3900</v>
      </c>
      <c r="E25" s="129">
        <v>-3900</v>
      </c>
      <c r="F25" s="129">
        <v>-3900</v>
      </c>
      <c r="G25" s="129">
        <v>1300</v>
      </c>
      <c r="H25" s="129">
        <v>1300</v>
      </c>
      <c r="I25" s="129">
        <v>1300</v>
      </c>
      <c r="J25" s="129">
        <v>1300</v>
      </c>
      <c r="K25" s="129">
        <v>1300</v>
      </c>
      <c r="L25" s="129">
        <v>1300</v>
      </c>
      <c r="M25" s="129">
        <v>1300</v>
      </c>
      <c r="N25" s="129">
        <v>1300</v>
      </c>
      <c r="O25" s="129">
        <v>1296</v>
      </c>
    </row>
    <row r="28" spans="1:15">
      <c r="B28" s="66" t="s">
        <v>82</v>
      </c>
    </row>
    <row r="29" spans="1:15">
      <c r="B29" s="66" t="s">
        <v>97</v>
      </c>
    </row>
    <row r="33" spans="1:16">
      <c r="B33" s="97" t="s">
        <v>130</v>
      </c>
      <c r="D33" s="66" t="s">
        <v>135</v>
      </c>
    </row>
    <row r="34" spans="1:16">
      <c r="B34" s="39">
        <v>91</v>
      </c>
      <c r="C34" s="130">
        <f>SUM(D34:O34)</f>
        <v>387004.3</v>
      </c>
      <c r="D34" s="131">
        <v>35671.339999999997</v>
      </c>
      <c r="E34" s="132">
        <v>73316.179999999993</v>
      </c>
      <c r="F34" s="131">
        <v>26669.72</v>
      </c>
      <c r="G34" s="131">
        <v>37483.710000000006</v>
      </c>
      <c r="H34" s="132">
        <v>35804.410000000003</v>
      </c>
      <c r="I34" s="133">
        <v>14881.190000000006</v>
      </c>
      <c r="J34" s="134">
        <v>31890.79</v>
      </c>
      <c r="K34" s="134">
        <v>36393.94000000001</v>
      </c>
      <c r="L34" s="135">
        <v>29695.5</v>
      </c>
      <c r="M34" s="131">
        <v>26788.799999999999</v>
      </c>
      <c r="N34" s="132">
        <v>34393.67</v>
      </c>
      <c r="O34" s="131">
        <v>4015.05</v>
      </c>
      <c r="P34" s="54"/>
    </row>
    <row r="35" spans="1:16">
      <c r="A35" s="39">
        <v>0.49780000000000002</v>
      </c>
      <c r="B35" s="39">
        <v>9</v>
      </c>
      <c r="C35" s="130">
        <f>SUM(D35:O35)</f>
        <v>349930.45999999996</v>
      </c>
      <c r="D35" s="131">
        <v>17707.460000000003</v>
      </c>
      <c r="E35" s="132">
        <v>62409.38</v>
      </c>
      <c r="F35" s="131">
        <v>10269.339999999995</v>
      </c>
      <c r="G35" s="131">
        <v>43714.539999999994</v>
      </c>
      <c r="H35" s="132">
        <v>22050.870000000006</v>
      </c>
      <c r="I35" s="133">
        <v>44848.97</v>
      </c>
      <c r="J35" s="134">
        <v>19471.759999999998</v>
      </c>
      <c r="K35" s="134">
        <v>23062.050000000003</v>
      </c>
      <c r="L35" s="131">
        <v>20041.669999999995</v>
      </c>
      <c r="M35" s="131">
        <v>22493.259999999995</v>
      </c>
      <c r="N35" s="132">
        <v>13986.169999999998</v>
      </c>
      <c r="O35" s="131">
        <v>49874.99</v>
      </c>
    </row>
    <row r="36" spans="1:16">
      <c r="A36" s="39">
        <v>0.41909999999999997</v>
      </c>
      <c r="B36" s="39">
        <v>93</v>
      </c>
      <c r="C36" s="130">
        <f>SUM(D36:O36)</f>
        <v>219870.45</v>
      </c>
      <c r="D36" s="131">
        <v>9253.7800000000007</v>
      </c>
      <c r="E36" s="132">
        <v>39653.179999999993</v>
      </c>
      <c r="F36" s="131">
        <v>7687.33</v>
      </c>
      <c r="G36" s="131">
        <v>27203.71</v>
      </c>
      <c r="H36" s="132">
        <v>15743.960000000001</v>
      </c>
      <c r="I36" s="133">
        <v>25708.92</v>
      </c>
      <c r="J36" s="134">
        <v>12389.970000000001</v>
      </c>
      <c r="K36" s="134">
        <v>12985.989999999998</v>
      </c>
      <c r="L36" s="131">
        <v>13579.749999999998</v>
      </c>
      <c r="M36" s="131">
        <v>13907.43</v>
      </c>
      <c r="N36" s="132">
        <v>9214.7900000000009</v>
      </c>
      <c r="O36" s="131">
        <v>32541.640000000007</v>
      </c>
    </row>
    <row r="37" spans="1:16">
      <c r="A37" s="39">
        <v>8.3100000000000007E-2</v>
      </c>
      <c r="B37" s="39">
        <v>96</v>
      </c>
      <c r="C37" s="136">
        <f>SUM(D37:O37)</f>
        <v>70770.58</v>
      </c>
      <c r="D37" s="137">
        <v>3438.8100000000009</v>
      </c>
      <c r="E37" s="138">
        <v>12015.099999999999</v>
      </c>
      <c r="F37" s="137">
        <v>2294.3400000000006</v>
      </c>
      <c r="G37" s="137">
        <v>8180.0999999999995</v>
      </c>
      <c r="H37" s="138">
        <v>4412.8899999999994</v>
      </c>
      <c r="I37" s="139">
        <v>9902.5700000000015</v>
      </c>
      <c r="J37" s="140">
        <v>3843.64</v>
      </c>
      <c r="K37" s="140">
        <v>4396.0200000000004</v>
      </c>
      <c r="L37" s="137">
        <v>4684.6900000000005</v>
      </c>
      <c r="M37" s="137">
        <v>4566.1000000000004</v>
      </c>
      <c r="N37" s="138">
        <v>2767.24</v>
      </c>
      <c r="O37" s="137">
        <v>10269.080000000002</v>
      </c>
    </row>
    <row r="38" spans="1:16">
      <c r="B38" s="39"/>
      <c r="C38" s="130">
        <f>SUM(C34:C37)</f>
        <v>1027575.7899999999</v>
      </c>
      <c r="D38" s="131">
        <f>SUM(D34:D37)</f>
        <v>66071.39</v>
      </c>
      <c r="E38" s="132">
        <f t="shared" ref="E38:O38" si="0">SUM(E34:E37)</f>
        <v>187393.84</v>
      </c>
      <c r="F38" s="131">
        <f t="shared" si="0"/>
        <v>46920.73</v>
      </c>
      <c r="G38" s="131">
        <f t="shared" si="0"/>
        <v>116582.06</v>
      </c>
      <c r="H38" s="132">
        <f t="shared" si="0"/>
        <v>78012.130000000019</v>
      </c>
      <c r="I38" s="133">
        <f t="shared" si="0"/>
        <v>95341.650000000009</v>
      </c>
      <c r="J38" s="134">
        <f t="shared" si="0"/>
        <v>67596.160000000003</v>
      </c>
      <c r="K38" s="134">
        <f t="shared" si="0"/>
        <v>76838.000000000015</v>
      </c>
      <c r="L38" s="135">
        <f t="shared" si="0"/>
        <v>68001.61</v>
      </c>
      <c r="M38" s="131">
        <f t="shared" si="0"/>
        <v>67755.59</v>
      </c>
      <c r="N38" s="132">
        <f t="shared" si="0"/>
        <v>60361.869999999995</v>
      </c>
      <c r="O38" s="131">
        <f t="shared" si="0"/>
        <v>96700.760000000009</v>
      </c>
      <c r="P38" s="54"/>
    </row>
    <row r="39" spans="1:16">
      <c r="B39" s="39"/>
      <c r="C39" s="130"/>
      <c r="D39" s="131"/>
      <c r="E39" s="132"/>
      <c r="F39" s="131"/>
      <c r="G39" s="131"/>
      <c r="H39" s="132"/>
      <c r="I39" s="133"/>
      <c r="J39" s="134"/>
      <c r="K39" s="134"/>
      <c r="L39" s="131"/>
      <c r="M39" s="131"/>
      <c r="N39" s="132"/>
      <c r="O39" s="131"/>
      <c r="P39" s="54"/>
    </row>
    <row r="40" spans="1:16">
      <c r="B40" s="15" t="s">
        <v>131</v>
      </c>
      <c r="C40" s="98"/>
      <c r="D40" s="99">
        <f>ROUND(D34*$A$35,0)</f>
        <v>17757</v>
      </c>
      <c r="E40" s="99">
        <f t="shared" ref="E40:O40" si="1">ROUND(E34*$A$35,0)</f>
        <v>36497</v>
      </c>
      <c r="F40" s="99">
        <f t="shared" si="1"/>
        <v>13276</v>
      </c>
      <c r="G40" s="99">
        <f t="shared" si="1"/>
        <v>18659</v>
      </c>
      <c r="H40" s="99">
        <f t="shared" si="1"/>
        <v>17823</v>
      </c>
      <c r="I40" s="99">
        <f t="shared" si="1"/>
        <v>7408</v>
      </c>
      <c r="J40" s="99">
        <f t="shared" si="1"/>
        <v>15875</v>
      </c>
      <c r="K40" s="99">
        <f t="shared" si="1"/>
        <v>18117</v>
      </c>
      <c r="L40" s="99">
        <f t="shared" si="1"/>
        <v>14782</v>
      </c>
      <c r="M40" s="99">
        <f t="shared" si="1"/>
        <v>13335</v>
      </c>
      <c r="N40" s="99">
        <f t="shared" si="1"/>
        <v>17121</v>
      </c>
      <c r="O40" s="99">
        <f t="shared" si="1"/>
        <v>1999</v>
      </c>
      <c r="P40" s="54"/>
    </row>
    <row r="41" spans="1:16">
      <c r="B41" s="15" t="s">
        <v>132</v>
      </c>
      <c r="C41" s="98"/>
      <c r="D41" s="99">
        <f>ROUND(D34*$A$36,0)</f>
        <v>14950</v>
      </c>
      <c r="E41" s="99">
        <f t="shared" ref="E41:O41" si="2">ROUND(E34*$A$36,0)</f>
        <v>30727</v>
      </c>
      <c r="F41" s="99">
        <f t="shared" si="2"/>
        <v>11177</v>
      </c>
      <c r="G41" s="99">
        <f t="shared" si="2"/>
        <v>15709</v>
      </c>
      <c r="H41" s="99">
        <f t="shared" si="2"/>
        <v>15006</v>
      </c>
      <c r="I41" s="99">
        <f t="shared" si="2"/>
        <v>6237</v>
      </c>
      <c r="J41" s="99">
        <f t="shared" si="2"/>
        <v>13365</v>
      </c>
      <c r="K41" s="99">
        <f t="shared" si="2"/>
        <v>15253</v>
      </c>
      <c r="L41" s="99">
        <f t="shared" si="2"/>
        <v>12445</v>
      </c>
      <c r="M41" s="99">
        <f t="shared" si="2"/>
        <v>11227</v>
      </c>
      <c r="N41" s="99">
        <f t="shared" si="2"/>
        <v>14414</v>
      </c>
      <c r="O41" s="99">
        <f t="shared" si="2"/>
        <v>1683</v>
      </c>
      <c r="P41" s="54"/>
    </row>
    <row r="42" spans="1:16">
      <c r="B42" s="15" t="s">
        <v>133</v>
      </c>
      <c r="C42" s="109"/>
      <c r="D42" s="105">
        <f>ROUND(D34*$A$37,0)</f>
        <v>2964</v>
      </c>
      <c r="E42" s="105">
        <f t="shared" ref="E42:O42" si="3">ROUND(E34*$A$37,0)</f>
        <v>6093</v>
      </c>
      <c r="F42" s="105">
        <f t="shared" si="3"/>
        <v>2216</v>
      </c>
      <c r="G42" s="105">
        <f t="shared" si="3"/>
        <v>3115</v>
      </c>
      <c r="H42" s="105">
        <f t="shared" si="3"/>
        <v>2975</v>
      </c>
      <c r="I42" s="105">
        <f t="shared" si="3"/>
        <v>1237</v>
      </c>
      <c r="J42" s="105">
        <f t="shared" si="3"/>
        <v>2650</v>
      </c>
      <c r="K42" s="105">
        <f t="shared" si="3"/>
        <v>3024</v>
      </c>
      <c r="L42" s="105">
        <f t="shared" si="3"/>
        <v>2468</v>
      </c>
      <c r="M42" s="105">
        <f t="shared" si="3"/>
        <v>2226</v>
      </c>
      <c r="N42" s="105">
        <f t="shared" si="3"/>
        <v>2858</v>
      </c>
      <c r="O42" s="105">
        <f t="shared" si="3"/>
        <v>334</v>
      </c>
      <c r="P42" s="54"/>
    </row>
    <row r="43" spans="1:16">
      <c r="B43" s="54"/>
      <c r="C43" s="98">
        <f>SUM(D43:O43)</f>
        <v>387000</v>
      </c>
      <c r="D43" s="99">
        <f>SUM(D40:D42)</f>
        <v>35671</v>
      </c>
      <c r="E43" s="100">
        <f t="shared" ref="E43:N43" si="4">SUM(E40:E42)</f>
        <v>73317</v>
      </c>
      <c r="F43" s="99">
        <f t="shared" si="4"/>
        <v>26669</v>
      </c>
      <c r="G43" s="99">
        <f t="shared" si="4"/>
        <v>37483</v>
      </c>
      <c r="H43" s="100">
        <f t="shared" si="4"/>
        <v>35804</v>
      </c>
      <c r="I43" s="101">
        <f t="shared" si="4"/>
        <v>14882</v>
      </c>
      <c r="J43" s="102">
        <f t="shared" si="4"/>
        <v>31890</v>
      </c>
      <c r="K43" s="102">
        <f t="shared" si="4"/>
        <v>36394</v>
      </c>
      <c r="L43" s="99">
        <f t="shared" si="4"/>
        <v>29695</v>
      </c>
      <c r="M43" s="99">
        <f t="shared" si="4"/>
        <v>26788</v>
      </c>
      <c r="N43" s="100">
        <f t="shared" si="4"/>
        <v>34393</v>
      </c>
      <c r="O43" s="99">
        <f>SUM(O40:O42)-2</f>
        <v>4014</v>
      </c>
      <c r="P43" s="54"/>
    </row>
    <row r="44" spans="1:16">
      <c r="B44" s="54"/>
      <c r="C44" s="98"/>
      <c r="D44" s="99"/>
      <c r="E44" s="100"/>
      <c r="F44" s="99"/>
      <c r="G44" s="99"/>
      <c r="H44" s="100"/>
      <c r="I44" s="101"/>
      <c r="J44" s="102"/>
      <c r="K44" s="102"/>
      <c r="L44" s="99"/>
      <c r="M44" s="99"/>
      <c r="N44" s="100"/>
      <c r="O44" s="99"/>
      <c r="P44" s="54"/>
    </row>
    <row r="45" spans="1:16">
      <c r="B45" s="15" t="s">
        <v>134</v>
      </c>
      <c r="C45" s="98"/>
      <c r="D45" s="99"/>
      <c r="E45" s="100"/>
      <c r="F45" s="99"/>
      <c r="G45" s="99"/>
      <c r="H45" s="100"/>
      <c r="I45" s="101"/>
      <c r="J45" s="102"/>
      <c r="K45" s="102"/>
      <c r="L45" s="99"/>
      <c r="M45" s="99"/>
      <c r="N45" s="100"/>
      <c r="O45" s="99"/>
      <c r="P45" s="54"/>
    </row>
    <row r="46" spans="1:16">
      <c r="B46" s="54">
        <v>9</v>
      </c>
      <c r="C46" s="98">
        <f>SUM(D46:O46)</f>
        <v>542579.46000000008</v>
      </c>
      <c r="D46" s="99">
        <f>D35+D40</f>
        <v>35464.460000000006</v>
      </c>
      <c r="E46" s="100">
        <f t="shared" ref="E46:O46" si="5">E35+E40</f>
        <v>98906.38</v>
      </c>
      <c r="F46" s="99">
        <f t="shared" si="5"/>
        <v>23545.339999999997</v>
      </c>
      <c r="G46" s="99">
        <f t="shared" si="5"/>
        <v>62373.539999999994</v>
      </c>
      <c r="H46" s="100">
        <f t="shared" si="5"/>
        <v>39873.87000000001</v>
      </c>
      <c r="I46" s="101">
        <f t="shared" si="5"/>
        <v>52256.97</v>
      </c>
      <c r="J46" s="102">
        <f t="shared" si="5"/>
        <v>35346.759999999995</v>
      </c>
      <c r="K46" s="102">
        <f t="shared" si="5"/>
        <v>41179.050000000003</v>
      </c>
      <c r="L46" s="103">
        <f t="shared" si="5"/>
        <v>34823.67</v>
      </c>
      <c r="M46" s="99">
        <f t="shared" si="5"/>
        <v>35828.259999999995</v>
      </c>
      <c r="N46" s="100">
        <f t="shared" si="5"/>
        <v>31107.17</v>
      </c>
      <c r="O46" s="99">
        <f t="shared" si="5"/>
        <v>51873.99</v>
      </c>
      <c r="P46" s="54"/>
    </row>
    <row r="47" spans="1:16">
      <c r="B47" s="54">
        <v>93</v>
      </c>
      <c r="C47" s="98">
        <f>SUM(D47:O47)</f>
        <v>382063.45</v>
      </c>
      <c r="D47" s="99">
        <f t="shared" ref="D47:O48" si="6">D36+D41</f>
        <v>24203.78</v>
      </c>
      <c r="E47" s="100">
        <f t="shared" si="6"/>
        <v>70380.179999999993</v>
      </c>
      <c r="F47" s="99">
        <f t="shared" si="6"/>
        <v>18864.330000000002</v>
      </c>
      <c r="G47" s="99">
        <f t="shared" si="6"/>
        <v>42912.71</v>
      </c>
      <c r="H47" s="100">
        <f t="shared" si="6"/>
        <v>30749.96</v>
      </c>
      <c r="I47" s="101">
        <f t="shared" si="6"/>
        <v>31945.919999999998</v>
      </c>
      <c r="J47" s="102">
        <f t="shared" si="6"/>
        <v>25754.97</v>
      </c>
      <c r="K47" s="102">
        <f t="shared" si="6"/>
        <v>28238.989999999998</v>
      </c>
      <c r="L47" s="99">
        <f t="shared" si="6"/>
        <v>26024.75</v>
      </c>
      <c r="M47" s="99">
        <f t="shared" si="6"/>
        <v>25134.43</v>
      </c>
      <c r="N47" s="100">
        <f t="shared" si="6"/>
        <v>23628.79</v>
      </c>
      <c r="O47" s="99">
        <f t="shared" si="6"/>
        <v>34224.640000000007</v>
      </c>
      <c r="P47" s="54"/>
    </row>
    <row r="48" spans="1:16">
      <c r="B48" s="54">
        <v>96</v>
      </c>
      <c r="C48" s="109">
        <f>SUM(D48:O48)</f>
        <v>102930.58000000002</v>
      </c>
      <c r="D48" s="105">
        <f t="shared" si="6"/>
        <v>6402.8100000000013</v>
      </c>
      <c r="E48" s="106">
        <f t="shared" si="6"/>
        <v>18108.099999999999</v>
      </c>
      <c r="F48" s="105">
        <f t="shared" si="6"/>
        <v>4510.34</v>
      </c>
      <c r="G48" s="105">
        <f t="shared" si="6"/>
        <v>11295.099999999999</v>
      </c>
      <c r="H48" s="106">
        <f t="shared" si="6"/>
        <v>7387.8899999999994</v>
      </c>
      <c r="I48" s="107">
        <f t="shared" si="6"/>
        <v>11139.570000000002</v>
      </c>
      <c r="J48" s="108">
        <f t="shared" si="6"/>
        <v>6493.6399999999994</v>
      </c>
      <c r="K48" s="108">
        <f t="shared" si="6"/>
        <v>7420.02</v>
      </c>
      <c r="L48" s="105">
        <f t="shared" si="6"/>
        <v>7152.6900000000005</v>
      </c>
      <c r="M48" s="105">
        <f t="shared" si="6"/>
        <v>6792.1</v>
      </c>
      <c r="N48" s="106">
        <f t="shared" si="6"/>
        <v>5625.24</v>
      </c>
      <c r="O48" s="105">
        <f t="shared" si="6"/>
        <v>10603.080000000002</v>
      </c>
      <c r="P48" s="54"/>
    </row>
    <row r="49" spans="2:16">
      <c r="B49" s="54"/>
      <c r="C49" s="98">
        <f>SUM(C46:C48)</f>
        <v>1027573.4900000002</v>
      </c>
      <c r="D49" s="99">
        <f>SUM(D46:D48)</f>
        <v>66071.05</v>
      </c>
      <c r="E49" s="100">
        <f t="shared" ref="E49:O49" si="7">SUM(E46:E48)</f>
        <v>187394.66</v>
      </c>
      <c r="F49" s="99">
        <f t="shared" si="7"/>
        <v>46920.009999999995</v>
      </c>
      <c r="G49" s="99">
        <f t="shared" si="7"/>
        <v>116581.35</v>
      </c>
      <c r="H49" s="100">
        <f t="shared" si="7"/>
        <v>78011.720000000016</v>
      </c>
      <c r="I49" s="101">
        <f t="shared" si="7"/>
        <v>95342.46</v>
      </c>
      <c r="J49" s="102">
        <f t="shared" si="7"/>
        <v>67595.37</v>
      </c>
      <c r="K49" s="102">
        <f t="shared" si="7"/>
        <v>76838.060000000012</v>
      </c>
      <c r="L49" s="99">
        <f t="shared" si="7"/>
        <v>68001.11</v>
      </c>
      <c r="M49" s="99">
        <f t="shared" si="7"/>
        <v>67754.789999999994</v>
      </c>
      <c r="N49" s="100">
        <f t="shared" si="7"/>
        <v>60361.2</v>
      </c>
      <c r="O49" s="99">
        <f t="shared" si="7"/>
        <v>96701.71</v>
      </c>
      <c r="P49" s="54"/>
    </row>
  </sheetData>
  <pageMargins left="1.02" right="0.34" top="0.55000000000000004" bottom="0.59" header="0.3" footer="0.19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zoomScale="90" zoomScaleNormal="90" workbookViewId="0"/>
  </sheetViews>
  <sheetFormatPr defaultRowHeight="15"/>
  <cols>
    <col min="1" max="1" width="31.5703125" style="66" customWidth="1"/>
    <col min="2" max="2" width="59.85546875" style="66" customWidth="1"/>
    <col min="3" max="3" width="20.5703125" style="66" customWidth="1"/>
    <col min="4" max="4" width="14.140625" style="66" customWidth="1"/>
    <col min="5" max="5" width="14.7109375" style="66" customWidth="1"/>
    <col min="6" max="6" width="14.5703125" style="66" customWidth="1"/>
    <col min="7" max="7" width="14.28515625" style="66" customWidth="1"/>
    <col min="8" max="9" width="14.5703125" style="66" customWidth="1"/>
    <col min="10" max="10" width="14.140625" style="66" customWidth="1"/>
    <col min="11" max="11" width="14.7109375" style="66" customWidth="1"/>
    <col min="12" max="12" width="14.42578125" style="66" customWidth="1"/>
    <col min="13" max="13" width="13.7109375" style="66" customWidth="1"/>
    <col min="14" max="15" width="14.5703125" style="66" customWidth="1"/>
    <col min="16" max="16384" width="9.140625" style="66"/>
  </cols>
  <sheetData>
    <row r="1" spans="1:15" ht="11.85" customHeight="1">
      <c r="A1" s="65" t="s">
        <v>2</v>
      </c>
      <c r="B1" s="65" t="s">
        <v>87</v>
      </c>
    </row>
    <row r="2" spans="1:15" ht="11.85" customHeight="1">
      <c r="A2" s="65" t="s">
        <v>88</v>
      </c>
      <c r="B2" s="65" t="s">
        <v>89</v>
      </c>
    </row>
    <row r="3" spans="1:15" ht="13.7" customHeight="1">
      <c r="C3" s="67" t="s">
        <v>117</v>
      </c>
      <c r="D3" s="67" t="s">
        <v>118</v>
      </c>
      <c r="E3" s="67" t="s">
        <v>119</v>
      </c>
      <c r="F3" s="67" t="s">
        <v>120</v>
      </c>
      <c r="G3" s="67" t="s">
        <v>121</v>
      </c>
      <c r="H3" s="67" t="s">
        <v>122</v>
      </c>
      <c r="I3" s="67" t="s">
        <v>123</v>
      </c>
      <c r="J3" s="67" t="s">
        <v>124</v>
      </c>
      <c r="K3" s="67" t="s">
        <v>125</v>
      </c>
      <c r="L3" s="67" t="s">
        <v>126</v>
      </c>
      <c r="M3" s="67" t="s">
        <v>127</v>
      </c>
      <c r="N3" s="67" t="s">
        <v>128</v>
      </c>
      <c r="O3" s="67" t="s">
        <v>129</v>
      </c>
    </row>
    <row r="4" spans="1:15" ht="12.75" customHeight="1">
      <c r="A4" s="68" t="s">
        <v>82</v>
      </c>
      <c r="B4" s="74" t="s">
        <v>90</v>
      </c>
      <c r="C4" s="69">
        <v>478730</v>
      </c>
      <c r="D4" s="69">
        <v>21327</v>
      </c>
      <c r="E4" s="69">
        <v>67746</v>
      </c>
      <c r="F4" s="69">
        <v>12088</v>
      </c>
      <c r="G4" s="69">
        <v>93200</v>
      </c>
      <c r="H4" s="69">
        <v>35737</v>
      </c>
      <c r="I4" s="69">
        <v>40475</v>
      </c>
      <c r="J4" s="69">
        <v>31797</v>
      </c>
      <c r="K4" s="69">
        <v>38003</v>
      </c>
      <c r="L4" s="69">
        <v>25907</v>
      </c>
      <c r="M4" s="69">
        <v>31675</v>
      </c>
      <c r="N4" s="69">
        <v>21065</v>
      </c>
      <c r="O4" s="69">
        <v>59710</v>
      </c>
    </row>
    <row r="5" spans="1:15" ht="12.75" customHeight="1">
      <c r="A5" s="70"/>
      <c r="B5" s="75" t="s">
        <v>20</v>
      </c>
      <c r="C5" s="71">
        <v>478730</v>
      </c>
      <c r="D5" s="71">
        <v>21327</v>
      </c>
      <c r="E5" s="71">
        <v>67746</v>
      </c>
      <c r="F5" s="71">
        <v>12088</v>
      </c>
      <c r="G5" s="71">
        <v>93200</v>
      </c>
      <c r="H5" s="71">
        <v>35737</v>
      </c>
      <c r="I5" s="71">
        <v>40475</v>
      </c>
      <c r="J5" s="71">
        <v>31797</v>
      </c>
      <c r="K5" s="71">
        <v>38003</v>
      </c>
      <c r="L5" s="71">
        <v>25907</v>
      </c>
      <c r="M5" s="71">
        <v>31675</v>
      </c>
      <c r="N5" s="71">
        <v>21065</v>
      </c>
      <c r="O5" s="71">
        <v>59710</v>
      </c>
    </row>
    <row r="6" spans="1:15" ht="12.75" customHeight="1">
      <c r="A6" s="68"/>
      <c r="B6" s="74" t="s">
        <v>91</v>
      </c>
      <c r="C6" s="69">
        <v>4930136</v>
      </c>
      <c r="D6" s="69">
        <v>410845</v>
      </c>
      <c r="E6" s="69">
        <v>410845</v>
      </c>
      <c r="F6" s="69">
        <v>410845</v>
      </c>
      <c r="G6" s="69">
        <v>410845</v>
      </c>
      <c r="H6" s="69">
        <v>410845</v>
      </c>
      <c r="I6" s="69">
        <v>410845</v>
      </c>
      <c r="J6" s="69">
        <v>410845</v>
      </c>
      <c r="K6" s="69">
        <v>410845</v>
      </c>
      <c r="L6" s="69">
        <v>410845</v>
      </c>
      <c r="M6" s="69">
        <v>410845</v>
      </c>
      <c r="N6" s="69">
        <v>410845</v>
      </c>
      <c r="O6" s="69">
        <v>410841</v>
      </c>
    </row>
    <row r="7" spans="1:15" ht="12.75" customHeight="1">
      <c r="A7" s="70"/>
      <c r="B7" s="75" t="s">
        <v>21</v>
      </c>
      <c r="C7" s="71">
        <v>4930136</v>
      </c>
      <c r="D7" s="71">
        <v>410845</v>
      </c>
      <c r="E7" s="71">
        <v>410845</v>
      </c>
      <c r="F7" s="71">
        <v>410845</v>
      </c>
      <c r="G7" s="71">
        <v>410845</v>
      </c>
      <c r="H7" s="71">
        <v>410845</v>
      </c>
      <c r="I7" s="71">
        <v>410845</v>
      </c>
      <c r="J7" s="71">
        <v>410845</v>
      </c>
      <c r="K7" s="71">
        <v>410845</v>
      </c>
      <c r="L7" s="71">
        <v>410845</v>
      </c>
      <c r="M7" s="71">
        <v>410845</v>
      </c>
      <c r="N7" s="71">
        <v>410845</v>
      </c>
      <c r="O7" s="71">
        <v>410841</v>
      </c>
    </row>
    <row r="8" spans="1:15" ht="12.75" customHeight="1">
      <c r="A8" s="68"/>
      <c r="B8" s="74" t="s">
        <v>92</v>
      </c>
      <c r="C8" s="69">
        <v>82481</v>
      </c>
      <c r="D8" s="69">
        <v>11536</v>
      </c>
      <c r="E8" s="69">
        <v>64</v>
      </c>
      <c r="F8" s="69">
        <v>873</v>
      </c>
      <c r="G8" s="69">
        <v>18506</v>
      </c>
      <c r="H8" s="69"/>
      <c r="I8" s="69">
        <v>159</v>
      </c>
      <c r="J8" s="69">
        <v>36423</v>
      </c>
      <c r="K8" s="69"/>
      <c r="L8" s="69"/>
      <c r="M8" s="69">
        <v>14643</v>
      </c>
      <c r="N8" s="69">
        <v>191</v>
      </c>
      <c r="O8" s="69">
        <v>86</v>
      </c>
    </row>
    <row r="9" spans="1:15" ht="12.75" customHeight="1">
      <c r="A9" s="70"/>
      <c r="B9" s="75" t="s">
        <v>65</v>
      </c>
      <c r="C9" s="71">
        <v>82481</v>
      </c>
      <c r="D9" s="71">
        <v>11536</v>
      </c>
      <c r="E9" s="71">
        <v>64</v>
      </c>
      <c r="F9" s="71">
        <v>873</v>
      </c>
      <c r="G9" s="71">
        <v>18506</v>
      </c>
      <c r="H9" s="71"/>
      <c r="I9" s="71">
        <v>159</v>
      </c>
      <c r="J9" s="71">
        <v>36423</v>
      </c>
      <c r="K9" s="71"/>
      <c r="L9" s="71"/>
      <c r="M9" s="71">
        <v>14643</v>
      </c>
      <c r="N9" s="71">
        <v>191</v>
      </c>
      <c r="O9" s="71">
        <v>86</v>
      </c>
    </row>
    <row r="10" spans="1:15" ht="12.75" customHeight="1">
      <c r="A10" s="68"/>
      <c r="B10" s="74" t="s">
        <v>93</v>
      </c>
      <c r="C10" s="69">
        <v>49521</v>
      </c>
      <c r="D10" s="69">
        <v>679</v>
      </c>
      <c r="E10" s="69"/>
      <c r="F10" s="69"/>
      <c r="G10" s="69">
        <v>575</v>
      </c>
      <c r="H10" s="69"/>
      <c r="I10" s="69"/>
      <c r="J10" s="69">
        <v>684</v>
      </c>
      <c r="K10" s="69"/>
      <c r="L10" s="69"/>
      <c r="M10" s="69">
        <v>389</v>
      </c>
      <c r="N10" s="69"/>
      <c r="O10" s="69">
        <v>47194</v>
      </c>
    </row>
    <row r="11" spans="1:15" ht="12.75" customHeight="1">
      <c r="A11" s="68"/>
      <c r="B11" s="74" t="s">
        <v>94</v>
      </c>
      <c r="C11" s="69">
        <v>298971</v>
      </c>
      <c r="D11" s="69">
        <v>24523</v>
      </c>
      <c r="E11" s="69">
        <v>24523</v>
      </c>
      <c r="F11" s="69">
        <v>24523</v>
      </c>
      <c r="G11" s="69">
        <v>24523</v>
      </c>
      <c r="H11" s="69">
        <v>24523</v>
      </c>
      <c r="I11" s="69">
        <v>24523</v>
      </c>
      <c r="J11" s="69">
        <v>24523</v>
      </c>
      <c r="K11" s="69">
        <v>24523</v>
      </c>
      <c r="L11" s="69">
        <v>24523</v>
      </c>
      <c r="M11" s="69">
        <v>26088</v>
      </c>
      <c r="N11" s="69">
        <v>26088</v>
      </c>
      <c r="O11" s="69">
        <v>26088</v>
      </c>
    </row>
    <row r="12" spans="1:15" ht="12.75" customHeight="1">
      <c r="A12" s="68"/>
      <c r="B12" s="74" t="s">
        <v>95</v>
      </c>
      <c r="C12" s="69">
        <v>267456</v>
      </c>
      <c r="D12" s="69">
        <v>22288</v>
      </c>
      <c r="E12" s="69">
        <v>22288</v>
      </c>
      <c r="F12" s="69">
        <v>22288</v>
      </c>
      <c r="G12" s="69">
        <v>22288</v>
      </c>
      <c r="H12" s="69">
        <v>22288</v>
      </c>
      <c r="I12" s="69">
        <v>22288</v>
      </c>
      <c r="J12" s="69">
        <v>22288</v>
      </c>
      <c r="K12" s="69">
        <v>22288</v>
      </c>
      <c r="L12" s="69">
        <v>22288</v>
      </c>
      <c r="M12" s="69">
        <v>22288</v>
      </c>
      <c r="N12" s="69">
        <v>22288</v>
      </c>
      <c r="O12" s="69">
        <v>22288</v>
      </c>
    </row>
    <row r="13" spans="1:15" ht="12.75" customHeight="1">
      <c r="A13" s="68"/>
      <c r="B13" s="74" t="s">
        <v>96</v>
      </c>
      <c r="C13" s="69">
        <v>185868</v>
      </c>
      <c r="D13" s="69">
        <v>15489</v>
      </c>
      <c r="E13" s="69">
        <v>15489</v>
      </c>
      <c r="F13" s="69">
        <v>15489</v>
      </c>
      <c r="G13" s="69">
        <v>15489</v>
      </c>
      <c r="H13" s="69">
        <v>15489</v>
      </c>
      <c r="I13" s="69">
        <v>15489</v>
      </c>
      <c r="J13" s="69">
        <v>15489</v>
      </c>
      <c r="K13" s="69">
        <v>15489</v>
      </c>
      <c r="L13" s="69">
        <v>15489</v>
      </c>
      <c r="M13" s="69">
        <v>15489</v>
      </c>
      <c r="N13" s="69">
        <v>15489</v>
      </c>
      <c r="O13" s="69">
        <v>15489</v>
      </c>
    </row>
    <row r="14" spans="1:15" ht="12.75" customHeight="1">
      <c r="A14" s="70"/>
      <c r="B14" s="75" t="s">
        <v>83</v>
      </c>
      <c r="C14" s="71">
        <v>801816</v>
      </c>
      <c r="D14" s="71">
        <v>62979</v>
      </c>
      <c r="E14" s="71">
        <v>62300</v>
      </c>
      <c r="F14" s="71">
        <v>62300</v>
      </c>
      <c r="G14" s="71">
        <v>62875</v>
      </c>
      <c r="H14" s="71">
        <v>62300</v>
      </c>
      <c r="I14" s="71">
        <v>62300</v>
      </c>
      <c r="J14" s="71">
        <v>62984</v>
      </c>
      <c r="K14" s="71">
        <v>62300</v>
      </c>
      <c r="L14" s="71">
        <v>62300</v>
      </c>
      <c r="M14" s="71">
        <v>64254</v>
      </c>
      <c r="N14" s="71">
        <v>63865</v>
      </c>
      <c r="O14" s="71">
        <v>111059</v>
      </c>
    </row>
    <row r="15" spans="1:15" ht="12.75" customHeight="1">
      <c r="A15" s="70"/>
      <c r="B15" s="75" t="s">
        <v>4</v>
      </c>
      <c r="C15" s="71">
        <v>6293163</v>
      </c>
      <c r="D15" s="71">
        <v>506687</v>
      </c>
      <c r="E15" s="71">
        <v>540955</v>
      </c>
      <c r="F15" s="71">
        <v>486106</v>
      </c>
      <c r="G15" s="71">
        <v>585426</v>
      </c>
      <c r="H15" s="71">
        <v>508882</v>
      </c>
      <c r="I15" s="71">
        <v>513779</v>
      </c>
      <c r="J15" s="71">
        <v>542049</v>
      </c>
      <c r="K15" s="71">
        <v>511148</v>
      </c>
      <c r="L15" s="71">
        <v>499052</v>
      </c>
      <c r="M15" s="71">
        <v>521417</v>
      </c>
      <c r="N15" s="71">
        <v>495966</v>
      </c>
      <c r="O15" s="71">
        <v>581696</v>
      </c>
    </row>
    <row r="16" spans="1:15" ht="12.75" customHeight="1">
      <c r="A16" s="68" t="s">
        <v>97</v>
      </c>
      <c r="B16" s="72" t="s">
        <v>90</v>
      </c>
      <c r="C16" s="69">
        <v>6858997</v>
      </c>
      <c r="D16" s="69">
        <v>571583</v>
      </c>
      <c r="E16" s="69">
        <v>571583</v>
      </c>
      <c r="F16" s="69">
        <v>571583</v>
      </c>
      <c r="G16" s="69">
        <v>571583</v>
      </c>
      <c r="H16" s="69">
        <v>571583</v>
      </c>
      <c r="I16" s="69">
        <v>571583</v>
      </c>
      <c r="J16" s="69">
        <v>571583</v>
      </c>
      <c r="K16" s="69">
        <v>571583</v>
      </c>
      <c r="L16" s="69">
        <v>571583</v>
      </c>
      <c r="M16" s="69">
        <v>571583</v>
      </c>
      <c r="N16" s="69">
        <v>571583</v>
      </c>
      <c r="O16" s="69">
        <v>571584</v>
      </c>
    </row>
    <row r="17" spans="1:15" ht="12.75" customHeight="1">
      <c r="A17" s="70"/>
      <c r="B17" s="73" t="s">
        <v>20</v>
      </c>
      <c r="C17" s="71">
        <v>6858997</v>
      </c>
      <c r="D17" s="71">
        <v>571583</v>
      </c>
      <c r="E17" s="71">
        <v>571583</v>
      </c>
      <c r="F17" s="71">
        <v>571583</v>
      </c>
      <c r="G17" s="71">
        <v>571583</v>
      </c>
      <c r="H17" s="71">
        <v>571583</v>
      </c>
      <c r="I17" s="71">
        <v>571583</v>
      </c>
      <c r="J17" s="71">
        <v>571583</v>
      </c>
      <c r="K17" s="71">
        <v>571583</v>
      </c>
      <c r="L17" s="71">
        <v>571583</v>
      </c>
      <c r="M17" s="71">
        <v>571583</v>
      </c>
      <c r="N17" s="71">
        <v>571583</v>
      </c>
      <c r="O17" s="71">
        <v>571584</v>
      </c>
    </row>
    <row r="18" spans="1:15" ht="12.75" customHeight="1">
      <c r="A18" s="68"/>
      <c r="B18" s="72" t="s">
        <v>91</v>
      </c>
      <c r="C18" s="69">
        <v>1440300</v>
      </c>
      <c r="D18" s="69">
        <v>113200</v>
      </c>
      <c r="E18" s="69">
        <v>113200</v>
      </c>
      <c r="F18" s="69">
        <v>113200</v>
      </c>
      <c r="G18" s="69">
        <v>122300</v>
      </c>
      <c r="H18" s="69">
        <v>122300</v>
      </c>
      <c r="I18" s="69">
        <v>122300</v>
      </c>
      <c r="J18" s="69">
        <v>122300</v>
      </c>
      <c r="K18" s="69">
        <v>122300</v>
      </c>
      <c r="L18" s="69">
        <v>122300</v>
      </c>
      <c r="M18" s="69">
        <v>122300</v>
      </c>
      <c r="N18" s="69">
        <v>122300</v>
      </c>
      <c r="O18" s="69">
        <v>122300</v>
      </c>
    </row>
    <row r="19" spans="1:15" ht="12.75" customHeight="1">
      <c r="A19" s="70"/>
      <c r="B19" s="73" t="s">
        <v>21</v>
      </c>
      <c r="C19" s="71">
        <v>1440300</v>
      </c>
      <c r="D19" s="71">
        <v>113200</v>
      </c>
      <c r="E19" s="71">
        <v>113200</v>
      </c>
      <c r="F19" s="71">
        <v>113200</v>
      </c>
      <c r="G19" s="71">
        <v>122300</v>
      </c>
      <c r="H19" s="71">
        <v>122300</v>
      </c>
      <c r="I19" s="71">
        <v>122300</v>
      </c>
      <c r="J19" s="71">
        <v>122300</v>
      </c>
      <c r="K19" s="71">
        <v>122300</v>
      </c>
      <c r="L19" s="71">
        <v>122300</v>
      </c>
      <c r="M19" s="71">
        <v>122300</v>
      </c>
      <c r="N19" s="71">
        <v>122300</v>
      </c>
      <c r="O19" s="71">
        <v>122300</v>
      </c>
    </row>
    <row r="20" spans="1:15" ht="12.75" customHeight="1">
      <c r="A20" s="68"/>
      <c r="B20" s="72" t="s">
        <v>98</v>
      </c>
      <c r="C20" s="69">
        <v>0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>
        <v>0</v>
      </c>
    </row>
    <row r="21" spans="1:15" ht="12.75" customHeight="1">
      <c r="A21" s="68"/>
      <c r="B21" s="72" t="s">
        <v>93</v>
      </c>
      <c r="C21" s="69">
        <v>0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>
        <v>0</v>
      </c>
    </row>
    <row r="22" spans="1:15" ht="12.75" customHeight="1">
      <c r="A22" s="68"/>
      <c r="B22" s="72" t="s">
        <v>95</v>
      </c>
      <c r="C22" s="69">
        <v>-5134632</v>
      </c>
      <c r="D22" s="69">
        <v>-427886</v>
      </c>
      <c r="E22" s="69">
        <v>-427886</v>
      </c>
      <c r="F22" s="69">
        <v>-427886</v>
      </c>
      <c r="G22" s="69">
        <v>-427886</v>
      </c>
      <c r="H22" s="69">
        <v>-427886</v>
      </c>
      <c r="I22" s="69">
        <v>-427886</v>
      </c>
      <c r="J22" s="69">
        <v>-427886</v>
      </c>
      <c r="K22" s="69">
        <v>-427886</v>
      </c>
      <c r="L22" s="69">
        <v>-427886</v>
      </c>
      <c r="M22" s="69">
        <v>-427886</v>
      </c>
      <c r="N22" s="69">
        <v>-427886</v>
      </c>
      <c r="O22" s="69">
        <v>-427886</v>
      </c>
    </row>
    <row r="23" spans="1:15" ht="12.75" customHeight="1">
      <c r="A23" s="68"/>
      <c r="B23" s="72" t="s">
        <v>96</v>
      </c>
      <c r="C23" s="69">
        <v>-3275904</v>
      </c>
      <c r="D23" s="69">
        <v>-272992</v>
      </c>
      <c r="E23" s="69">
        <v>-272992</v>
      </c>
      <c r="F23" s="69">
        <v>-272992</v>
      </c>
      <c r="G23" s="69">
        <v>-272992</v>
      </c>
      <c r="H23" s="69">
        <v>-272992</v>
      </c>
      <c r="I23" s="69">
        <v>-272992</v>
      </c>
      <c r="J23" s="69">
        <v>-272992</v>
      </c>
      <c r="K23" s="69">
        <v>-272992</v>
      </c>
      <c r="L23" s="69">
        <v>-272992</v>
      </c>
      <c r="M23" s="69">
        <v>-272992</v>
      </c>
      <c r="N23" s="69">
        <v>-272992</v>
      </c>
      <c r="O23" s="69">
        <v>-272992</v>
      </c>
    </row>
    <row r="24" spans="1:15" ht="12.75" customHeight="1">
      <c r="A24" s="70"/>
      <c r="B24" s="73" t="s">
        <v>83</v>
      </c>
      <c r="C24" s="71">
        <v>-3410536</v>
      </c>
      <c r="D24" s="71">
        <v>-700878</v>
      </c>
      <c r="E24" s="71">
        <v>-700878</v>
      </c>
      <c r="F24" s="71">
        <v>-700878</v>
      </c>
      <c r="G24" s="71">
        <v>-700878</v>
      </c>
      <c r="H24" s="71">
        <v>-700878</v>
      </c>
      <c r="I24" s="71">
        <v>-700878</v>
      </c>
      <c r="J24" s="71">
        <v>-700878</v>
      </c>
      <c r="K24" s="71">
        <v>-700878</v>
      </c>
      <c r="L24" s="71">
        <v>-700878</v>
      </c>
      <c r="M24" s="71">
        <v>-700878</v>
      </c>
      <c r="N24" s="71">
        <v>-700878</v>
      </c>
      <c r="O24" s="71">
        <v>-700878</v>
      </c>
    </row>
    <row r="25" spans="1:15" ht="12.75" customHeight="1">
      <c r="A25" s="70"/>
      <c r="B25" s="73" t="s">
        <v>4</v>
      </c>
      <c r="C25" s="71">
        <v>4888761</v>
      </c>
      <c r="D25" s="71">
        <v>-16095</v>
      </c>
      <c r="E25" s="71">
        <v>-16095</v>
      </c>
      <c r="F25" s="71">
        <v>-16095</v>
      </c>
      <c r="G25" s="71">
        <v>-6995</v>
      </c>
      <c r="H25" s="71">
        <v>-6995</v>
      </c>
      <c r="I25" s="71">
        <v>-6995</v>
      </c>
      <c r="J25" s="71">
        <v>-6995</v>
      </c>
      <c r="K25" s="71">
        <v>-6995</v>
      </c>
      <c r="L25" s="71">
        <v>-6995</v>
      </c>
      <c r="M25" s="71">
        <v>-6995</v>
      </c>
      <c r="N25" s="71">
        <v>-6995</v>
      </c>
      <c r="O25" s="71">
        <v>-6995</v>
      </c>
    </row>
    <row r="28" spans="1:15">
      <c r="B28" s="76" t="s">
        <v>82</v>
      </c>
    </row>
    <row r="29" spans="1:15">
      <c r="B29" s="77" t="s">
        <v>97</v>
      </c>
    </row>
    <row r="33" spans="1:16">
      <c r="C33" s="97" t="s">
        <v>130</v>
      </c>
      <c r="E33" s="66" t="s">
        <v>136</v>
      </c>
      <c r="F33" s="66" t="s">
        <v>137</v>
      </c>
      <c r="G33" s="66" t="s">
        <v>138</v>
      </c>
      <c r="H33" s="66" t="s">
        <v>139</v>
      </c>
      <c r="I33" s="66" t="s">
        <v>140</v>
      </c>
      <c r="J33" s="66" t="s">
        <v>141</v>
      </c>
      <c r="K33" s="66" t="s">
        <v>142</v>
      </c>
      <c r="L33" s="66" t="s">
        <v>15</v>
      </c>
      <c r="M33" s="66" t="s">
        <v>143</v>
      </c>
      <c r="N33" s="66" t="s">
        <v>144</v>
      </c>
      <c r="O33" s="66" t="s">
        <v>145</v>
      </c>
      <c r="P33" s="66" t="s">
        <v>146</v>
      </c>
    </row>
    <row r="34" spans="1:16">
      <c r="C34" s="54">
        <v>91</v>
      </c>
      <c r="D34" s="98">
        <f>SUM(E34:P34)</f>
        <v>277608</v>
      </c>
      <c r="E34" s="114">
        <v>7273</v>
      </c>
      <c r="F34" s="115">
        <v>21504</v>
      </c>
      <c r="G34" s="114">
        <v>6380</v>
      </c>
      <c r="H34" s="114">
        <v>106186</v>
      </c>
      <c r="I34" s="115">
        <v>18781</v>
      </c>
      <c r="J34" s="116">
        <v>8060</v>
      </c>
      <c r="K34" s="110">
        <v>20809</v>
      </c>
      <c r="L34" s="110">
        <v>32930</v>
      </c>
      <c r="M34" s="111">
        <v>12031</v>
      </c>
      <c r="N34" s="112">
        <v>11661</v>
      </c>
      <c r="O34" s="113">
        <v>8544</v>
      </c>
      <c r="P34" s="112">
        <v>23449</v>
      </c>
    </row>
    <row r="35" spans="1:16">
      <c r="A35" s="66">
        <v>0.49780000000000002</v>
      </c>
      <c r="B35" s="39"/>
      <c r="C35" s="54">
        <v>9</v>
      </c>
      <c r="D35" s="98">
        <f>SUM(E35:P35)</f>
        <v>339232</v>
      </c>
      <c r="E35" s="99">
        <v>17672</v>
      </c>
      <c r="F35" s="100">
        <v>56940</v>
      </c>
      <c r="G35" s="99">
        <v>8882</v>
      </c>
      <c r="H35" s="99">
        <v>39842</v>
      </c>
      <c r="I35" s="100">
        <v>26300</v>
      </c>
      <c r="J35" s="101">
        <v>36425</v>
      </c>
      <c r="K35" s="102">
        <v>21340</v>
      </c>
      <c r="L35" s="102">
        <v>21456</v>
      </c>
      <c r="M35" s="99">
        <v>19861</v>
      </c>
      <c r="N35" s="99">
        <v>25815</v>
      </c>
      <c r="O35" s="100">
        <v>16772</v>
      </c>
      <c r="P35" s="99">
        <v>47927</v>
      </c>
    </row>
    <row r="36" spans="1:16">
      <c r="A36" s="66">
        <v>0.41909999999999997</v>
      </c>
      <c r="B36" s="39"/>
      <c r="C36" s="54">
        <v>93</v>
      </c>
      <c r="D36" s="98">
        <f>SUM(E36:P36)</f>
        <v>235844</v>
      </c>
      <c r="E36" s="99">
        <v>11776</v>
      </c>
      <c r="F36" s="100">
        <v>37768</v>
      </c>
      <c r="G36" s="99">
        <v>6601</v>
      </c>
      <c r="H36" s="99">
        <v>27210</v>
      </c>
      <c r="I36" s="100">
        <v>18663</v>
      </c>
      <c r="J36" s="101">
        <v>24475</v>
      </c>
      <c r="K36" s="102">
        <v>16750</v>
      </c>
      <c r="L36" s="102">
        <v>16125</v>
      </c>
      <c r="M36" s="99">
        <v>14751</v>
      </c>
      <c r="N36" s="99">
        <v>17235</v>
      </c>
      <c r="O36" s="100">
        <v>11522</v>
      </c>
      <c r="P36" s="99">
        <v>32968</v>
      </c>
    </row>
    <row r="37" spans="1:16">
      <c r="A37" s="66">
        <v>8.3100000000000007E-2</v>
      </c>
      <c r="B37" s="39"/>
      <c r="C37" s="54">
        <v>96</v>
      </c>
      <c r="D37" s="104">
        <f>SUM(E37:P37)</f>
        <v>68154</v>
      </c>
      <c r="E37" s="105">
        <v>3776</v>
      </c>
      <c r="F37" s="106">
        <v>10972</v>
      </c>
      <c r="G37" s="105">
        <v>1728</v>
      </c>
      <c r="H37" s="105">
        <v>8078</v>
      </c>
      <c r="I37" s="106">
        <v>6097</v>
      </c>
      <c r="J37" s="107">
        <v>7892</v>
      </c>
      <c r="K37" s="108">
        <v>4691</v>
      </c>
      <c r="L37" s="108">
        <v>4674</v>
      </c>
      <c r="M37" s="105">
        <v>3069</v>
      </c>
      <c r="N37" s="105">
        <v>4556</v>
      </c>
      <c r="O37" s="106">
        <v>3152</v>
      </c>
      <c r="P37" s="105">
        <v>9469</v>
      </c>
    </row>
    <row r="38" spans="1:16">
      <c r="C38" s="54"/>
      <c r="D38" s="98">
        <f>SUM(D34:D37)</f>
        <v>920838</v>
      </c>
      <c r="E38" s="99">
        <f>SUM(E34:E37)</f>
        <v>40497</v>
      </c>
      <c r="F38" s="100">
        <f t="shared" ref="F38:P38" si="0">SUM(F34:F37)</f>
        <v>127184</v>
      </c>
      <c r="G38" s="99">
        <f t="shared" si="0"/>
        <v>23591</v>
      </c>
      <c r="H38" s="99">
        <f t="shared" si="0"/>
        <v>181316</v>
      </c>
      <c r="I38" s="100">
        <f t="shared" si="0"/>
        <v>69841</v>
      </c>
      <c r="J38" s="101">
        <f t="shared" si="0"/>
        <v>76852</v>
      </c>
      <c r="K38" s="102">
        <f t="shared" si="0"/>
        <v>63590</v>
      </c>
      <c r="L38" s="102">
        <f t="shared" si="0"/>
        <v>75185</v>
      </c>
      <c r="M38" s="103">
        <f t="shared" si="0"/>
        <v>49712</v>
      </c>
      <c r="N38" s="99">
        <f t="shared" si="0"/>
        <v>59267</v>
      </c>
      <c r="O38" s="100">
        <f t="shared" si="0"/>
        <v>39990</v>
      </c>
      <c r="P38" s="99">
        <f t="shared" si="0"/>
        <v>113813</v>
      </c>
    </row>
    <row r="39" spans="1:16">
      <c r="C39" s="54"/>
      <c r="D39" s="98"/>
      <c r="E39" s="99"/>
      <c r="F39" s="100"/>
      <c r="G39" s="99"/>
      <c r="H39" s="99"/>
      <c r="I39" s="100"/>
      <c r="J39" s="101"/>
      <c r="K39" s="102"/>
      <c r="L39" s="102"/>
      <c r="M39" s="99"/>
      <c r="N39" s="99"/>
      <c r="O39" s="100"/>
      <c r="P39" s="99"/>
    </row>
    <row r="40" spans="1:16">
      <c r="C40" s="15" t="s">
        <v>131</v>
      </c>
      <c r="D40" s="98"/>
      <c r="E40" s="99">
        <f t="shared" ref="E40:P40" si="1">ROUND(E34*$A$35,0)</f>
        <v>3620</v>
      </c>
      <c r="F40" s="99">
        <f t="shared" si="1"/>
        <v>10705</v>
      </c>
      <c r="G40" s="99">
        <f t="shared" si="1"/>
        <v>3176</v>
      </c>
      <c r="H40" s="99">
        <f t="shared" si="1"/>
        <v>52859</v>
      </c>
      <c r="I40" s="99">
        <f t="shared" si="1"/>
        <v>9349</v>
      </c>
      <c r="J40" s="99">
        <f t="shared" si="1"/>
        <v>4012</v>
      </c>
      <c r="K40" s="99">
        <f t="shared" si="1"/>
        <v>10359</v>
      </c>
      <c r="L40" s="99">
        <f t="shared" si="1"/>
        <v>16393</v>
      </c>
      <c r="M40" s="99">
        <f t="shared" si="1"/>
        <v>5989</v>
      </c>
      <c r="N40" s="99">
        <f t="shared" si="1"/>
        <v>5805</v>
      </c>
      <c r="O40" s="99">
        <f t="shared" si="1"/>
        <v>4253</v>
      </c>
      <c r="P40" s="99">
        <f t="shared" si="1"/>
        <v>11673</v>
      </c>
    </row>
    <row r="41" spans="1:16">
      <c r="C41" s="15" t="s">
        <v>132</v>
      </c>
      <c r="D41" s="98"/>
      <c r="E41" s="99">
        <f t="shared" ref="E41:P41" si="2">ROUND(E34*$A$36,0)</f>
        <v>3048</v>
      </c>
      <c r="F41" s="99">
        <f t="shared" si="2"/>
        <v>9012</v>
      </c>
      <c r="G41" s="99">
        <f t="shared" si="2"/>
        <v>2674</v>
      </c>
      <c r="H41" s="99">
        <f t="shared" si="2"/>
        <v>44503</v>
      </c>
      <c r="I41" s="99">
        <f t="shared" si="2"/>
        <v>7871</v>
      </c>
      <c r="J41" s="99">
        <f t="shared" si="2"/>
        <v>3378</v>
      </c>
      <c r="K41" s="99">
        <f t="shared" si="2"/>
        <v>8721</v>
      </c>
      <c r="L41" s="99">
        <f t="shared" si="2"/>
        <v>13801</v>
      </c>
      <c r="M41" s="99">
        <f t="shared" si="2"/>
        <v>5042</v>
      </c>
      <c r="N41" s="99">
        <f t="shared" si="2"/>
        <v>4887</v>
      </c>
      <c r="O41" s="99">
        <f t="shared" si="2"/>
        <v>3581</v>
      </c>
      <c r="P41" s="99">
        <f t="shared" si="2"/>
        <v>9827</v>
      </c>
    </row>
    <row r="42" spans="1:16">
      <c r="C42" s="15" t="s">
        <v>133</v>
      </c>
      <c r="D42" s="109"/>
      <c r="E42" s="105">
        <f t="shared" ref="E42:P42" si="3">ROUND(E34*$A$37,0)</f>
        <v>604</v>
      </c>
      <c r="F42" s="105">
        <f t="shared" si="3"/>
        <v>1787</v>
      </c>
      <c r="G42" s="105">
        <f t="shared" si="3"/>
        <v>530</v>
      </c>
      <c r="H42" s="105">
        <f t="shared" si="3"/>
        <v>8824</v>
      </c>
      <c r="I42" s="105">
        <f t="shared" si="3"/>
        <v>1561</v>
      </c>
      <c r="J42" s="105">
        <f t="shared" si="3"/>
        <v>670</v>
      </c>
      <c r="K42" s="105">
        <f t="shared" si="3"/>
        <v>1729</v>
      </c>
      <c r="L42" s="105">
        <f t="shared" si="3"/>
        <v>2736</v>
      </c>
      <c r="M42" s="105">
        <f t="shared" si="3"/>
        <v>1000</v>
      </c>
      <c r="N42" s="105">
        <f t="shared" si="3"/>
        <v>969</v>
      </c>
      <c r="O42" s="105">
        <f t="shared" si="3"/>
        <v>710</v>
      </c>
      <c r="P42" s="105">
        <f t="shared" si="3"/>
        <v>1949</v>
      </c>
    </row>
    <row r="43" spans="1:16">
      <c r="C43" s="54"/>
      <c r="D43" s="98">
        <f>SUM(E43:P43)</f>
        <v>277605</v>
      </c>
      <c r="E43" s="99">
        <f>SUM(E40:E42)</f>
        <v>7272</v>
      </c>
      <c r="F43" s="100">
        <f t="shared" ref="F43:O43" si="4">SUM(F40:F42)</f>
        <v>21504</v>
      </c>
      <c r="G43" s="99">
        <f t="shared" si="4"/>
        <v>6380</v>
      </c>
      <c r="H43" s="99">
        <f t="shared" si="4"/>
        <v>106186</v>
      </c>
      <c r="I43" s="100">
        <f t="shared" si="4"/>
        <v>18781</v>
      </c>
      <c r="J43" s="101">
        <f t="shared" si="4"/>
        <v>8060</v>
      </c>
      <c r="K43" s="102">
        <f t="shared" si="4"/>
        <v>20809</v>
      </c>
      <c r="L43" s="102">
        <f t="shared" si="4"/>
        <v>32930</v>
      </c>
      <c r="M43" s="99">
        <f t="shared" si="4"/>
        <v>12031</v>
      </c>
      <c r="N43" s="99">
        <f t="shared" si="4"/>
        <v>11661</v>
      </c>
      <c r="O43" s="100">
        <f t="shared" si="4"/>
        <v>8544</v>
      </c>
      <c r="P43" s="99">
        <f>SUM(P40:P42)-2</f>
        <v>23447</v>
      </c>
    </row>
    <row r="44" spans="1:16">
      <c r="C44" s="54"/>
      <c r="D44" s="98"/>
      <c r="E44" s="99"/>
      <c r="F44" s="100"/>
      <c r="G44" s="99"/>
      <c r="H44" s="99"/>
      <c r="I44" s="100"/>
      <c r="J44" s="101"/>
      <c r="K44" s="102"/>
      <c r="L44" s="102"/>
      <c r="M44" s="99"/>
      <c r="N44" s="99"/>
      <c r="O44" s="100"/>
      <c r="P44" s="99"/>
    </row>
    <row r="45" spans="1:16">
      <c r="C45" s="15" t="s">
        <v>134</v>
      </c>
      <c r="D45" s="98"/>
      <c r="E45" s="99"/>
      <c r="F45" s="100"/>
      <c r="G45" s="99"/>
      <c r="H45" s="99"/>
      <c r="I45" s="100"/>
      <c r="J45" s="101"/>
      <c r="K45" s="102"/>
      <c r="L45" s="102"/>
      <c r="M45" s="99"/>
      <c r="N45" s="99"/>
      <c r="O45" s="100"/>
      <c r="P45" s="99"/>
    </row>
    <row r="46" spans="1:16">
      <c r="C46" s="54">
        <v>9</v>
      </c>
      <c r="D46" s="98">
        <f>SUM(E46:P46)</f>
        <v>477425</v>
      </c>
      <c r="E46" s="99">
        <f>E35+E40</f>
        <v>21292</v>
      </c>
      <c r="F46" s="100">
        <f t="shared" ref="F46:P46" si="5">F35+F40</f>
        <v>67645</v>
      </c>
      <c r="G46" s="99">
        <f t="shared" si="5"/>
        <v>12058</v>
      </c>
      <c r="H46" s="99">
        <f t="shared" si="5"/>
        <v>92701</v>
      </c>
      <c r="I46" s="100">
        <f t="shared" si="5"/>
        <v>35649</v>
      </c>
      <c r="J46" s="101">
        <f t="shared" si="5"/>
        <v>40437</v>
      </c>
      <c r="K46" s="102">
        <f t="shared" si="5"/>
        <v>31699</v>
      </c>
      <c r="L46" s="102">
        <f t="shared" si="5"/>
        <v>37849</v>
      </c>
      <c r="M46" s="103">
        <f t="shared" si="5"/>
        <v>25850</v>
      </c>
      <c r="N46" s="99">
        <f t="shared" si="5"/>
        <v>31620</v>
      </c>
      <c r="O46" s="100">
        <f t="shared" si="5"/>
        <v>21025</v>
      </c>
      <c r="P46" s="99">
        <f t="shared" si="5"/>
        <v>59600</v>
      </c>
    </row>
    <row r="47" spans="1:16">
      <c r="C47" s="54">
        <v>93</v>
      </c>
      <c r="D47" s="98">
        <f>SUM(E47:P47)</f>
        <v>352189</v>
      </c>
      <c r="E47" s="99">
        <f t="shared" ref="E47:P48" si="6">E36+E41</f>
        <v>14824</v>
      </c>
      <c r="F47" s="100">
        <f t="shared" si="6"/>
        <v>46780</v>
      </c>
      <c r="G47" s="99">
        <f t="shared" si="6"/>
        <v>9275</v>
      </c>
      <c r="H47" s="99">
        <f t="shared" si="6"/>
        <v>71713</v>
      </c>
      <c r="I47" s="100">
        <f t="shared" si="6"/>
        <v>26534</v>
      </c>
      <c r="J47" s="101">
        <f t="shared" si="6"/>
        <v>27853</v>
      </c>
      <c r="K47" s="102">
        <f t="shared" si="6"/>
        <v>25471</v>
      </c>
      <c r="L47" s="102">
        <f t="shared" si="6"/>
        <v>29926</v>
      </c>
      <c r="M47" s="99">
        <f t="shared" si="6"/>
        <v>19793</v>
      </c>
      <c r="N47" s="99">
        <f t="shared" si="6"/>
        <v>22122</v>
      </c>
      <c r="O47" s="100">
        <f t="shared" si="6"/>
        <v>15103</v>
      </c>
      <c r="P47" s="99">
        <f t="shared" si="6"/>
        <v>42795</v>
      </c>
    </row>
    <row r="48" spans="1:16">
      <c r="C48" s="54">
        <v>96</v>
      </c>
      <c r="D48" s="109">
        <f>SUM(E48:P48)</f>
        <v>91223</v>
      </c>
      <c r="E48" s="105">
        <f t="shared" si="6"/>
        <v>4380</v>
      </c>
      <c r="F48" s="106">
        <f t="shared" si="6"/>
        <v>12759</v>
      </c>
      <c r="G48" s="105">
        <f t="shared" si="6"/>
        <v>2258</v>
      </c>
      <c r="H48" s="105">
        <f t="shared" si="6"/>
        <v>16902</v>
      </c>
      <c r="I48" s="106">
        <f t="shared" si="6"/>
        <v>7658</v>
      </c>
      <c r="J48" s="107">
        <f t="shared" si="6"/>
        <v>8562</v>
      </c>
      <c r="K48" s="108">
        <f t="shared" si="6"/>
        <v>6420</v>
      </c>
      <c r="L48" s="108">
        <f t="shared" si="6"/>
        <v>7410</v>
      </c>
      <c r="M48" s="105">
        <f t="shared" si="6"/>
        <v>4069</v>
      </c>
      <c r="N48" s="105">
        <f t="shared" si="6"/>
        <v>5525</v>
      </c>
      <c r="O48" s="106">
        <f t="shared" si="6"/>
        <v>3862</v>
      </c>
      <c r="P48" s="105">
        <f t="shared" si="6"/>
        <v>11418</v>
      </c>
    </row>
    <row r="49" spans="3:16">
      <c r="C49" s="54"/>
      <c r="D49" s="98">
        <f>SUM(D46:D48)</f>
        <v>920837</v>
      </c>
      <c r="E49" s="99">
        <f>SUM(E46:E48)</f>
        <v>40496</v>
      </c>
      <c r="F49" s="100">
        <f t="shared" ref="F49:P49" si="7">SUM(F46:F48)</f>
        <v>127184</v>
      </c>
      <c r="G49" s="99">
        <f t="shared" si="7"/>
        <v>23591</v>
      </c>
      <c r="H49" s="99">
        <f t="shared" si="7"/>
        <v>181316</v>
      </c>
      <c r="I49" s="100">
        <f t="shared" si="7"/>
        <v>69841</v>
      </c>
      <c r="J49" s="101">
        <f t="shared" si="7"/>
        <v>76852</v>
      </c>
      <c r="K49" s="102">
        <f t="shared" si="7"/>
        <v>63590</v>
      </c>
      <c r="L49" s="102">
        <f t="shared" si="7"/>
        <v>75185</v>
      </c>
      <c r="M49" s="99">
        <f t="shared" si="7"/>
        <v>49712</v>
      </c>
      <c r="N49" s="99">
        <f t="shared" si="7"/>
        <v>59267</v>
      </c>
      <c r="O49" s="100">
        <f t="shared" si="7"/>
        <v>39990</v>
      </c>
      <c r="P49" s="99">
        <f t="shared" si="7"/>
        <v>113813</v>
      </c>
    </row>
  </sheetData>
  <pageMargins left="1.02" right="0.34" top="0.55000000000000004" bottom="0.59" header="0.3" footer="0.19"/>
  <pageSetup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3"/>
  <sheetViews>
    <sheetView view="pageBreakPreview" zoomScale="90" zoomScaleNormal="90" zoomScaleSheetLayoutView="90" workbookViewId="0">
      <pane ySplit="3" topLeftCell="A4" activePane="bottomLeft" state="frozen"/>
      <selection pane="bottomLeft"/>
    </sheetView>
  </sheetViews>
  <sheetFormatPr defaultRowHeight="12.75"/>
  <cols>
    <col min="1" max="1" width="6" bestFit="1" customWidth="1"/>
    <col min="2" max="2" width="42.28515625" customWidth="1"/>
    <col min="3" max="4" width="11.7109375" customWidth="1"/>
    <col min="5" max="9" width="11.7109375" bestFit="1" customWidth="1"/>
    <col min="10" max="17" width="12.42578125" bestFit="1" customWidth="1"/>
    <col min="18" max="18" width="9.5703125" bestFit="1" customWidth="1"/>
    <col min="19" max="19" width="10.85546875" customWidth="1"/>
    <col min="20" max="20" width="3.42578125" customWidth="1"/>
  </cols>
  <sheetData>
    <row r="1" spans="1:22">
      <c r="C1" s="32" t="s">
        <v>68</v>
      </c>
      <c r="D1" s="32" t="s">
        <v>68</v>
      </c>
      <c r="E1" s="32" t="s">
        <v>68</v>
      </c>
      <c r="F1" s="32" t="s">
        <v>68</v>
      </c>
      <c r="G1" s="32" t="s">
        <v>68</v>
      </c>
      <c r="H1" s="32" t="s">
        <v>68</v>
      </c>
      <c r="I1" s="56" t="s">
        <v>81</v>
      </c>
      <c r="J1" s="32" t="s">
        <v>69</v>
      </c>
      <c r="K1" s="32" t="s">
        <v>69</v>
      </c>
      <c r="L1" s="32" t="s">
        <v>69</v>
      </c>
      <c r="M1" s="32" t="s">
        <v>69</v>
      </c>
      <c r="N1" s="32" t="s">
        <v>69</v>
      </c>
      <c r="O1" s="32" t="s">
        <v>69</v>
      </c>
      <c r="P1" s="32" t="s">
        <v>69</v>
      </c>
      <c r="Q1" s="32" t="s">
        <v>69</v>
      </c>
      <c r="R1" s="32"/>
    </row>
    <row r="2" spans="1:22">
      <c r="C2" s="51" t="s">
        <v>85</v>
      </c>
      <c r="D2" s="51" t="s">
        <v>85</v>
      </c>
      <c r="E2" s="51" t="s">
        <v>85</v>
      </c>
      <c r="F2" s="51" t="s">
        <v>85</v>
      </c>
      <c r="G2" s="51" t="s">
        <v>85</v>
      </c>
      <c r="H2" s="51" t="s">
        <v>85</v>
      </c>
      <c r="I2" s="51" t="s">
        <v>85</v>
      </c>
      <c r="J2" s="51" t="s">
        <v>85</v>
      </c>
      <c r="K2" s="51" t="s">
        <v>85</v>
      </c>
      <c r="L2" s="46" t="s">
        <v>115</v>
      </c>
      <c r="M2" s="46" t="s">
        <v>115</v>
      </c>
      <c r="N2" s="46" t="s">
        <v>115</v>
      </c>
      <c r="O2" s="46" t="s">
        <v>115</v>
      </c>
      <c r="P2" s="46" t="s">
        <v>115</v>
      </c>
      <c r="Q2" s="46" t="s">
        <v>115</v>
      </c>
    </row>
    <row r="3" spans="1:22">
      <c r="C3" s="28" t="s">
        <v>11</v>
      </c>
      <c r="D3" s="28" t="s">
        <v>12</v>
      </c>
      <c r="E3" s="28" t="s">
        <v>13</v>
      </c>
      <c r="F3" s="28" t="s">
        <v>14</v>
      </c>
      <c r="G3" s="28" t="s">
        <v>15</v>
      </c>
      <c r="H3" s="28" t="s">
        <v>16</v>
      </c>
      <c r="I3" s="28" t="s">
        <v>17</v>
      </c>
      <c r="J3" s="28" t="s">
        <v>18</v>
      </c>
      <c r="K3" s="28" t="s">
        <v>19</v>
      </c>
      <c r="L3" s="28" t="s">
        <v>8</v>
      </c>
      <c r="M3" s="28" t="s">
        <v>9</v>
      </c>
      <c r="N3" s="28" t="s">
        <v>10</v>
      </c>
      <c r="O3" s="28" t="s">
        <v>11</v>
      </c>
      <c r="P3" s="28" t="s">
        <v>12</v>
      </c>
      <c r="Q3" s="28" t="s">
        <v>13</v>
      </c>
    </row>
    <row r="5" spans="1:22">
      <c r="A5" t="s">
        <v>54</v>
      </c>
      <c r="B5" t="s">
        <v>47</v>
      </c>
      <c r="C5" s="58">
        <f>'Div 2'!I11+'Div 2'!I14</f>
        <v>245589.08</v>
      </c>
      <c r="D5" s="58">
        <f>'Div 2'!J11+'Div 2'!J14</f>
        <v>242067.32</v>
      </c>
      <c r="E5" s="58">
        <f>'Div 2'!K11+'Div 2'!K14</f>
        <v>213654.24999999997</v>
      </c>
      <c r="F5" s="58">
        <f>'Div 2'!L11+'Div 2'!L14</f>
        <v>243911.03999999998</v>
      </c>
      <c r="G5" s="58">
        <f>'Div 2'!M11+'Div 2'!M14</f>
        <v>333707.56</v>
      </c>
      <c r="H5" s="58">
        <f>'Div 2'!N11+'Div 2'!N14</f>
        <v>217608.17</v>
      </c>
      <c r="I5" s="96">
        <f>-'2018 PlanIt Budget'!M$22*summary!$R5</f>
        <v>319095.51659698557</v>
      </c>
      <c r="J5" s="96">
        <f>-'2018 PlanIt Budget'!N$22*summary!$R5</f>
        <v>319095.51659698557</v>
      </c>
      <c r="K5" s="96">
        <f>-'2018 PlanIt Budget'!O$22*summary!$R5</f>
        <v>319095.51659698557</v>
      </c>
      <c r="L5" s="95">
        <f>-('2019 PlanIt Budget'!D$22*$R5)</f>
        <v>333299.79601866048</v>
      </c>
      <c r="M5" s="95">
        <f>-('2019 PlanIt Budget'!E$22*$R5)</f>
        <v>333299.79601866048</v>
      </c>
      <c r="N5" s="95">
        <f>-('2019 PlanIt Budget'!F$22*$R5)</f>
        <v>333299.79601866048</v>
      </c>
      <c r="O5" s="95">
        <f>-('2019 PlanIt Budget'!G$22*$R5)</f>
        <v>333299.79601866048</v>
      </c>
      <c r="P5" s="95">
        <f>-('2019 PlanIt Budget'!H$22*$R5)</f>
        <v>333299.79601866048</v>
      </c>
      <c r="Q5" s="95">
        <f>-('2019 PlanIt Budget'!I$22*$R5)</f>
        <v>333299.79601866048</v>
      </c>
      <c r="R5" s="40">
        <f>SUM(C5:H5)/SUM(C$5:H$8)</f>
        <v>0.74574890647739256</v>
      </c>
      <c r="S5" s="34"/>
      <c r="U5" s="94"/>
      <c r="V5" s="94"/>
    </row>
    <row r="6" spans="1:22">
      <c r="B6" t="s">
        <v>48</v>
      </c>
      <c r="C6" s="25">
        <f>'Div 2'!I12+'Div 2'!I15</f>
        <v>29755.010000000002</v>
      </c>
      <c r="D6" s="25">
        <f>'Div 2'!J12+'Div 2'!J15</f>
        <v>-631.25</v>
      </c>
      <c r="E6" s="25">
        <f>'Div 2'!K12+'Div 2'!K15</f>
        <v>-1029.44</v>
      </c>
      <c r="F6" s="25">
        <f>'Div 2'!L12+'Div 2'!L15</f>
        <v>75.769999999999982</v>
      </c>
      <c r="G6" s="25">
        <f>'Div 2'!M12+'Div 2'!M15</f>
        <v>694.58</v>
      </c>
      <c r="H6" s="25">
        <f>'Div 2'!N12+'Div 2'!N15</f>
        <v>158.74</v>
      </c>
      <c r="I6" s="96">
        <f>-'2018 PlanIt Budget'!M$22*summary!$R6</f>
        <v>6188.4453295903022</v>
      </c>
      <c r="J6" s="96">
        <f>-'2018 PlanIt Budget'!N$22*summary!$R6</f>
        <v>6188.4453295903022</v>
      </c>
      <c r="K6" s="96">
        <f>-'2018 PlanIt Budget'!O$22*summary!$R6</f>
        <v>6188.4453295903022</v>
      </c>
      <c r="L6" s="95">
        <f>-('2019 PlanIt Budget'!D$22*$R6)</f>
        <v>6463.9189795641423</v>
      </c>
      <c r="M6" s="95">
        <f>-('2019 PlanIt Budget'!E$22*$R6)</f>
        <v>6463.9189795641423</v>
      </c>
      <c r="N6" s="95">
        <f>-('2019 PlanIt Budget'!F$22*$R6)</f>
        <v>6463.9189795641423</v>
      </c>
      <c r="O6" s="95">
        <f>-('2019 PlanIt Budget'!G$22*$R6)</f>
        <v>6463.9189795641423</v>
      </c>
      <c r="P6" s="95">
        <f>-('2019 PlanIt Budget'!H$22*$R6)</f>
        <v>6463.9189795641423</v>
      </c>
      <c r="Q6" s="95">
        <f>-('2019 PlanIt Budget'!I$22*$R6)</f>
        <v>6463.9189795641423</v>
      </c>
      <c r="R6" s="40">
        <f t="shared" ref="R6:R8" si="0">SUM(C6:H6)/SUM(C$5:H$8)</f>
        <v>1.4462836665818237E-2</v>
      </c>
      <c r="S6" s="34"/>
      <c r="U6" s="94"/>
      <c r="V6" s="94"/>
    </row>
    <row r="7" spans="1:22">
      <c r="B7" t="s">
        <v>49</v>
      </c>
      <c r="C7" s="25">
        <f>'Div 2'!I13+'Div 2'!I16</f>
        <v>71227.33</v>
      </c>
      <c r="D7" s="25">
        <f>'Div 2'!J13+'Div 2'!J16</f>
        <v>-15356.75</v>
      </c>
      <c r="E7" s="25">
        <f>'Div 2'!K13+'Div 2'!K16</f>
        <v>4676.9700000000012</v>
      </c>
      <c r="F7" s="25">
        <f>'Div 2'!L13+'Div 2'!L16</f>
        <v>434.41000000000008</v>
      </c>
      <c r="G7" s="25">
        <f>'Div 2'!M13+'Div 2'!M16</f>
        <v>1470.72</v>
      </c>
      <c r="H7" s="25">
        <f>'Div 2'!N13+'Div 2'!N16</f>
        <v>544.27</v>
      </c>
      <c r="I7" s="96">
        <f>-'2018 PlanIt Budget'!M$22*summary!$R7</f>
        <v>13432.369973271014</v>
      </c>
      <c r="J7" s="96">
        <f>-'2018 PlanIt Budget'!N$22*summary!$R7</f>
        <v>13432.369973271014</v>
      </c>
      <c r="K7" s="96">
        <f>-'2018 PlanIt Budget'!O$22*summary!$R7</f>
        <v>13432.369973271014</v>
      </c>
      <c r="L7" s="95">
        <f>-('2019 PlanIt Budget'!D$22*$R7)</f>
        <v>14030.301083148162</v>
      </c>
      <c r="M7" s="95">
        <f>-('2019 PlanIt Budget'!E$22*$R7)</f>
        <v>14030.301083148162</v>
      </c>
      <c r="N7" s="95">
        <f>-('2019 PlanIt Budget'!F$22*$R7)</f>
        <v>14030.301083148162</v>
      </c>
      <c r="O7" s="95">
        <f>-('2019 PlanIt Budget'!G$22*$R7)</f>
        <v>14030.301083148162</v>
      </c>
      <c r="P7" s="95">
        <f>-('2019 PlanIt Budget'!H$22*$R7)</f>
        <v>14030.301083148162</v>
      </c>
      <c r="Q7" s="95">
        <f>-('2019 PlanIt Budget'!I$22*$R7)</f>
        <v>14030.301083148162</v>
      </c>
      <c r="R7" s="40">
        <f t="shared" si="0"/>
        <v>3.1392403521664683E-2</v>
      </c>
      <c r="U7" s="94"/>
      <c r="V7" s="94"/>
    </row>
    <row r="8" spans="1:22">
      <c r="B8" t="s">
        <v>50</v>
      </c>
      <c r="C8" s="25">
        <f>'Div 2'!I23</f>
        <v>69700</v>
      </c>
      <c r="D8" s="25">
        <f>'Div 2'!J23</f>
        <v>69700</v>
      </c>
      <c r="E8" s="25">
        <f>'Div 2'!K23</f>
        <v>69700</v>
      </c>
      <c r="F8" s="25">
        <f>'Div 2'!L23</f>
        <v>69700</v>
      </c>
      <c r="G8" s="25">
        <f>'Div 2'!M23</f>
        <v>69700</v>
      </c>
      <c r="H8" s="25">
        <f>'Div 2'!N23</f>
        <v>69700</v>
      </c>
      <c r="I8" s="96">
        <f>-'2018 PlanIt Budget'!M$22*summary!$R8</f>
        <v>89169.668100153067</v>
      </c>
      <c r="J8" s="96">
        <f>-'2018 PlanIt Budget'!N$22*summary!$R8</f>
        <v>89169.668100153067</v>
      </c>
      <c r="K8" s="96">
        <f>-'2018 PlanIt Budget'!O$22*summary!$R8</f>
        <v>89169.668100153067</v>
      </c>
      <c r="L8" s="95">
        <f>-('2019 PlanIt Budget'!D$22*$R8)</f>
        <v>93138.983918627186</v>
      </c>
      <c r="M8" s="95">
        <f>-('2019 PlanIt Budget'!E$22*$R8)</f>
        <v>93138.983918627186</v>
      </c>
      <c r="N8" s="95">
        <f>-('2019 PlanIt Budget'!F$22*$R8)</f>
        <v>93138.983918627186</v>
      </c>
      <c r="O8" s="95">
        <f>-('2019 PlanIt Budget'!G$22*$R8)</f>
        <v>93138.983918627186</v>
      </c>
      <c r="P8" s="95">
        <f>-('2019 PlanIt Budget'!H$22*$R8)</f>
        <v>93138.983918627186</v>
      </c>
      <c r="Q8" s="95">
        <f>-('2019 PlanIt Budget'!I$22*$R8)</f>
        <v>93138.983918627186</v>
      </c>
      <c r="R8" s="40">
        <f t="shared" si="0"/>
        <v>0.20839585333512448</v>
      </c>
      <c r="U8" s="94"/>
      <c r="V8" s="94"/>
    </row>
    <row r="9" spans="1:22">
      <c r="B9" t="s">
        <v>51</v>
      </c>
      <c r="C9" s="24">
        <f>'Div 2'!I25</f>
        <v>0</v>
      </c>
      <c r="D9" s="53">
        <f>'Div 2'!J25</f>
        <v>0</v>
      </c>
      <c r="E9" s="53">
        <f>'Div 2'!K25</f>
        <v>0</v>
      </c>
      <c r="F9" s="53">
        <f>'Div 2'!L25</f>
        <v>0</v>
      </c>
      <c r="G9" s="53">
        <f>'Div 2'!M25</f>
        <v>-15845.68</v>
      </c>
      <c r="H9" s="53">
        <f>'Div 2'!N25</f>
        <v>-1095601</v>
      </c>
      <c r="I9" s="54"/>
    </row>
    <row r="10" spans="1:22">
      <c r="B10" t="s">
        <v>59</v>
      </c>
      <c r="C10" s="24">
        <f>SUM('Div 2'!I17:I19)</f>
        <v>0</v>
      </c>
      <c r="D10" s="53">
        <f>SUM('Div 2'!J17:J19)</f>
        <v>0</v>
      </c>
      <c r="E10" s="53">
        <f>SUM('Div 2'!K17:K19)</f>
        <v>13529.26</v>
      </c>
      <c r="F10" s="53">
        <f>SUM('Div 2'!L17:L19)</f>
        <v>742.73</v>
      </c>
      <c r="G10" s="53">
        <f>SUM('Div 2'!M17:M19)</f>
        <v>151.59</v>
      </c>
      <c r="H10" s="53">
        <f>SUM('Div 2'!N17:N19)</f>
        <v>0</v>
      </c>
      <c r="I10" s="54"/>
      <c r="R10" s="40"/>
    </row>
    <row r="11" spans="1:22">
      <c r="B11" s="30" t="s">
        <v>58</v>
      </c>
      <c r="C11" s="29">
        <f>SUM(C5:C10)</f>
        <v>416271.42</v>
      </c>
      <c r="D11" s="29">
        <f t="shared" ref="D11:H11" si="1">SUM(D5:D10)</f>
        <v>295779.32</v>
      </c>
      <c r="E11" s="29">
        <f t="shared" si="1"/>
        <v>300531.03999999998</v>
      </c>
      <c r="F11" s="29">
        <f t="shared" si="1"/>
        <v>314863.94999999995</v>
      </c>
      <c r="G11" s="29">
        <f t="shared" si="1"/>
        <v>389878.77</v>
      </c>
      <c r="H11" s="29">
        <f t="shared" si="1"/>
        <v>-807589.82000000007</v>
      </c>
      <c r="I11" s="29">
        <f t="shared" ref="I11:J11" si="2">SUM(I5:I10)</f>
        <v>427886</v>
      </c>
      <c r="J11" s="29">
        <f t="shared" si="2"/>
        <v>427886</v>
      </c>
      <c r="K11" s="29">
        <f t="shared" ref="K11" si="3">SUM(K5:K10)</f>
        <v>427886</v>
      </c>
      <c r="L11" s="29">
        <f t="shared" ref="L11" si="4">SUM(L5:L10)</f>
        <v>446933</v>
      </c>
      <c r="M11" s="29">
        <f t="shared" ref="M11" si="5">SUM(M5:M10)</f>
        <v>446933</v>
      </c>
      <c r="N11" s="29">
        <f t="shared" ref="N11" si="6">SUM(N5:N10)</f>
        <v>446933</v>
      </c>
      <c r="O11" s="29">
        <f t="shared" ref="O11" si="7">SUM(O5:O10)</f>
        <v>446933</v>
      </c>
      <c r="P11" s="29">
        <f t="shared" ref="P11" si="8">SUM(P5:P10)</f>
        <v>446933</v>
      </c>
      <c r="Q11" s="29">
        <f t="shared" ref="Q11" si="9">SUM(Q5:Q10)</f>
        <v>446933</v>
      </c>
      <c r="R11" s="41">
        <f>SUM(R5:R8)</f>
        <v>1</v>
      </c>
      <c r="S11" s="34"/>
    </row>
    <row r="12" spans="1:22">
      <c r="B12" s="15" t="s">
        <v>66</v>
      </c>
      <c r="C12" s="25">
        <f>'Div 2'!I20+'Div 2'!I23+'Div 2'!I25</f>
        <v>416271.42</v>
      </c>
      <c r="D12" s="25">
        <f>'Div 2'!J20+'Div 2'!J23+'Div 2'!J25</f>
        <v>295779.32</v>
      </c>
      <c r="E12" s="25">
        <f>'Div 2'!K20+'Div 2'!K23+'Div 2'!K25</f>
        <v>300531.04000000004</v>
      </c>
      <c r="F12" s="25">
        <f>'Div 2'!L20+'Div 2'!L23+'Div 2'!L25</f>
        <v>314863.95</v>
      </c>
      <c r="G12" s="25">
        <f>'Div 2'!M20+'Div 2'!M23+'Div 2'!M25</f>
        <v>389878.77</v>
      </c>
      <c r="H12" s="25">
        <f>'Div 2'!N20+'Div 2'!N23+'Div 2'!N25</f>
        <v>-807589.82000000007</v>
      </c>
      <c r="I12" s="25">
        <f>'Div 2'!I20+'Div 2'!I23+'Div 2'!I25</f>
        <v>416271.42</v>
      </c>
    </row>
    <row r="13" spans="1:22">
      <c r="B13" s="15" t="s">
        <v>67</v>
      </c>
      <c r="C13" s="25">
        <f t="shared" ref="C13:D13" si="10">C11-C12</f>
        <v>0</v>
      </c>
      <c r="D13" s="25">
        <f t="shared" si="10"/>
        <v>0</v>
      </c>
      <c r="E13" s="25">
        <f t="shared" ref="E13:I13" si="11">E11-E12</f>
        <v>0</v>
      </c>
      <c r="F13" s="25">
        <f t="shared" si="11"/>
        <v>0</v>
      </c>
      <c r="G13" s="25">
        <f t="shared" si="11"/>
        <v>0</v>
      </c>
      <c r="H13" s="25">
        <f t="shared" si="11"/>
        <v>0</v>
      </c>
      <c r="I13" s="25">
        <f t="shared" si="11"/>
        <v>11614.580000000016</v>
      </c>
    </row>
    <row r="14" spans="1:22">
      <c r="C14" s="25"/>
      <c r="D14" s="25"/>
      <c r="E14" s="25"/>
      <c r="F14" s="25"/>
      <c r="G14" s="25"/>
      <c r="H14" s="25"/>
      <c r="I14" s="25"/>
    </row>
    <row r="15" spans="1:22">
      <c r="A15" t="s">
        <v>55</v>
      </c>
      <c r="B15" t="s">
        <v>47</v>
      </c>
      <c r="C15" s="25">
        <f>'Div 12'!I11+'Div 12'!I14</f>
        <v>183399.07</v>
      </c>
      <c r="D15" s="25">
        <f>'Div 12'!J11+'Div 12'!J14</f>
        <v>162534.79</v>
      </c>
      <c r="E15" s="25">
        <f>'Div 12'!K11+'Div 12'!K14</f>
        <v>190013.95</v>
      </c>
      <c r="F15" s="25">
        <f>'Div 12'!L11+'Div 12'!L14</f>
        <v>166897.26999999999</v>
      </c>
      <c r="G15" s="25">
        <f>'Div 12'!M11+'Div 12'!M14</f>
        <v>214727.33</v>
      </c>
      <c r="H15" s="25">
        <f>'Div 12'!N11+'Div 12'!N14</f>
        <v>145476.67000000001</v>
      </c>
      <c r="I15" s="96">
        <f>-'2018 PlanIt Budget'!M$23*summary!$R15</f>
        <v>202437.06290180641</v>
      </c>
      <c r="J15" s="96">
        <f>-'2018 PlanIt Budget'!N$23*summary!$R15</f>
        <v>202437.06290180641</v>
      </c>
      <c r="K15" s="96">
        <f>-'2018 PlanIt Budget'!O$23*summary!$R15</f>
        <v>202437.06290180641</v>
      </c>
      <c r="L15" s="95">
        <f>-('2019 PlanIt Budget'!D$23*$R15)</f>
        <v>211448.3716155517</v>
      </c>
      <c r="M15" s="95">
        <f>-('2019 PlanIt Budget'!E$23*$R15)</f>
        <v>211448.3716155517</v>
      </c>
      <c r="N15" s="95">
        <f>-('2019 PlanIt Budget'!F$23*$R15)</f>
        <v>211448.3716155517</v>
      </c>
      <c r="O15" s="95">
        <f>-('2019 PlanIt Budget'!G$23*$R15)</f>
        <v>211448.3716155517</v>
      </c>
      <c r="P15" s="95">
        <f>-('2019 PlanIt Budget'!H$23*$R15)</f>
        <v>211448.3716155517</v>
      </c>
      <c r="Q15" s="95">
        <f>-('2019 PlanIt Budget'!I$23*$R15)</f>
        <v>211448.3716155517</v>
      </c>
      <c r="R15" s="40">
        <f>SUM(C15:H15,)/SUM(C$15:H$18)</f>
        <v>0.74154943332334433</v>
      </c>
    </row>
    <row r="16" spans="1:22">
      <c r="B16" t="s">
        <v>48</v>
      </c>
      <c r="C16" s="25">
        <f>'Div 12'!I12+'Div 12'!I15</f>
        <v>17825.919999999998</v>
      </c>
      <c r="D16" s="25">
        <f>'Div 12'!J12+'Div 12'!J15</f>
        <v>-586.52000000000044</v>
      </c>
      <c r="E16" s="25">
        <f>'Div 12'!K12+'Div 12'!K15</f>
        <v>-501.05000000000018</v>
      </c>
      <c r="F16" s="25">
        <f>'Div 12'!L12+'Div 12'!L15</f>
        <v>38.490000000000009</v>
      </c>
      <c r="G16" s="25">
        <f>'Div 12'!M12+'Div 12'!M15</f>
        <v>402.90999999999997</v>
      </c>
      <c r="H16" s="25">
        <f>'Div 12'!N12+'Div 12'!N15</f>
        <v>90.98</v>
      </c>
      <c r="I16" s="96">
        <f>-'2018 PlanIt Budget'!M$23*summary!$R16</f>
        <v>3288.8752938576599</v>
      </c>
      <c r="J16" s="96">
        <f>-'2018 PlanIt Budget'!N$23*summary!$R16</f>
        <v>3288.8752938576599</v>
      </c>
      <c r="K16" s="96">
        <f>-'2018 PlanIt Budget'!O$23*summary!$R16</f>
        <v>3288.8752938576599</v>
      </c>
      <c r="L16" s="95">
        <f>-('2019 PlanIt Budget'!D$23*$R16)</f>
        <v>3435.2766996532814</v>
      </c>
      <c r="M16" s="95">
        <f>-('2019 PlanIt Budget'!E$23*$R16)</f>
        <v>3435.2766996532814</v>
      </c>
      <c r="N16" s="95">
        <f>-('2019 PlanIt Budget'!F$23*$R16)</f>
        <v>3435.2766996532814</v>
      </c>
      <c r="O16" s="95">
        <f>-('2019 PlanIt Budget'!G$23*$R16)</f>
        <v>3435.2766996532814</v>
      </c>
      <c r="P16" s="95">
        <f>-('2019 PlanIt Budget'!H$23*$R16)</f>
        <v>3435.2766996532814</v>
      </c>
      <c r="Q16" s="95">
        <f>-('2019 PlanIt Budget'!I$23*$R16)</f>
        <v>3435.2766996532814</v>
      </c>
      <c r="R16" s="40">
        <f t="shared" ref="R16:R18" si="12">SUM(C16:H16,)/SUM(C$15:H$18)</f>
        <v>1.2047515289303935E-2</v>
      </c>
    </row>
    <row r="17" spans="1:18">
      <c r="B17" t="s">
        <v>49</v>
      </c>
      <c r="C17" s="25">
        <f>'Div 12'!I13+'Div 12'!I16</f>
        <v>42673.350000000006</v>
      </c>
      <c r="D17" s="25">
        <f>'Div 12'!J13+'Div 12'!J16</f>
        <v>-9438.82</v>
      </c>
      <c r="E17" s="25">
        <f>'Div 12'!K13+'Div 12'!K16</f>
        <v>2993.1299999999997</v>
      </c>
      <c r="F17" s="25">
        <f>'Div 12'!L13+'Div 12'!L16</f>
        <v>239.33000000000004</v>
      </c>
      <c r="G17" s="25">
        <f>'Div 12'!M13+'Div 12'!M16</f>
        <v>851.19</v>
      </c>
      <c r="H17" s="25">
        <f>'Div 12'!N13+'Div 12'!N16</f>
        <v>313.21000000000004</v>
      </c>
      <c r="I17" s="96">
        <f>-'2018 PlanIt Budget'!M$23*summary!$R17</f>
        <v>7166.1677789255127</v>
      </c>
      <c r="J17" s="96">
        <f>-'2018 PlanIt Budget'!N$23*summary!$R17</f>
        <v>7166.1677789255127</v>
      </c>
      <c r="K17" s="96">
        <f>-'2018 PlanIt Budget'!O$23*summary!$R17</f>
        <v>7166.1677789255127</v>
      </c>
      <c r="L17" s="95">
        <f>-('2019 PlanIt Budget'!D$23*$R17)</f>
        <v>7485.1634668925699</v>
      </c>
      <c r="M17" s="95">
        <f>-('2019 PlanIt Budget'!E$23*$R17)</f>
        <v>7485.1634668925699</v>
      </c>
      <c r="N17" s="95">
        <f>-('2019 PlanIt Budget'!F$23*$R17)</f>
        <v>7485.1634668925699</v>
      </c>
      <c r="O17" s="95">
        <f>-('2019 PlanIt Budget'!G$23*$R17)</f>
        <v>7485.1634668925699</v>
      </c>
      <c r="P17" s="95">
        <f>-('2019 PlanIt Budget'!H$23*$R17)</f>
        <v>7485.1634668925699</v>
      </c>
      <c r="Q17" s="95">
        <f>-('2019 PlanIt Budget'!I$23*$R17)</f>
        <v>7485.1634668925699</v>
      </c>
      <c r="R17" s="40">
        <f t="shared" si="12"/>
        <v>2.6250468068388499E-2</v>
      </c>
    </row>
    <row r="18" spans="1:18">
      <c r="B18" t="s">
        <v>50</v>
      </c>
      <c r="C18" s="25">
        <f>'Div 12'!I20</f>
        <v>52600</v>
      </c>
      <c r="D18" s="25">
        <f>'Div 12'!J20</f>
        <v>52600</v>
      </c>
      <c r="E18" s="25">
        <f>'Div 12'!K20</f>
        <v>52600</v>
      </c>
      <c r="F18" s="25">
        <f>'Div 12'!L20</f>
        <v>52600</v>
      </c>
      <c r="G18" s="25">
        <f>'Div 12'!M20</f>
        <v>52600</v>
      </c>
      <c r="H18" s="25">
        <f>'Div 12'!N20</f>
        <v>52600</v>
      </c>
      <c r="I18" s="96">
        <f>-'2018 PlanIt Budget'!M$23*summary!$R18</f>
        <v>60099.894025410482</v>
      </c>
      <c r="J18" s="96">
        <f>-'2018 PlanIt Budget'!N$23*summary!$R18</f>
        <v>60099.894025410482</v>
      </c>
      <c r="K18" s="96">
        <f>-'2018 PlanIt Budget'!O$23*summary!$R18</f>
        <v>60099.894025410482</v>
      </c>
      <c r="L18" s="95">
        <f>-('2019 PlanIt Budget'!D$23*$R18)</f>
        <v>62775.18821790252</v>
      </c>
      <c r="M18" s="95">
        <f>-('2019 PlanIt Budget'!E$23*$R18)</f>
        <v>62775.18821790252</v>
      </c>
      <c r="N18" s="95">
        <f>-('2019 PlanIt Budget'!F$23*$R18)</f>
        <v>62775.18821790252</v>
      </c>
      <c r="O18" s="95">
        <f>-('2019 PlanIt Budget'!G$23*$R18)</f>
        <v>62775.18821790252</v>
      </c>
      <c r="P18" s="95">
        <f>-('2019 PlanIt Budget'!H$23*$R18)</f>
        <v>62775.18821790252</v>
      </c>
      <c r="Q18" s="95">
        <f>-('2019 PlanIt Budget'!I$23*$R18)</f>
        <v>62775.18821790252</v>
      </c>
      <c r="R18" s="40">
        <f t="shared" si="12"/>
        <v>0.22015258331896348</v>
      </c>
    </row>
    <row r="19" spans="1:18">
      <c r="B19" t="s">
        <v>71</v>
      </c>
      <c r="C19" s="24">
        <f>'Div 12'!I17</f>
        <v>0</v>
      </c>
      <c r="D19" s="53">
        <f>'Div 12'!J17</f>
        <v>0</v>
      </c>
      <c r="E19" s="53">
        <f>'Div 12'!K17</f>
        <v>0</v>
      </c>
      <c r="F19" s="53">
        <f>'Div 12'!L17</f>
        <v>0</v>
      </c>
      <c r="G19" s="53">
        <f>'Div 12'!M17</f>
        <v>0</v>
      </c>
      <c r="H19" s="53">
        <f>'Div 12'!N17</f>
        <v>0</v>
      </c>
      <c r="I19" s="54"/>
    </row>
    <row r="20" spans="1:18">
      <c r="B20" s="30" t="s">
        <v>58</v>
      </c>
      <c r="C20" s="29">
        <f>SUM(C15:C19)</f>
        <v>296498.33999999997</v>
      </c>
      <c r="D20" s="29">
        <f t="shared" ref="D20:Q20" si="13">SUM(D15:D19)</f>
        <v>205109.45</v>
      </c>
      <c r="E20" s="29">
        <f t="shared" si="13"/>
        <v>245106.03000000003</v>
      </c>
      <c r="F20" s="29">
        <f t="shared" si="13"/>
        <v>219775.08999999997</v>
      </c>
      <c r="G20" s="29">
        <f t="shared" si="13"/>
        <v>268581.43</v>
      </c>
      <c r="H20" s="29">
        <f t="shared" si="13"/>
        <v>198480.86000000002</v>
      </c>
      <c r="I20" s="29">
        <f t="shared" ref="I20" si="14">SUM(I15:I19)</f>
        <v>272992.00000000006</v>
      </c>
      <c r="J20" s="29">
        <f t="shared" si="13"/>
        <v>272992.00000000006</v>
      </c>
      <c r="K20" s="29">
        <f t="shared" si="13"/>
        <v>272992.00000000006</v>
      </c>
      <c r="L20" s="29">
        <f t="shared" si="13"/>
        <v>285144.00000000006</v>
      </c>
      <c r="M20" s="29">
        <f t="shared" si="13"/>
        <v>285144.00000000006</v>
      </c>
      <c r="N20" s="29">
        <f t="shared" si="13"/>
        <v>285144.00000000006</v>
      </c>
      <c r="O20" s="29">
        <f t="shared" si="13"/>
        <v>285144.00000000006</v>
      </c>
      <c r="P20" s="29">
        <f t="shared" si="13"/>
        <v>285144.00000000006</v>
      </c>
      <c r="Q20" s="29">
        <f t="shared" si="13"/>
        <v>285144.00000000006</v>
      </c>
      <c r="R20" s="41">
        <f>SUM(R15:R18)</f>
        <v>1.0000000000000002</v>
      </c>
    </row>
    <row r="21" spans="1:18">
      <c r="B21" s="15" t="s">
        <v>66</v>
      </c>
      <c r="C21" s="25">
        <f>'Div 12'!I18+'Div 12'!I21</f>
        <v>296498.33999999997</v>
      </c>
      <c r="D21" s="25">
        <f>'Div 12'!J18+'Div 12'!J21</f>
        <v>205109.45</v>
      </c>
      <c r="E21" s="25">
        <f>'Div 12'!K18+'Div 12'!K21</f>
        <v>245106.03</v>
      </c>
      <c r="F21" s="25">
        <f>'Div 12'!L18+'Div 12'!L21</f>
        <v>219775.09</v>
      </c>
      <c r="G21" s="25">
        <f>'Div 12'!M18+'Div 12'!M21</f>
        <v>268581.43</v>
      </c>
      <c r="H21" s="25">
        <f>'Div 12'!N18+'Div 12'!N21</f>
        <v>198480.86</v>
      </c>
      <c r="I21" s="25">
        <f>'Div 12'!O18+'Div 12'!O21</f>
        <v>0</v>
      </c>
    </row>
    <row r="22" spans="1:18">
      <c r="B22" s="15" t="s">
        <v>67</v>
      </c>
      <c r="C22" s="25">
        <f t="shared" ref="C22:D22" si="15">C20-C21</f>
        <v>0</v>
      </c>
      <c r="D22" s="25">
        <f t="shared" si="15"/>
        <v>0</v>
      </c>
      <c r="E22" s="25">
        <f t="shared" ref="E22" si="16">E20-E21</f>
        <v>0</v>
      </c>
      <c r="F22" s="25">
        <f t="shared" ref="F22" si="17">F20-F21</f>
        <v>0</v>
      </c>
      <c r="G22" s="25">
        <f t="shared" ref="G22" si="18">G20-G21</f>
        <v>0</v>
      </c>
      <c r="H22" s="25">
        <f t="shared" ref="H22" si="19">H20-H21</f>
        <v>0</v>
      </c>
      <c r="I22" s="25">
        <f t="shared" ref="I22" si="20">I20-I21</f>
        <v>272992.00000000006</v>
      </c>
    </row>
    <row r="24" spans="1:18">
      <c r="A24" t="s">
        <v>56</v>
      </c>
      <c r="B24" t="s">
        <v>47</v>
      </c>
      <c r="C24" s="24">
        <f>'Div 91'!I11+'Div 91'!I14</f>
        <v>34981.49</v>
      </c>
      <c r="D24" s="53">
        <f>'Div 91'!J11+'Div 91'!J14</f>
        <v>36189.93</v>
      </c>
      <c r="E24" s="53">
        <f>'Div 91'!K11+'Div 91'!K14</f>
        <v>14919.94</v>
      </c>
      <c r="F24" s="53">
        <f>'Div 91'!L11+'Div 91'!L14</f>
        <v>31892.87</v>
      </c>
      <c r="G24" s="53">
        <f>'Div 91'!M11+'Div 91'!M14</f>
        <v>36379.240000000005</v>
      </c>
      <c r="H24" s="53">
        <f>'Div 91'!N11+'Div 91'!N14</f>
        <v>30789.21</v>
      </c>
      <c r="I24" s="25">
        <f>(I$59-I$28)*$R24</f>
        <v>-128728.73163962046</v>
      </c>
      <c r="J24" s="25">
        <f>(J$59-J$28)*$R24</f>
        <v>-128728.73163962046</v>
      </c>
      <c r="K24" s="25">
        <f t="shared" ref="K24:Q26" si="21">(K$59-K$28)*$R24</f>
        <v>-128728.73163962046</v>
      </c>
      <c r="L24" s="25">
        <f t="shared" si="21"/>
        <v>-326718.28542433796</v>
      </c>
      <c r="M24" s="25">
        <f t="shared" si="21"/>
        <v>-326718.28542433796</v>
      </c>
      <c r="N24" s="25">
        <f t="shared" si="21"/>
        <v>-326718.28542433796</v>
      </c>
      <c r="O24" s="25">
        <f t="shared" si="21"/>
        <v>-326718.28542433796</v>
      </c>
      <c r="P24" s="25">
        <f t="shared" si="21"/>
        <v>-326718.28542433796</v>
      </c>
      <c r="Q24" s="25">
        <f t="shared" si="21"/>
        <v>-326718.28542433796</v>
      </c>
      <c r="R24" s="40">
        <f>SUM(C24:H24,)/SUM(C$24:H$26)</f>
        <v>0.98912697278959893</v>
      </c>
    </row>
    <row r="25" spans="1:18">
      <c r="B25" t="s">
        <v>48</v>
      </c>
      <c r="C25" s="53">
        <f>'Div 91'!I12+'Div 91'!I15</f>
        <v>1554.1599999999999</v>
      </c>
      <c r="D25" s="53">
        <f>'Div 91'!J12+'Div 91'!J15</f>
        <v>-122.20000000000005</v>
      </c>
      <c r="E25" s="53">
        <f>'Div 91'!K12+'Div 91'!K15</f>
        <v>-141.10000000000002</v>
      </c>
      <c r="F25" s="53">
        <f>'Div 91'!L12+'Div 91'!L15</f>
        <v>3.16</v>
      </c>
      <c r="G25" s="53">
        <f>'Div 91'!M12+'Div 91'!M15</f>
        <v>12.48</v>
      </c>
      <c r="H25" s="53">
        <f>'Div 91'!N12+'Div 91'!N15</f>
        <v>3.5700000000000003</v>
      </c>
      <c r="I25" s="25">
        <f t="shared" ref="I25:J26" si="22">(I$59-I$28)*$R25</f>
        <v>-910.83558422766293</v>
      </c>
      <c r="J25" s="25">
        <f t="shared" si="22"/>
        <v>-910.83558422766293</v>
      </c>
      <c r="K25" s="25">
        <f t="shared" si="21"/>
        <v>-910.83558422766293</v>
      </c>
      <c r="L25" s="25">
        <f t="shared" si="21"/>
        <v>-2311.7344247237593</v>
      </c>
      <c r="M25" s="25">
        <f t="shared" si="21"/>
        <v>-2311.7344247237593</v>
      </c>
      <c r="N25" s="25">
        <f t="shared" si="21"/>
        <v>-2311.7344247237593</v>
      </c>
      <c r="O25" s="25">
        <f t="shared" si="21"/>
        <v>-2311.7344247237593</v>
      </c>
      <c r="P25" s="25">
        <f t="shared" si="21"/>
        <v>-2311.7344247237593</v>
      </c>
      <c r="Q25" s="25">
        <f t="shared" si="21"/>
        <v>-2311.7344247237593</v>
      </c>
      <c r="R25" s="40">
        <f t="shared" ref="R25:R26" si="23">SUM(C25:H25,)/SUM(C$24:H$26)</f>
        <v>6.9986865609640084E-3</v>
      </c>
    </row>
    <row r="26" spans="1:18">
      <c r="B26" t="s">
        <v>49</v>
      </c>
      <c r="C26" s="53">
        <f>'Div 91'!I13+'Div 91'!I16</f>
        <v>948.06</v>
      </c>
      <c r="D26" s="53">
        <f>'Div 91'!J13+'Div 91'!J16</f>
        <v>-284.15999999999997</v>
      </c>
      <c r="E26" s="53">
        <f>'Div 91'!K13+'Div 91'!K16</f>
        <v>60.66</v>
      </c>
      <c r="F26" s="53">
        <f>'Div 91'!L13+'Div 91'!L16</f>
        <v>-5.2399999999999993</v>
      </c>
      <c r="G26" s="53">
        <f>'Div 91'!M13+'Div 91'!M16</f>
        <v>2.2200000000000002</v>
      </c>
      <c r="H26" s="53">
        <f>'Div 91'!N13+'Div 91'!N16</f>
        <v>3.69</v>
      </c>
      <c r="I26" s="25">
        <f t="shared" si="22"/>
        <v>-504.22137042251802</v>
      </c>
      <c r="J26" s="25">
        <f t="shared" si="22"/>
        <v>-504.22137042251802</v>
      </c>
      <c r="K26" s="25">
        <f t="shared" si="21"/>
        <v>-504.22137042251802</v>
      </c>
      <c r="L26" s="25">
        <f t="shared" si="21"/>
        <v>-1279.7325004331162</v>
      </c>
      <c r="M26" s="25">
        <f t="shared" si="21"/>
        <v>-1279.7325004331162</v>
      </c>
      <c r="N26" s="25">
        <f t="shared" si="21"/>
        <v>-1279.7325004331162</v>
      </c>
      <c r="O26" s="25">
        <f t="shared" si="21"/>
        <v>-1279.7325004331162</v>
      </c>
      <c r="P26" s="25">
        <f t="shared" si="21"/>
        <v>-1279.7325004331162</v>
      </c>
      <c r="Q26" s="25">
        <f t="shared" si="21"/>
        <v>-1279.7325004331162</v>
      </c>
      <c r="R26" s="40">
        <f t="shared" si="23"/>
        <v>3.874340649436999E-3</v>
      </c>
    </row>
    <row r="27" spans="1:18">
      <c r="B27" t="s">
        <v>59</v>
      </c>
      <c r="C27" s="24">
        <f>'Div 91'!I17</f>
        <v>0</v>
      </c>
      <c r="D27" s="53">
        <f>'Div 91'!J17</f>
        <v>20.84</v>
      </c>
      <c r="E27" s="53">
        <f>'Div 91'!K17</f>
        <v>41.69</v>
      </c>
      <c r="F27" s="53">
        <f>'Div 91'!L17</f>
        <v>0</v>
      </c>
      <c r="G27" s="53">
        <f>'Div 91'!M17</f>
        <v>0</v>
      </c>
      <c r="H27" s="53">
        <f>'Div 91'!N17</f>
        <v>0</v>
      </c>
      <c r="I27" s="54"/>
      <c r="R27" s="41">
        <f>SUM(R24:R26)</f>
        <v>1</v>
      </c>
    </row>
    <row r="28" spans="1:18">
      <c r="B28" t="s">
        <v>50</v>
      </c>
      <c r="C28" s="24">
        <f>'Div 91'!I21</f>
        <v>300</v>
      </c>
      <c r="D28" s="53">
        <f>'Div 91'!J21</f>
        <v>-396474</v>
      </c>
      <c r="E28" s="53">
        <f>'Div 91'!K21</f>
        <v>300</v>
      </c>
      <c r="F28" s="53">
        <f>'Div 91'!L21</f>
        <v>300</v>
      </c>
      <c r="G28" s="53">
        <f>'Div 91'!M21</f>
        <v>300</v>
      </c>
      <c r="H28" s="53">
        <f>'Div 91'!N21</f>
        <v>800</v>
      </c>
      <c r="I28" s="25">
        <f>H28</f>
        <v>800</v>
      </c>
      <c r="J28" s="25">
        <f>I28</f>
        <v>800</v>
      </c>
      <c r="K28" s="25">
        <f t="shared" ref="K28:Q28" si="24">J28</f>
        <v>800</v>
      </c>
      <c r="L28" s="25">
        <f t="shared" si="24"/>
        <v>800</v>
      </c>
      <c r="M28" s="25">
        <f t="shared" si="24"/>
        <v>800</v>
      </c>
      <c r="N28" s="25">
        <f t="shared" si="24"/>
        <v>800</v>
      </c>
      <c r="O28" s="25">
        <f t="shared" si="24"/>
        <v>800</v>
      </c>
      <c r="P28" s="25">
        <f t="shared" si="24"/>
        <v>800</v>
      </c>
      <c r="Q28" s="25">
        <f t="shared" si="24"/>
        <v>800</v>
      </c>
    </row>
    <row r="29" spans="1:18">
      <c r="B29" t="s">
        <v>53</v>
      </c>
      <c r="C29" s="24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4"/>
    </row>
    <row r="30" spans="1:18">
      <c r="B30" t="s">
        <v>60</v>
      </c>
      <c r="C30" s="24">
        <f>'Div 91'!I23</f>
        <v>0</v>
      </c>
      <c r="D30" s="53">
        <f>'Div 91'!J23</f>
        <v>0</v>
      </c>
      <c r="E30" s="53">
        <f>'Div 91'!K23</f>
        <v>0</v>
      </c>
      <c r="F30" s="53">
        <f>'Div 91'!L23</f>
        <v>0</v>
      </c>
      <c r="G30" s="53">
        <f>'Div 91'!M23</f>
        <v>0</v>
      </c>
      <c r="H30" s="53">
        <f>'Div 91'!N23</f>
        <v>0</v>
      </c>
      <c r="I30" s="54"/>
    </row>
    <row r="31" spans="1:18">
      <c r="B31" s="30" t="s">
        <v>58</v>
      </c>
      <c r="C31" s="29">
        <f t="shared" ref="C31" si="25">SUM(C24:C30)</f>
        <v>37783.709999999992</v>
      </c>
      <c r="D31" s="29">
        <f t="shared" ref="D31:Q31" si="26">SUM(D24:D30)</f>
        <v>-360669.59</v>
      </c>
      <c r="E31" s="29">
        <f t="shared" si="26"/>
        <v>15181.19</v>
      </c>
      <c r="F31" s="29">
        <f t="shared" si="26"/>
        <v>32190.789999999997</v>
      </c>
      <c r="G31" s="29">
        <f t="shared" si="26"/>
        <v>36693.94000000001</v>
      </c>
      <c r="H31" s="29">
        <f t="shared" si="26"/>
        <v>31596.469999999998</v>
      </c>
      <c r="I31" s="29">
        <f t="shared" ref="I31" si="27">SUM(I24:I30)</f>
        <v>-129343.78859427063</v>
      </c>
      <c r="J31" s="29">
        <f t="shared" si="26"/>
        <v>-129343.78859427063</v>
      </c>
      <c r="K31" s="29">
        <f t="shared" si="26"/>
        <v>-129343.78859427063</v>
      </c>
      <c r="L31" s="29">
        <f t="shared" si="26"/>
        <v>-329509.75234949484</v>
      </c>
      <c r="M31" s="29">
        <f t="shared" si="26"/>
        <v>-329509.75234949484</v>
      </c>
      <c r="N31" s="29">
        <f t="shared" si="26"/>
        <v>-329509.75234949484</v>
      </c>
      <c r="O31" s="29">
        <f t="shared" si="26"/>
        <v>-329509.75234949484</v>
      </c>
      <c r="P31" s="29">
        <f t="shared" si="26"/>
        <v>-329509.75234949484</v>
      </c>
      <c r="Q31" s="29">
        <f t="shared" si="26"/>
        <v>-329509.75234949484</v>
      </c>
    </row>
    <row r="32" spans="1:18">
      <c r="B32" s="15" t="s">
        <v>66</v>
      </c>
      <c r="C32" s="25">
        <f>'Div 91'!I18+'Div 91'!I21+'Div 91'!I23</f>
        <v>37783.71</v>
      </c>
      <c r="D32" s="25">
        <f>'Div 91'!J18+'Div 91'!J21+'Div 91'!J23</f>
        <v>-360669.58999999997</v>
      </c>
      <c r="E32" s="25">
        <f>'Div 91'!K18+'Div 91'!K21+'Div 91'!K23</f>
        <v>15181.19</v>
      </c>
      <c r="F32" s="25">
        <f>'Div 91'!L18+'Div 91'!L21+'Div 91'!L23</f>
        <v>32190.79</v>
      </c>
      <c r="G32" s="25">
        <f>'Div 91'!M18+'Div 91'!M21+'Div 91'!M23</f>
        <v>36693.94</v>
      </c>
      <c r="H32" s="25">
        <f>'Div 91'!N18+'Div 91'!N21+'Div 91'!N23</f>
        <v>31596.47</v>
      </c>
      <c r="I32" s="25"/>
    </row>
    <row r="33" spans="1:22">
      <c r="B33" s="15" t="s">
        <v>67</v>
      </c>
      <c r="C33" s="25">
        <f t="shared" ref="C33:D33" si="28">C31-C32</f>
        <v>0</v>
      </c>
      <c r="D33" s="25">
        <f t="shared" si="28"/>
        <v>0</v>
      </c>
      <c r="E33" s="25">
        <f t="shared" ref="E33" si="29">E31-E32</f>
        <v>0</v>
      </c>
      <c r="F33" s="25">
        <f t="shared" ref="F33" si="30">F31-F32</f>
        <v>0</v>
      </c>
      <c r="G33" s="25">
        <f t="shared" ref="G33" si="31">G31-G32</f>
        <v>0</v>
      </c>
      <c r="H33" s="25">
        <f t="shared" ref="H33" si="32">H31-H32</f>
        <v>0</v>
      </c>
      <c r="I33" s="25"/>
    </row>
    <row r="35" spans="1:22">
      <c r="A35" t="s">
        <v>57</v>
      </c>
      <c r="B35" t="s">
        <v>47</v>
      </c>
      <c r="C35" s="25">
        <f>'Div 9'!I11+'Div 9'!I14</f>
        <v>37939.85</v>
      </c>
      <c r="D35" s="25">
        <f>'Div 9'!J11+'Div 9'!J14</f>
        <v>23145.31</v>
      </c>
      <c r="E35" s="25">
        <f>'Div 9'!K11+'Div 9'!K14</f>
        <v>45027.98</v>
      </c>
      <c r="F35" s="25">
        <f>'Div 9'!L11+'Div 9'!L14</f>
        <v>19475.150000000001</v>
      </c>
      <c r="G35" s="25">
        <f>'Div 9'!M11+'Div 9'!M14</f>
        <v>23031.050000000003</v>
      </c>
      <c r="H35" s="25">
        <f>'Div 9'!N11+'Div 9'!N14</f>
        <v>24152.219999999998</v>
      </c>
      <c r="I35" s="58">
        <f>'Div 9'!P$11*$R35</f>
        <v>30863.351384622394</v>
      </c>
      <c r="J35" s="58">
        <f>'Div 9'!Q$11*$R35</f>
        <v>20525.224843475004</v>
      </c>
      <c r="K35" s="58">
        <f>'Div 9'!R$11*$R35</f>
        <v>58179.975096315808</v>
      </c>
      <c r="L35" s="58">
        <f>'Div 9'!S$11*$R35</f>
        <v>34718.956165331183</v>
      </c>
      <c r="M35" s="58">
        <f>'Div 9'!T$11*$R35</f>
        <v>96706.791631374042</v>
      </c>
      <c r="N35" s="58">
        <f>'Div 9'!U$11*$R35</f>
        <v>23064.448007115916</v>
      </c>
      <c r="O35" s="58">
        <f>'Div 9'!V$11*$R35</f>
        <v>36399.75430703516</v>
      </c>
      <c r="P35" s="58">
        <f>'Div 9'!W$11*$R35</f>
        <v>36329.599254164037</v>
      </c>
      <c r="Q35" s="58">
        <f>'Div 9'!X$11*$R35</f>
        <v>20533.994225083894</v>
      </c>
      <c r="R35" s="40">
        <f>SUM(C35:H35,)/SUM(C$35:H$37)</f>
        <v>0.97437573432114899</v>
      </c>
      <c r="S35" s="34"/>
    </row>
    <row r="36" spans="1:22">
      <c r="B36" t="s">
        <v>48</v>
      </c>
      <c r="C36" s="25">
        <f>'Div 9'!I12+'Div 9'!I15</f>
        <v>3586.75</v>
      </c>
      <c r="D36" s="25">
        <f>'Div 9'!J12+'Div 9'!J15</f>
        <v>-414.59999999999991</v>
      </c>
      <c r="E36" s="25">
        <f>'Div 9'!K12+'Div 9'!K15</f>
        <v>-292.8</v>
      </c>
      <c r="F36" s="25">
        <f>'Div 9'!L12+'Div 9'!L15</f>
        <v>6.5</v>
      </c>
      <c r="G36" s="25">
        <f>'Div 9'!M12+'Div 9'!M15</f>
        <v>26.33</v>
      </c>
      <c r="H36" s="25">
        <f>'Div 9'!N12+'Div 9'!N15</f>
        <v>7.12</v>
      </c>
      <c r="I36" s="58">
        <f>'Div 9'!P$11*$R36</f>
        <v>521.49428816367777</v>
      </c>
      <c r="J36" s="58">
        <f>'Div 9'!Q$11*$R36</f>
        <v>346.81222352542608</v>
      </c>
      <c r="K36" s="58">
        <f>'Div 9'!R$11*$R36</f>
        <v>983.05995094722005</v>
      </c>
      <c r="L36" s="58">
        <f>'Div 9'!S$11*$R36</f>
        <v>586.64197240246767</v>
      </c>
      <c r="M36" s="58">
        <f>'Div 9'!T$11*$R36</f>
        <v>1634.042876092976</v>
      </c>
      <c r="N36" s="58">
        <f>'Div 9'!U$11*$R36</f>
        <v>389.71716795966586</v>
      </c>
      <c r="O36" s="58">
        <f>'Div 9'!V$11*$R36</f>
        <v>615.0422138257461</v>
      </c>
      <c r="P36" s="58">
        <f>'Div 9'!W$11*$R36</f>
        <v>613.85681244460056</v>
      </c>
      <c r="Q36" s="58">
        <f>'Div 9'!X$11*$R36</f>
        <v>346.9603986980693</v>
      </c>
      <c r="R36" s="40">
        <f t="shared" ref="R36:R37" si="33">SUM(C36:H36,)/SUM(C$35:H$37)</f>
        <v>1.6463908071465753E-2</v>
      </c>
    </row>
    <row r="37" spans="1:22">
      <c r="B37" t="s">
        <v>49</v>
      </c>
      <c r="C37" s="25">
        <f>'Div 9'!I13+'Div 9'!I16</f>
        <v>2187.94</v>
      </c>
      <c r="D37" s="25">
        <f>'Div 9'!J13+'Div 9'!J16</f>
        <v>-679.84</v>
      </c>
      <c r="E37" s="25">
        <f>'Div 9'!K13+'Div 9'!K16</f>
        <v>113.78999999999999</v>
      </c>
      <c r="F37" s="25">
        <f>'Div 9'!L13+'Div 9'!L16</f>
        <v>-9.89</v>
      </c>
      <c r="G37" s="25">
        <f>'Div 9'!M13+'Div 9'!M16</f>
        <v>4.67</v>
      </c>
      <c r="H37" s="25">
        <f>'Div 9'!N13+'Div 9'!N16</f>
        <v>7.6</v>
      </c>
      <c r="I37" s="58">
        <f>'Div 9'!P$11*$R37</f>
        <v>290.15432721392688</v>
      </c>
      <c r="J37" s="58">
        <f>'Div 9'!Q$11*$R37</f>
        <v>192.96293299956969</v>
      </c>
      <c r="K37" s="58">
        <f>'Div 9'!R$11*$R37</f>
        <v>546.96495273697155</v>
      </c>
      <c r="L37" s="58">
        <f>'Div 9'!S$11*$R37</f>
        <v>326.40186226635018</v>
      </c>
      <c r="M37" s="58">
        <f>'Div 9'!T$11*$R37</f>
        <v>909.16549253298319</v>
      </c>
      <c r="N37" s="58">
        <f>'Div 9'!U$11*$R37</f>
        <v>216.83482492441556</v>
      </c>
      <c r="O37" s="58">
        <f>'Div 9'!V$11*$R37</f>
        <v>342.20347913908972</v>
      </c>
      <c r="P37" s="58">
        <f>'Div 9'!W$11*$R37</f>
        <v>341.543933391358</v>
      </c>
      <c r="Q37" s="58">
        <f>'Div 9'!X$11*$R37</f>
        <v>193.04537621803615</v>
      </c>
      <c r="R37" s="40">
        <f t="shared" si="33"/>
        <v>9.1603576073852212E-3</v>
      </c>
    </row>
    <row r="38" spans="1:22">
      <c r="B38" t="s">
        <v>59</v>
      </c>
      <c r="C38" s="24">
        <f>'Div 9'!I17</f>
        <v>0</v>
      </c>
      <c r="D38" s="53">
        <f>'Div 9'!J17</f>
        <v>0</v>
      </c>
      <c r="E38" s="53">
        <f>'Div 9'!K17</f>
        <v>0</v>
      </c>
      <c r="F38" s="53">
        <f>'Div 9'!L17</f>
        <v>0</v>
      </c>
      <c r="G38" s="53">
        <f>'Div 9'!M17</f>
        <v>0</v>
      </c>
      <c r="H38" s="53">
        <f>'Div 9'!N17</f>
        <v>0</v>
      </c>
      <c r="I38" s="57">
        <f>'Div 9'!P17</f>
        <v>0</v>
      </c>
      <c r="J38" s="57">
        <f>'Div 9'!Q17</f>
        <v>0</v>
      </c>
      <c r="K38" s="57">
        <f>'Div 9'!R17</f>
        <v>0</v>
      </c>
      <c r="L38" s="57">
        <f>'Div 9'!S17</f>
        <v>0</v>
      </c>
      <c r="M38" s="57">
        <f>'Div 9'!T17</f>
        <v>0</v>
      </c>
      <c r="N38" s="57">
        <f>'Div 9'!U17</f>
        <v>0</v>
      </c>
      <c r="O38" s="57">
        <f>'Div 9'!V17</f>
        <v>0</v>
      </c>
      <c r="P38" s="57">
        <f>'Div 9'!W17</f>
        <v>0</v>
      </c>
      <c r="Q38" s="57">
        <f>'Div 9'!X17</f>
        <v>0</v>
      </c>
      <c r="R38" s="41">
        <f>SUM(R35:R37)</f>
        <v>1</v>
      </c>
    </row>
    <row r="39" spans="1:22">
      <c r="B39" t="s">
        <v>50</v>
      </c>
      <c r="C39" s="25">
        <f>'Div 9'!I21</f>
        <v>418588</v>
      </c>
      <c r="D39" s="25">
        <f>'Div 9'!J21</f>
        <v>418588</v>
      </c>
      <c r="E39" s="25">
        <f>'Div 9'!K21</f>
        <v>418588</v>
      </c>
      <c r="F39" s="25">
        <f>'Div 9'!L21</f>
        <v>418588</v>
      </c>
      <c r="G39" s="25">
        <f>'Div 9'!M21</f>
        <v>418588</v>
      </c>
      <c r="H39" s="25">
        <f>'Div 9'!N21</f>
        <v>418588</v>
      </c>
      <c r="I39" s="58">
        <f>'Div 9'!P21</f>
        <v>410845</v>
      </c>
      <c r="J39" s="58">
        <f>'Div 9'!Q21</f>
        <v>410845</v>
      </c>
      <c r="K39" s="58">
        <f>'Div 9'!R21</f>
        <v>410841</v>
      </c>
      <c r="L39" s="58">
        <f>'Div 9'!S21</f>
        <v>481743</v>
      </c>
      <c r="M39" s="58">
        <f>'Div 9'!T21</f>
        <v>481743</v>
      </c>
      <c r="N39" s="58">
        <f>'Div 9'!U21</f>
        <v>481742</v>
      </c>
      <c r="O39" s="58">
        <f>'Div 9'!V21</f>
        <v>613739</v>
      </c>
      <c r="P39" s="58">
        <f>'Div 9'!W21</f>
        <v>613739</v>
      </c>
      <c r="Q39" s="58">
        <f>'Div 9'!X21</f>
        <v>613739</v>
      </c>
    </row>
    <row r="40" spans="1:22">
      <c r="B40" t="s">
        <v>77</v>
      </c>
      <c r="C40" s="25">
        <f>+'Div 9'!I26</f>
        <v>0</v>
      </c>
      <c r="D40" s="25">
        <f>+'Div 9'!J26</f>
        <v>0</v>
      </c>
      <c r="E40" s="25">
        <f>+'Div 9'!K26</f>
        <v>0</v>
      </c>
      <c r="F40" s="25">
        <f>+'Div 9'!L26</f>
        <v>0</v>
      </c>
      <c r="G40" s="25">
        <f>+'Div 9'!M26</f>
        <v>137061.62</v>
      </c>
      <c r="H40" s="25">
        <f>+'Div 9'!N26</f>
        <v>0</v>
      </c>
      <c r="I40" s="57">
        <f>+'Div 9'!P26</f>
        <v>0</v>
      </c>
      <c r="J40" s="57">
        <f>+'Div 9'!Q26</f>
        <v>0</v>
      </c>
      <c r="K40" s="57">
        <f>+'Div 9'!R26</f>
        <v>0</v>
      </c>
      <c r="L40" s="57">
        <f>+'Div 9'!S26</f>
        <v>0</v>
      </c>
      <c r="M40" s="57">
        <f>+'Div 9'!T26</f>
        <v>0</v>
      </c>
      <c r="N40" s="57">
        <f>+'Div 9'!U26</f>
        <v>0</v>
      </c>
      <c r="O40" s="57">
        <f>+'Div 9'!V26</f>
        <v>0</v>
      </c>
      <c r="P40" s="57">
        <f>+'Div 9'!W26</f>
        <v>0</v>
      </c>
      <c r="Q40" s="57">
        <f>+'Div 9'!X26</f>
        <v>0</v>
      </c>
    </row>
    <row r="41" spans="1:22">
      <c r="B41" t="s">
        <v>51</v>
      </c>
      <c r="C41" s="25">
        <f>'Div 9'!I23+'Div 9'!I27</f>
        <v>22304.63</v>
      </c>
      <c r="D41" s="25">
        <f>'Div 9'!J23+'Div 9'!J27</f>
        <v>0</v>
      </c>
      <c r="E41" s="25">
        <f>'Div 9'!K23+'Div 9'!K27</f>
        <v>2868.8900000000003</v>
      </c>
      <c r="F41" s="25">
        <f>'Div 9'!L23+'Div 9'!L27</f>
        <v>45644.119999999995</v>
      </c>
      <c r="G41" s="25">
        <f>'Div 9'!M23+'Div 9'!M27</f>
        <v>42.9</v>
      </c>
      <c r="H41" s="25">
        <f>'Div 9'!N23+'Div 9'!N27</f>
        <v>0</v>
      </c>
      <c r="I41" s="58">
        <f>'Div 9'!P23+'Div 9'!P27</f>
        <v>15032</v>
      </c>
      <c r="J41" s="58">
        <f>'Div 9'!Q23+'Div 9'!Q27</f>
        <v>191</v>
      </c>
      <c r="K41" s="58">
        <f>'Div 9'!R23+'Div 9'!R27</f>
        <v>47280</v>
      </c>
      <c r="L41" s="58">
        <f>'Div 9'!S23+'Div 9'!S27</f>
        <v>11109.77</v>
      </c>
      <c r="M41" s="58">
        <f>'Div 9'!T23+'Div 9'!T27</f>
        <v>66</v>
      </c>
      <c r="N41" s="58">
        <f>'Div 9'!U23+'Div 9'!U27</f>
        <v>338</v>
      </c>
      <c r="O41" s="58">
        <f>'Div 9'!V23+'Div 9'!V27</f>
        <v>22304.83</v>
      </c>
      <c r="P41" s="58">
        <f>'Div 9'!W23+'Div 9'!W27</f>
        <v>0</v>
      </c>
      <c r="Q41" s="58">
        <f>'Div 9'!X23+'Div 9'!X27</f>
        <v>2868.59</v>
      </c>
      <c r="R41" s="39"/>
    </row>
    <row r="42" spans="1:22">
      <c r="B42" t="s">
        <v>52</v>
      </c>
      <c r="C42" s="25">
        <f>'Div 9'!I28</f>
        <v>24522.720000000001</v>
      </c>
      <c r="D42" s="25">
        <f>'Div 9'!J28</f>
        <v>24522.720000000001</v>
      </c>
      <c r="E42" s="25">
        <f>'Div 9'!K28</f>
        <v>24522.720000000001</v>
      </c>
      <c r="F42" s="25">
        <f>'Div 9'!L28</f>
        <v>24522.720000000001</v>
      </c>
      <c r="G42" s="25">
        <f>'Div 9'!M28</f>
        <v>24522.720000000001</v>
      </c>
      <c r="H42" s="25">
        <f>'Div 9'!N28</f>
        <v>24522.76</v>
      </c>
      <c r="I42" s="58">
        <f>'Div 9'!P28</f>
        <v>26088</v>
      </c>
      <c r="J42" s="58">
        <f>'Div 9'!Q28</f>
        <v>26088</v>
      </c>
      <c r="K42" s="58">
        <f>'Div 9'!R28</f>
        <v>26088</v>
      </c>
      <c r="L42" s="58">
        <f>'Div 9'!S28</f>
        <v>27296</v>
      </c>
      <c r="M42" s="58">
        <f>'Div 9'!T28</f>
        <v>27296</v>
      </c>
      <c r="N42" s="58">
        <f>'Div 9'!U28</f>
        <v>27296</v>
      </c>
      <c r="O42" s="58">
        <f>'Div 9'!V28</f>
        <v>27296</v>
      </c>
      <c r="P42" s="58">
        <f>'Div 9'!W28</f>
        <v>27296</v>
      </c>
      <c r="Q42" s="58">
        <f>'Div 9'!X28</f>
        <v>27296</v>
      </c>
      <c r="R42" s="44" t="s">
        <v>78</v>
      </c>
    </row>
    <row r="43" spans="1:22">
      <c r="B43" t="s">
        <v>61</v>
      </c>
      <c r="C43" s="25">
        <f>'Div 9'!I30</f>
        <v>16726.78</v>
      </c>
      <c r="D43" s="25">
        <f>'Div 9'!J30</f>
        <v>11571.12</v>
      </c>
      <c r="E43" s="25">
        <f>'Div 9'!K30</f>
        <v>13827.51</v>
      </c>
      <c r="F43" s="25">
        <f>'Div 9'!L30</f>
        <v>12398.48</v>
      </c>
      <c r="G43" s="25">
        <f>'Div 9'!M30</f>
        <v>15151.86</v>
      </c>
      <c r="H43" s="25">
        <f>'Div 9'!N30</f>
        <v>11197.18</v>
      </c>
      <c r="I43" s="58">
        <f>$R43*('Div 9'!P$29+'Div 9'!P$30)</f>
        <v>50478.89364194603</v>
      </c>
      <c r="J43" s="58">
        <f>$R43*('Div 9'!Q$29+'Div 9'!Q$30)</f>
        <v>50478.89364194603</v>
      </c>
      <c r="K43" s="58">
        <f>$R43*('Div 9'!R$29+'Div 9'!R$30)</f>
        <v>50478.89364194603</v>
      </c>
      <c r="L43" s="58">
        <f>$R43*('Div 9'!S$29+'Div 9'!S$30)</f>
        <v>128597.49914245906</v>
      </c>
      <c r="M43" s="58">
        <f>$R43*('Div 9'!T$29+'Div 9'!T$30)</f>
        <v>128597.49914245906</v>
      </c>
      <c r="N43" s="58">
        <f>$R43*('Div 9'!U$29+'Div 9'!U$30)</f>
        <v>128597.49914245906</v>
      </c>
      <c r="O43" s="58">
        <f>$R43*('Div 9'!V$29+'Div 9'!V$30)</f>
        <v>128597.49914245906</v>
      </c>
      <c r="P43" s="58">
        <f>$R43*('Div 9'!W$29+'Div 9'!W$30)</f>
        <v>128597.49914245906</v>
      </c>
      <c r="Q43" s="58">
        <f>$R43*('Div 9'!X$29+'Div 9'!X$30)</f>
        <v>128597.49914245906</v>
      </c>
      <c r="R43" s="43">
        <f>SUM(C43:H43)/SUM($C$43:$H$45)</f>
        <v>3.2590156654365052</v>
      </c>
      <c r="S43" s="50">
        <f>[1]Allocation!$E$15</f>
        <v>5.6412179785543033E-2</v>
      </c>
      <c r="U43" s="63">
        <v>3.2590156654365052</v>
      </c>
      <c r="V43" s="38">
        <f>R43-U43</f>
        <v>0</v>
      </c>
    </row>
    <row r="44" spans="1:22">
      <c r="B44" t="s">
        <v>62</v>
      </c>
      <c r="C44" s="25">
        <f>'Div 9'!I31</f>
        <v>21550.87</v>
      </c>
      <c r="D44" s="25">
        <f>'Div 9'!J31</f>
        <v>15312.85</v>
      </c>
      <c r="E44" s="25">
        <f>'Div 9'!K31</f>
        <v>15558.85</v>
      </c>
      <c r="F44" s="25">
        <f>'Div 9'!L31</f>
        <v>16300.88</v>
      </c>
      <c r="G44" s="25">
        <f>'Div 9'!M31</f>
        <v>20184.490000000002</v>
      </c>
      <c r="H44" s="25">
        <f>'Div 9'!N31</f>
        <v>-41809.89</v>
      </c>
      <c r="I44" s="58">
        <f>$R44*('Div 9'!P$29+'Div 9'!P$30)</f>
        <v>29397.444320281913</v>
      </c>
      <c r="J44" s="58">
        <f>$R44*('Div 9'!Q$29+'Div 9'!Q$30)</f>
        <v>29397.444320281913</v>
      </c>
      <c r="K44" s="58">
        <f>$R44*('Div 9'!R$29+'Div 9'!R$30)</f>
        <v>29397.444320281913</v>
      </c>
      <c r="L44" s="58">
        <f>$R44*('Div 9'!S$29+'Div 9'!S$30)</f>
        <v>74891.455577119501</v>
      </c>
      <c r="M44" s="58">
        <f>$R44*('Div 9'!T$29+'Div 9'!T$30)</f>
        <v>74891.455577119501</v>
      </c>
      <c r="N44" s="58">
        <f>$R44*('Div 9'!U$29+'Div 9'!U$30)</f>
        <v>74891.455577119501</v>
      </c>
      <c r="O44" s="58">
        <f>$R44*('Div 9'!V$29+'Div 9'!V$30)</f>
        <v>74891.455577119501</v>
      </c>
      <c r="P44" s="58">
        <f>$R44*('Div 9'!W$29+'Div 9'!W$30)</f>
        <v>74891.455577119501</v>
      </c>
      <c r="Q44" s="58">
        <f>$R44*('Div 9'!X$29+'Div 9'!X$30)</f>
        <v>74891.455577119501</v>
      </c>
      <c r="R44" s="43">
        <f t="shared" ref="R44:R45" si="34">SUM(C44:H44)/SUM($C$43:$H$45)</f>
        <v>1.8979562476778302</v>
      </c>
      <c r="S44" s="50">
        <f>[1]Allocation!$E$14</f>
        <v>5.1771199999999996E-2</v>
      </c>
      <c r="U44" s="63">
        <v>1.8979562476778302</v>
      </c>
      <c r="V44" s="38">
        <f>R44-U44</f>
        <v>0</v>
      </c>
    </row>
    <row r="45" spans="1:22">
      <c r="B45" t="s">
        <v>63</v>
      </c>
      <c r="C45" s="25">
        <f>'Div 9'!I32</f>
        <v>18808.73</v>
      </c>
      <c r="D45" s="25">
        <f>'Div 9'!J32</f>
        <v>-179541.32</v>
      </c>
      <c r="E45" s="25">
        <f>'Div 9'!K32</f>
        <v>7557.2</v>
      </c>
      <c r="F45" s="25">
        <f>'Div 9'!L32</f>
        <v>16024.58</v>
      </c>
      <c r="G45" s="25">
        <f>'Div 9'!M32</f>
        <v>18266.22</v>
      </c>
      <c r="H45" s="25">
        <f>'Div 9'!N32</f>
        <v>15728.75</v>
      </c>
      <c r="I45" s="58">
        <f>$R45*('Div 9'!P$29+'Div 9'!P$30)</f>
        <v>-64387.337962227932</v>
      </c>
      <c r="J45" s="58">
        <f>$R45*('Div 9'!Q$29+'Div 9'!Q$30)</f>
        <v>-64387.337962227932</v>
      </c>
      <c r="K45" s="58">
        <f>$R45*('Div 9'!R$29+'Div 9'!R$30)</f>
        <v>-64387.337962227932</v>
      </c>
      <c r="L45" s="58">
        <f>$R45*('Div 9'!S$29+'Div 9'!S$30)</f>
        <v>-164029.95471957853</v>
      </c>
      <c r="M45" s="58">
        <f>$R45*('Div 9'!T$29+'Div 9'!T$30)</f>
        <v>-164029.95471957853</v>
      </c>
      <c r="N45" s="58">
        <f>$R45*('Div 9'!U$29+'Div 9'!U$30)</f>
        <v>-164029.95471957853</v>
      </c>
      <c r="O45" s="58">
        <f>$R45*('Div 9'!V$29+'Div 9'!V$30)</f>
        <v>-164029.95471957853</v>
      </c>
      <c r="P45" s="58">
        <f>$R45*('Div 9'!W$29+'Div 9'!W$30)</f>
        <v>-164029.95471957853</v>
      </c>
      <c r="Q45" s="58">
        <f>$R45*('Div 9'!X$29+'Div 9'!X$30)</f>
        <v>-164029.95471957853</v>
      </c>
      <c r="R45" s="43">
        <f t="shared" si="34"/>
        <v>-4.1569719131143348</v>
      </c>
      <c r="S45" s="50">
        <f>[1]Allocation!$E$17</f>
        <v>0.49780000000000002</v>
      </c>
      <c r="U45" s="63">
        <v>-4.1569719131143348</v>
      </c>
      <c r="V45" s="38">
        <f>R45-U45</f>
        <v>0</v>
      </c>
    </row>
    <row r="46" spans="1:22">
      <c r="B46" s="30" t="s">
        <v>58</v>
      </c>
      <c r="C46" s="29">
        <f t="shared" ref="C46" si="35">SUM(C35:C45)</f>
        <v>566216.27</v>
      </c>
      <c r="D46" s="29">
        <f t="shared" ref="D46:H46" si="36">SUM(D35:D45)</f>
        <v>312504.23999999993</v>
      </c>
      <c r="E46" s="29">
        <f t="shared" si="36"/>
        <v>527772.1399999999</v>
      </c>
      <c r="F46" s="29">
        <f t="shared" si="36"/>
        <v>552950.53999999992</v>
      </c>
      <c r="G46" s="29">
        <f t="shared" si="36"/>
        <v>656879.85999999987</v>
      </c>
      <c r="H46" s="29">
        <f t="shared" si="36"/>
        <v>452393.74</v>
      </c>
      <c r="I46" s="61">
        <f>'Div 9'!P35</f>
        <v>521417</v>
      </c>
      <c r="J46" s="61">
        <f>'Div 9'!Q35</f>
        <v>495966</v>
      </c>
      <c r="K46" s="61">
        <f>'Div 9'!R35</f>
        <v>581696</v>
      </c>
      <c r="L46" s="61">
        <f>'Div 9'!S35</f>
        <v>595239.77</v>
      </c>
      <c r="M46" s="61">
        <f>'Div 9'!T35</f>
        <v>647814</v>
      </c>
      <c r="N46" s="61">
        <f>'Div 9'!U35</f>
        <v>572506</v>
      </c>
      <c r="O46" s="61">
        <f>'Div 9'!V35</f>
        <v>765349.83</v>
      </c>
      <c r="P46" s="61">
        <f>'Div 9'!W35</f>
        <v>720537</v>
      </c>
      <c r="Q46" s="61">
        <f>'Div 9'!X35</f>
        <v>735689.59</v>
      </c>
      <c r="R46" s="42">
        <f>SUM(R43:R45)</f>
        <v>1.0000000000000009</v>
      </c>
    </row>
    <row r="47" spans="1:22">
      <c r="B47" s="30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T47" s="25"/>
    </row>
    <row r="48" spans="1:22">
      <c r="B48" s="15" t="s">
        <v>66</v>
      </c>
      <c r="C48" s="25">
        <f>'Div 9'!I35</f>
        <v>566216.27</v>
      </c>
      <c r="D48" s="25">
        <f>'Div 9'!J35</f>
        <v>312504.24</v>
      </c>
      <c r="E48" s="25">
        <f>'Div 9'!K35</f>
        <v>527772.14</v>
      </c>
      <c r="F48" s="25">
        <f>'Div 9'!L35</f>
        <v>552950.54</v>
      </c>
      <c r="G48" s="25">
        <f>'Div 9'!M35</f>
        <v>656879.86</v>
      </c>
      <c r="H48" s="25">
        <f>'Div 9'!N35</f>
        <v>452393.74</v>
      </c>
      <c r="I48" s="25">
        <f>'Div 9'!P35</f>
        <v>521417</v>
      </c>
      <c r="J48" s="25">
        <f>'Div 9'!Q35</f>
        <v>495966</v>
      </c>
      <c r="K48" s="25">
        <f>'Div 9'!R35</f>
        <v>581696</v>
      </c>
      <c r="L48" s="25">
        <f>'Div 9'!S35</f>
        <v>595239.77</v>
      </c>
      <c r="M48" s="25">
        <f>'Div 9'!T35</f>
        <v>647814</v>
      </c>
      <c r="N48" s="25">
        <f>'Div 9'!U35</f>
        <v>572506</v>
      </c>
      <c r="O48" s="25">
        <f>'Div 9'!V35</f>
        <v>765349.83</v>
      </c>
      <c r="P48" s="25">
        <f>'Div 9'!W35</f>
        <v>720537</v>
      </c>
      <c r="Q48" s="25">
        <f>'Div 9'!X35</f>
        <v>735689.59</v>
      </c>
      <c r="R48" s="39"/>
    </row>
    <row r="49" spans="2:18">
      <c r="B49" s="15" t="s">
        <v>67</v>
      </c>
      <c r="C49" s="25">
        <f t="shared" ref="C49:D49" si="37">C46-C48</f>
        <v>0</v>
      </c>
      <c r="D49" s="25">
        <f t="shared" si="37"/>
        <v>0</v>
      </c>
      <c r="E49" s="25">
        <f t="shared" ref="E49" si="38">E46-E48</f>
        <v>0</v>
      </c>
      <c r="F49" s="25">
        <f t="shared" ref="F49" si="39">F46-F48</f>
        <v>0</v>
      </c>
      <c r="G49" s="25">
        <f t="shared" ref="G49" si="40">G46-G48</f>
        <v>0</v>
      </c>
      <c r="H49" s="25">
        <f t="shared" ref="H49:I49" si="41">H46-H48</f>
        <v>0</v>
      </c>
      <c r="I49" s="25">
        <f t="shared" si="41"/>
        <v>0</v>
      </c>
      <c r="J49" s="25">
        <f t="shared" ref="J49" si="42">J46-J48</f>
        <v>0</v>
      </c>
      <c r="K49" s="25">
        <f t="shared" ref="K49:Q49" si="43">K46-K48</f>
        <v>0</v>
      </c>
      <c r="L49" s="25">
        <f t="shared" si="43"/>
        <v>0</v>
      </c>
      <c r="M49" s="25">
        <f t="shared" si="43"/>
        <v>0</v>
      </c>
      <c r="N49" s="25">
        <f t="shared" si="43"/>
        <v>0</v>
      </c>
      <c r="O49" s="25">
        <f t="shared" si="43"/>
        <v>0</v>
      </c>
      <c r="P49" s="25">
        <f t="shared" si="43"/>
        <v>0</v>
      </c>
      <c r="Q49" s="25">
        <f t="shared" si="43"/>
        <v>0</v>
      </c>
    </row>
    <row r="50" spans="2:18">
      <c r="I50" s="25">
        <f>I46-SUM(I35:I45)</f>
        <v>22287.999999999942</v>
      </c>
      <c r="J50" s="25">
        <f>J46-SUM(J35:J45)</f>
        <v>22287.999999999942</v>
      </c>
      <c r="K50" s="25">
        <f t="shared" ref="K50:Q50" si="44">K46-SUM(K35:K45)</f>
        <v>22288</v>
      </c>
      <c r="L50" s="25">
        <f t="shared" si="44"/>
        <v>0</v>
      </c>
      <c r="M50" s="25">
        <f t="shared" si="44"/>
        <v>0</v>
      </c>
      <c r="N50" s="25">
        <f t="shared" si="44"/>
        <v>0</v>
      </c>
      <c r="O50" s="25">
        <f t="shared" si="44"/>
        <v>25194</v>
      </c>
      <c r="P50" s="25">
        <f t="shared" si="44"/>
        <v>2758</v>
      </c>
      <c r="Q50" s="25">
        <f t="shared" si="44"/>
        <v>31253</v>
      </c>
    </row>
    <row r="52" spans="2:18">
      <c r="B52" t="s">
        <v>73</v>
      </c>
      <c r="C52" s="25">
        <f>SUM(C43:C45)</f>
        <v>57086.37999999999</v>
      </c>
      <c r="D52" s="25">
        <f t="shared" ref="D52:Q52" si="45">SUM(D43:D45)</f>
        <v>-152657.35</v>
      </c>
      <c r="E52" s="25">
        <f t="shared" si="45"/>
        <v>36943.56</v>
      </c>
      <c r="F52" s="25">
        <f t="shared" si="45"/>
        <v>44723.94</v>
      </c>
      <c r="G52" s="25">
        <f t="shared" si="45"/>
        <v>53602.570000000007</v>
      </c>
      <c r="H52" s="25">
        <f t="shared" si="45"/>
        <v>-14883.96</v>
      </c>
      <c r="I52" s="25">
        <f t="shared" si="45"/>
        <v>15489.000000000015</v>
      </c>
      <c r="J52" s="25">
        <f t="shared" si="45"/>
        <v>15489.000000000015</v>
      </c>
      <c r="K52" s="25">
        <f t="shared" si="45"/>
        <v>15489.000000000015</v>
      </c>
      <c r="L52" s="25">
        <f t="shared" si="45"/>
        <v>39459.000000000029</v>
      </c>
      <c r="M52" s="25">
        <f t="shared" si="45"/>
        <v>39459.000000000029</v>
      </c>
      <c r="N52" s="25">
        <f t="shared" si="45"/>
        <v>39459.000000000029</v>
      </c>
      <c r="O52" s="25">
        <f t="shared" si="45"/>
        <v>39459.000000000029</v>
      </c>
      <c r="P52" s="25">
        <f t="shared" si="45"/>
        <v>39459.000000000029</v>
      </c>
      <c r="Q52" s="25">
        <f t="shared" si="45"/>
        <v>39459.000000000029</v>
      </c>
      <c r="R52" s="38"/>
    </row>
    <row r="53" spans="2:18">
      <c r="C53" s="25">
        <f>'Div 9'!C42</f>
        <v>43380.01</v>
      </c>
      <c r="D53" s="25">
        <f>'Div 9'!D42</f>
        <v>58140.56</v>
      </c>
      <c r="E53" s="25">
        <f>'Div 9'!E42</f>
        <v>27208.81</v>
      </c>
      <c r="F53" s="25">
        <f>'Div 9'!F42</f>
        <v>44993.259999999995</v>
      </c>
      <c r="G53" s="25">
        <f>'Div 9'!G42</f>
        <v>113816.5</v>
      </c>
      <c r="H53" s="25">
        <f>'Div 9'!H42</f>
        <v>35048.629999999997</v>
      </c>
      <c r="I53" s="25">
        <f>'Div 9'!P42</f>
        <v>37777</v>
      </c>
      <c r="J53" s="25">
        <f>'Div 9'!Q42</f>
        <v>37777</v>
      </c>
      <c r="K53" s="25">
        <f>'Div 9'!R42</f>
        <v>37777</v>
      </c>
      <c r="L53" s="25">
        <f>'Div 9'!S42</f>
        <v>39459</v>
      </c>
      <c r="M53" s="25">
        <f>'Div 9'!T42</f>
        <v>39459</v>
      </c>
      <c r="N53" s="25">
        <f>'Div 9'!U42</f>
        <v>39459</v>
      </c>
      <c r="O53" s="25">
        <f>'Div 9'!V42</f>
        <v>39459</v>
      </c>
      <c r="P53" s="25">
        <f>'Div 9'!W42</f>
        <v>39459</v>
      </c>
      <c r="Q53" s="25">
        <f>'Div 9'!X42</f>
        <v>39459</v>
      </c>
      <c r="R53" s="38"/>
    </row>
    <row r="54" spans="2:18">
      <c r="J54" s="25"/>
      <c r="K54" s="25"/>
      <c r="L54" s="25"/>
      <c r="M54" s="25"/>
      <c r="N54" s="25"/>
      <c r="O54" s="25"/>
      <c r="P54" s="25"/>
      <c r="Q54" s="25"/>
      <c r="R54" s="38"/>
    </row>
    <row r="55" spans="2:18">
      <c r="J55" s="25"/>
      <c r="K55" s="25"/>
      <c r="L55" s="25"/>
      <c r="M55" s="25"/>
      <c r="N55" s="25"/>
      <c r="O55" s="25"/>
      <c r="P55" s="25"/>
      <c r="Q55" s="25"/>
    </row>
    <row r="56" spans="2:18">
      <c r="H56" s="25">
        <f>J56*S43</f>
        <v>15400.073784014967</v>
      </c>
      <c r="I56" s="58">
        <f>'[1]C.2.3 B'!$I$47</f>
        <v>272992.00000000006</v>
      </c>
      <c r="J56" s="58">
        <f>'[1]C.2.3 B'!$J$47</f>
        <v>272992.00000000006</v>
      </c>
      <c r="L56" s="25"/>
      <c r="M56" s="25"/>
      <c r="N56" s="25"/>
      <c r="O56" s="25"/>
      <c r="P56" s="25"/>
      <c r="Q56" s="25"/>
    </row>
    <row r="57" spans="2:18">
      <c r="B57" t="s">
        <v>74</v>
      </c>
      <c r="C57" s="25"/>
      <c r="D57" s="25"/>
      <c r="E57" s="25"/>
      <c r="F57" s="25"/>
      <c r="G57" s="25"/>
      <c r="H57" s="25">
        <f>J57*S43</f>
        <v>50478.89364194603</v>
      </c>
      <c r="I57" s="55">
        <f>(I43)/$S43</f>
        <v>894822.60451283702</v>
      </c>
      <c r="J57" s="45">
        <f>(J43)/$S43</f>
        <v>894822.60451283702</v>
      </c>
      <c r="K57" s="45">
        <f t="shared" ref="K57:Q57" si="46">K43/$S43</f>
        <v>894822.60451283702</v>
      </c>
      <c r="L57" s="45">
        <f t="shared" si="46"/>
        <v>2279605.2134722727</v>
      </c>
      <c r="M57" s="45">
        <f t="shared" si="46"/>
        <v>2279605.2134722727</v>
      </c>
      <c r="N57" s="45">
        <f t="shared" si="46"/>
        <v>2279605.2134722727</v>
      </c>
      <c r="O57" s="45">
        <f t="shared" si="46"/>
        <v>2279605.2134722727</v>
      </c>
      <c r="P57" s="45">
        <f t="shared" si="46"/>
        <v>2279605.2134722727</v>
      </c>
      <c r="Q57" s="45">
        <f t="shared" si="46"/>
        <v>2279605.2134722727</v>
      </c>
      <c r="R57" s="45"/>
    </row>
    <row r="58" spans="2:18">
      <c r="B58" t="s">
        <v>75</v>
      </c>
      <c r="H58" s="25">
        <f>J58*S44</f>
        <v>29397.444320281913</v>
      </c>
      <c r="I58" s="55">
        <f>I44/$S44</f>
        <v>567833.93702061987</v>
      </c>
      <c r="J58" s="45">
        <f>J44/$S44</f>
        <v>567833.93702061987</v>
      </c>
      <c r="K58" s="45">
        <f t="shared" ref="J58:Q59" si="47">K44/$S44</f>
        <v>567833.93702061987</v>
      </c>
      <c r="L58" s="45">
        <f t="shared" si="47"/>
        <v>1446585.2747689739</v>
      </c>
      <c r="M58" s="45">
        <f t="shared" si="47"/>
        <v>1446585.2747689739</v>
      </c>
      <c r="N58" s="45">
        <f t="shared" si="47"/>
        <v>1446585.2747689739</v>
      </c>
      <c r="O58" s="45">
        <f t="shared" si="47"/>
        <v>1446585.2747689739</v>
      </c>
      <c r="P58" s="45">
        <f t="shared" si="47"/>
        <v>1446585.2747689739</v>
      </c>
      <c r="Q58" s="45">
        <f t="shared" si="47"/>
        <v>1446585.2747689739</v>
      </c>
    </row>
    <row r="59" spans="2:18">
      <c r="B59" t="s">
        <v>76</v>
      </c>
      <c r="H59" s="25">
        <f>J59*S45</f>
        <v>-64387.337962227932</v>
      </c>
      <c r="I59" s="55">
        <f t="shared" ref="I59" si="48">I45/$S45</f>
        <v>-129343.78859427065</v>
      </c>
      <c r="J59" s="45">
        <f t="shared" si="47"/>
        <v>-129343.78859427065</v>
      </c>
      <c r="K59" s="45">
        <f t="shared" si="47"/>
        <v>-129343.78859427065</v>
      </c>
      <c r="L59" s="45">
        <f t="shared" si="47"/>
        <v>-329509.75234949484</v>
      </c>
      <c r="M59" s="45">
        <f t="shared" si="47"/>
        <v>-329509.75234949484</v>
      </c>
      <c r="N59" s="45">
        <f t="shared" si="47"/>
        <v>-329509.75234949484</v>
      </c>
      <c r="O59" s="45">
        <f t="shared" si="47"/>
        <v>-329509.75234949484</v>
      </c>
      <c r="P59" s="45">
        <f t="shared" si="47"/>
        <v>-329509.75234949484</v>
      </c>
      <c r="Q59" s="45">
        <f t="shared" si="47"/>
        <v>-329509.75234949484</v>
      </c>
    </row>
    <row r="60" spans="2:18">
      <c r="H60" s="25">
        <f>SUM(H57:H59)</f>
        <v>15489.000000000015</v>
      </c>
    </row>
    <row r="62" spans="2:18">
      <c r="J62" s="25">
        <f>$S43*(J20)</f>
        <v>15400.073784014967</v>
      </c>
      <c r="K62" s="25">
        <f t="shared" ref="K62:Q62" si="49">$S43*K20</f>
        <v>15400.073784014967</v>
      </c>
      <c r="L62" s="25">
        <f t="shared" si="49"/>
        <v>16085.594592768886</v>
      </c>
      <c r="M62" s="25">
        <f t="shared" si="49"/>
        <v>16085.594592768886</v>
      </c>
      <c r="N62" s="25">
        <f t="shared" si="49"/>
        <v>16085.594592768886</v>
      </c>
      <c r="O62" s="25">
        <f t="shared" si="49"/>
        <v>16085.594592768886</v>
      </c>
      <c r="P62" s="25">
        <f t="shared" si="49"/>
        <v>16085.594592768886</v>
      </c>
      <c r="Q62" s="25">
        <f t="shared" si="49"/>
        <v>16085.594592768886</v>
      </c>
      <c r="R62" s="44"/>
    </row>
    <row r="63" spans="2:18">
      <c r="J63" s="25">
        <f>$S44*(J11)</f>
        <v>22152.171683199998</v>
      </c>
      <c r="K63" s="25">
        <f t="shared" ref="K63:Q63" si="50">$S44*K11</f>
        <v>22152.171683199998</v>
      </c>
      <c r="L63" s="25">
        <f t="shared" si="50"/>
        <v>23138.257729599998</v>
      </c>
      <c r="M63" s="25">
        <f t="shared" si="50"/>
        <v>23138.257729599998</v>
      </c>
      <c r="N63" s="25">
        <f t="shared" si="50"/>
        <v>23138.257729599998</v>
      </c>
      <c r="O63" s="25">
        <f t="shared" si="50"/>
        <v>23138.257729599998</v>
      </c>
      <c r="P63" s="25">
        <f t="shared" si="50"/>
        <v>23138.257729599998</v>
      </c>
      <c r="Q63" s="25">
        <f t="shared" si="50"/>
        <v>23138.257729599998</v>
      </c>
      <c r="R63" s="44"/>
    </row>
    <row r="64" spans="2:18">
      <c r="J64" s="25">
        <f>$S45*(J31)</f>
        <v>-64387.337962227924</v>
      </c>
      <c r="K64" s="25">
        <f t="shared" ref="K64:Q64" si="51">$S45*K31</f>
        <v>-64387.337962227924</v>
      </c>
      <c r="L64" s="25">
        <f t="shared" si="51"/>
        <v>-164029.95471957853</v>
      </c>
      <c r="M64" s="25">
        <f t="shared" si="51"/>
        <v>-164029.95471957853</v>
      </c>
      <c r="N64" s="25">
        <f t="shared" si="51"/>
        <v>-164029.95471957853</v>
      </c>
      <c r="O64" s="25">
        <f t="shared" si="51"/>
        <v>-164029.95471957853</v>
      </c>
      <c r="P64" s="25">
        <f t="shared" si="51"/>
        <v>-164029.95471957853</v>
      </c>
      <c r="Q64" s="25">
        <f t="shared" si="51"/>
        <v>-164029.95471957853</v>
      </c>
    </row>
    <row r="65" spans="10:17">
      <c r="J65" s="25">
        <f>SUM(J62:J64)</f>
        <v>-26835.092495012963</v>
      </c>
      <c r="K65" s="25">
        <f t="shared" ref="K65:Q65" si="52">SUM(K62:K64)</f>
        <v>-26835.092495012963</v>
      </c>
      <c r="L65" s="25">
        <f t="shared" si="52"/>
        <v>-124806.10239720964</v>
      </c>
      <c r="M65" s="25">
        <f t="shared" si="52"/>
        <v>-124806.10239720964</v>
      </c>
      <c r="N65" s="25">
        <f t="shared" si="52"/>
        <v>-124806.10239720964</v>
      </c>
      <c r="O65" s="25">
        <f t="shared" si="52"/>
        <v>-124806.10239720964</v>
      </c>
      <c r="P65" s="25">
        <f t="shared" si="52"/>
        <v>-124806.10239720964</v>
      </c>
      <c r="Q65" s="25">
        <f t="shared" si="52"/>
        <v>-124806.10239720964</v>
      </c>
    </row>
    <row r="66" spans="10:17">
      <c r="J66" s="25">
        <f t="shared" ref="J66:Q66" si="53">J65-J53</f>
        <v>-64612.092495012963</v>
      </c>
      <c r="K66" s="25">
        <f t="shared" si="53"/>
        <v>-64612.092495012963</v>
      </c>
      <c r="L66" s="25">
        <f t="shared" si="53"/>
        <v>-164265.10239720964</v>
      </c>
      <c r="M66" s="25">
        <f t="shared" si="53"/>
        <v>-164265.10239720964</v>
      </c>
      <c r="N66" s="25">
        <f t="shared" si="53"/>
        <v>-164265.10239720964</v>
      </c>
      <c r="O66" s="25">
        <f t="shared" si="53"/>
        <v>-164265.10239720964</v>
      </c>
      <c r="P66" s="25">
        <f t="shared" si="53"/>
        <v>-164265.10239720964</v>
      </c>
      <c r="Q66" s="25">
        <f t="shared" si="53"/>
        <v>-164265.10239720964</v>
      </c>
    </row>
    <row r="70" spans="10:17">
      <c r="J70" s="25"/>
    </row>
    <row r="71" spans="10:17">
      <c r="J71" s="25"/>
    </row>
    <row r="72" spans="10:17">
      <c r="J72" s="25"/>
    </row>
    <row r="73" spans="10:17">
      <c r="J73" s="25"/>
    </row>
  </sheetData>
  <pageMargins left="1.02" right="0.34" top="0.55000000000000004" bottom="0.59" header="0.3" footer="0.19"/>
  <pageSetup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Div 9</vt:lpstr>
      <vt:lpstr>Div 91</vt:lpstr>
      <vt:lpstr>Div 2</vt:lpstr>
      <vt:lpstr>Div 12</vt:lpstr>
      <vt:lpstr>2019 PlanIt Budget</vt:lpstr>
      <vt:lpstr>2018 PlanIt Budget</vt:lpstr>
      <vt:lpstr>summary</vt:lpstr>
      <vt:lpstr>'Div 12'!Print_Area</vt:lpstr>
      <vt:lpstr>'Div 2'!Print_Area</vt:lpstr>
      <vt:lpstr>'Div 9'!Print_Area</vt:lpstr>
      <vt:lpstr>'Div 91'!Print_Area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Paul</dc:creator>
  <cp:lastModifiedBy>Eric  Wilen</cp:lastModifiedBy>
  <cp:lastPrinted>2018-10-11T13:26:55Z</cp:lastPrinted>
  <dcterms:created xsi:type="dcterms:W3CDTF">2013-02-18T23:37:43Z</dcterms:created>
  <dcterms:modified xsi:type="dcterms:W3CDTF">2018-10-11T13:28:11Z</dcterms:modified>
</cp:coreProperties>
</file>