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W:\Discovery\Kentucky\2018-00281 (2018 Kentucky Rate Case)\Staff Set 1 Attachments\"/>
    </mc:Choice>
  </mc:AlternateContent>
  <bookViews>
    <workbookView xWindow="0" yWindow="0" windowWidth="28800" windowHeight="12135" firstSheet="1" activeTab="1"/>
  </bookViews>
  <sheets>
    <sheet name="Instructions" sheetId="15" state="hidden" r:id="rId1"/>
    <sheet name="Methodology" sheetId="12" r:id="rId2"/>
    <sheet name="Calculation" sheetId="1" r:id="rId3"/>
    <sheet name="December 2016"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'December 2016'!$A$1:$D$16</definedName>
    <definedName name="_xlnm.Print_Area" localSheetId="1">Methodology!$A$1:$K$87</definedName>
    <definedName name="_xlnm.Print_Area" localSheetId="4">'Wp C'!$A$1:$C$17</definedName>
    <definedName name="_xlnm.Print_Area" localSheetId="7">'Wp L - LTD'!$A$1:$J$34</definedName>
    <definedName name="_xlnm.Print_Area" localSheetId="6">'WP S'!$A$1:$M$31</definedName>
    <definedName name="_xlnm.Print_Area" localSheetId="5">'Wp s rate'!$A$1:$K$26</definedName>
    <definedName name="_xlnm.Print_Area" localSheetId="8">'Wp W - CWIP'!$A$1:$F$26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iterate="1"/>
</workbook>
</file>

<file path=xl/calcChain.xml><?xml version="1.0" encoding="utf-8"?>
<calcChain xmlns="http://schemas.openxmlformats.org/spreadsheetml/2006/main">
  <c r="B10" i="14" l="1"/>
  <c r="N13" i="3" l="1"/>
  <c r="I13" i="3" s="1"/>
  <c r="D30" i="5" l="1"/>
  <c r="H27" i="5" l="1"/>
  <c r="I26" i="5"/>
  <c r="I27" i="5" l="1"/>
  <c r="H30" i="5"/>
  <c r="N23" i="3"/>
  <c r="Q23" i="3" s="1"/>
  <c r="K23" i="3"/>
  <c r="E23" i="3"/>
  <c r="N22" i="3"/>
  <c r="Q22" i="3" s="1"/>
  <c r="K22" i="3"/>
  <c r="E22" i="3"/>
  <c r="N21" i="3"/>
  <c r="Q21" i="3" s="1"/>
  <c r="K21" i="3"/>
  <c r="E21" i="3"/>
  <c r="N20" i="3"/>
  <c r="Q20" i="3" s="1"/>
  <c r="K20" i="3"/>
  <c r="E20" i="3"/>
  <c r="N19" i="3"/>
  <c r="Q19" i="3" s="1"/>
  <c r="K19" i="3"/>
  <c r="E19" i="3"/>
  <c r="N18" i="3"/>
  <c r="Q18" i="3" s="1"/>
  <c r="K18" i="3"/>
  <c r="E18" i="3"/>
  <c r="N17" i="3"/>
  <c r="Q17" i="3" s="1"/>
  <c r="K17" i="3"/>
  <c r="E17" i="3"/>
  <c r="N16" i="3"/>
  <c r="Q16" i="3" s="1"/>
  <c r="K16" i="3"/>
  <c r="E16" i="3"/>
  <c r="N15" i="3"/>
  <c r="Q15" i="3" s="1"/>
  <c r="K15" i="3"/>
  <c r="E15" i="3"/>
  <c r="E14" i="3"/>
  <c r="E13" i="3"/>
  <c r="E12" i="3"/>
  <c r="C24" i="2" l="1"/>
  <c r="I12" i="5" l="1"/>
  <c r="G24" i="1" l="1"/>
  <c r="N14" i="1" s="1"/>
  <c r="G30" i="5"/>
  <c r="I13" i="5"/>
  <c r="I14" i="5"/>
  <c r="I16" i="5"/>
  <c r="I17" i="5"/>
  <c r="I18" i="5"/>
  <c r="I19" i="5"/>
  <c r="I22" i="5"/>
  <c r="I23" i="5"/>
  <c r="I24" i="5"/>
  <c r="I25" i="5"/>
  <c r="B23" i="3"/>
  <c r="B22" i="3"/>
  <c r="B21" i="3"/>
  <c r="B20" i="3"/>
  <c r="B19" i="3"/>
  <c r="B18" i="3"/>
  <c r="B17" i="3"/>
  <c r="B16" i="3"/>
  <c r="B15" i="3"/>
  <c r="B14" i="3"/>
  <c r="B13" i="3"/>
  <c r="B12" i="3"/>
  <c r="G30" i="1"/>
  <c r="F25" i="3"/>
  <c r="G12" i="3" s="1"/>
  <c r="M12" i="3" s="1"/>
  <c r="G28" i="1"/>
  <c r="N16" i="1" s="1"/>
  <c r="I15" i="5"/>
  <c r="O28" i="1"/>
  <c r="N15" i="1"/>
  <c r="A3" i="1"/>
  <c r="A3" i="12" s="1"/>
  <c r="C25" i="3"/>
  <c r="I30" i="5" l="1"/>
  <c r="G20" i="3"/>
  <c r="M20" i="3" s="1"/>
  <c r="G16" i="3"/>
  <c r="M16" i="3" s="1"/>
  <c r="G23" i="3"/>
  <c r="M23" i="3" s="1"/>
  <c r="G19" i="3"/>
  <c r="M19" i="3" s="1"/>
  <c r="G15" i="3"/>
  <c r="M15" i="3" s="1"/>
  <c r="G13" i="3"/>
  <c r="M13" i="3" s="1"/>
  <c r="G22" i="3"/>
  <c r="M22" i="3" s="1"/>
  <c r="G21" i="3"/>
  <c r="M21" i="3" s="1"/>
  <c r="G17" i="3"/>
  <c r="M17" i="3" s="1"/>
  <c r="G18" i="3"/>
  <c r="M18" i="3" s="1"/>
  <c r="G14" i="3"/>
  <c r="M14" i="3" s="1"/>
  <c r="N17" i="1"/>
  <c r="O14" i="1" s="1"/>
  <c r="F30" i="5"/>
  <c r="E25" i="3"/>
  <c r="G22" i="1" s="1"/>
  <c r="N23" i="1" s="1"/>
  <c r="N26" i="1" s="1"/>
  <c r="J30" i="5" l="1"/>
  <c r="G25" i="1" s="1"/>
  <c r="O27" i="1" s="1"/>
  <c r="G25" i="3"/>
  <c r="D38" i="1"/>
  <c r="O15" i="1"/>
  <c r="O16" i="1"/>
  <c r="N24" i="1"/>
  <c r="N27" i="1" s="1"/>
  <c r="I14" i="13" l="1"/>
  <c r="I16" i="13"/>
  <c r="I18" i="13"/>
  <c r="I20" i="13"/>
  <c r="I22" i="13"/>
  <c r="I15" i="13"/>
  <c r="I17" i="13"/>
  <c r="I19" i="13"/>
  <c r="I21" i="13"/>
  <c r="O17" i="1"/>
  <c r="I23" i="13"/>
  <c r="P27" i="1"/>
  <c r="N28" i="1"/>
  <c r="P28" i="1" s="1"/>
  <c r="P32" i="1" s="1"/>
  <c r="N29" i="1" l="1"/>
  <c r="H25" i="3" l="1"/>
  <c r="H28" i="3" l="1"/>
  <c r="C23" i="13" l="1"/>
  <c r="C15" i="13"/>
  <c r="C21" i="13"/>
  <c r="C16" i="13"/>
  <c r="C22" i="13"/>
  <c r="C14" i="13"/>
  <c r="C19" i="13"/>
  <c r="C18" i="13"/>
  <c r="C20" i="13"/>
  <c r="C17" i="13"/>
  <c r="N12" i="3"/>
  <c r="I12" i="3" s="1"/>
  <c r="K12" i="3" s="1"/>
  <c r="F12" i="13" l="1"/>
  <c r="J12" i="13" l="1"/>
  <c r="K13" i="3"/>
  <c r="F13" i="13" l="1"/>
  <c r="J13" i="13" l="1"/>
  <c r="N14" i="3"/>
  <c r="I14" i="3"/>
  <c r="K14" i="3" s="1"/>
  <c r="K25" i="3" s="1"/>
  <c r="I25" i="3" l="1"/>
  <c r="I28" i="3" s="1"/>
  <c r="L23" i="3" l="1"/>
  <c r="L18" i="3"/>
  <c r="L19" i="3"/>
  <c r="E23" i="13"/>
  <c r="F23" i="13" s="1"/>
  <c r="E14" i="13"/>
  <c r="F14" i="13" s="1"/>
  <c r="G23" i="1" s="1"/>
  <c r="L12" i="3"/>
  <c r="L17" i="3"/>
  <c r="L22" i="3"/>
  <c r="L13" i="3"/>
  <c r="E20" i="13"/>
  <c r="F20" i="13" s="1"/>
  <c r="L14" i="3"/>
  <c r="L21" i="3"/>
  <c r="L16" i="3"/>
  <c r="E17" i="13"/>
  <c r="F17" i="13" s="1"/>
  <c r="E18" i="13"/>
  <c r="F18" i="13" s="1"/>
  <c r="E22" i="13"/>
  <c r="F22" i="13" s="1"/>
  <c r="L15" i="3"/>
  <c r="L20" i="3"/>
  <c r="L28" i="3"/>
  <c r="E16" i="13"/>
  <c r="F16" i="13" s="1"/>
  <c r="E19" i="13"/>
  <c r="F19" i="13" s="1"/>
  <c r="E15" i="13"/>
  <c r="F15" i="13" s="1"/>
  <c r="E21" i="13"/>
  <c r="F21" i="13" s="1"/>
  <c r="D36" i="1" l="1"/>
  <c r="O26" i="1"/>
  <c r="P26" i="1" s="1"/>
  <c r="P29" i="1" l="1"/>
  <c r="P31" i="1"/>
  <c r="P33" i="1" s="1"/>
  <c r="H15" i="13"/>
  <c r="J15" i="13" s="1"/>
  <c r="H18" i="13"/>
  <c r="J18" i="13" s="1"/>
  <c r="D40" i="1"/>
  <c r="C10" i="14" s="1"/>
  <c r="H21" i="13"/>
  <c r="J21" i="13" s="1"/>
  <c r="H16" i="13"/>
  <c r="J16" i="13" s="1"/>
  <c r="H19" i="13"/>
  <c r="J19" i="13" s="1"/>
  <c r="H17" i="13"/>
  <c r="J17" i="13" s="1"/>
  <c r="H14" i="13"/>
  <c r="J14" i="13" s="1"/>
  <c r="H22" i="13"/>
  <c r="J22" i="13" s="1"/>
  <c r="H23" i="13"/>
  <c r="J23" i="13" s="1"/>
  <c r="H20" i="13"/>
  <c r="J20" i="13" s="1"/>
</calcChain>
</file>

<file path=xl/comments1.xml><?xml version="1.0" encoding="utf-8"?>
<comments xmlns="http://schemas.openxmlformats.org/spreadsheetml/2006/main">
  <authors>
    <author>Buchanan</author>
  </authors>
  <commentList>
    <comment ref="G23" authorId="0" shape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shape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shapeId="0">
      <text>
        <r>
          <rPr>
            <b/>
            <sz val="9"/>
            <color indexed="81"/>
            <rFont val="Tahoma"/>
            <family val="2"/>
          </rPr>
          <t>Buchanan:
4310.30135
and 4310.30147</t>
        </r>
      </text>
    </comment>
    <comment ref="I7" authorId="0" shapeId="0">
      <text>
        <r>
          <rPr>
            <b/>
            <sz val="9"/>
            <color indexed="81"/>
            <rFont val="Tahoma"/>
            <family val="2"/>
          </rPr>
          <t>Buchanan:
4310.30121
(cr side of entry is 1650.13035 Prepaid Nations Bk of TX).</t>
        </r>
      </text>
    </comment>
    <comment ref="H8" authorId="0" shapeId="0">
      <text>
        <r>
          <rPr>
            <b/>
            <sz val="9"/>
            <color indexed="81"/>
            <rFont val="Tahoma"/>
            <family val="2"/>
          </rPr>
          <t>Buchanan:
4310.30135
and 4310.30147</t>
        </r>
      </text>
    </comment>
    <comment ref="I8" authorId="0" shapeId="0">
      <text>
        <r>
          <rPr>
            <b/>
            <sz val="9"/>
            <color indexed="81"/>
            <rFont val="Tahoma"/>
            <family val="2"/>
          </rPr>
          <t>Buchanan:
4310.30120 and 30121</t>
        </r>
      </text>
    </comment>
    <comment ref="C9" authorId="0" shapeId="0">
      <text>
        <r>
          <rPr>
            <b/>
            <sz val="9"/>
            <color indexed="81"/>
            <rFont val="Tahoma"/>
            <family val="2"/>
          </rPr>
          <t>Buchanan:
Utility Only (per Cagle instructions).</t>
        </r>
      </text>
    </comment>
    <comment ref="S1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<sst xmlns="http://schemas.openxmlformats.org/spreadsheetml/2006/main" count="327" uniqueCount="232">
  <si>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</si>
  <si>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</si>
  <si>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</si>
  <si>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</si>
  <si>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</si>
  <si>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</si>
  <si>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</si>
  <si>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</si>
  <si>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</si>
  <si>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</si>
  <si>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</si>
  <si>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</si>
  <si>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</si>
  <si>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</si>
  <si>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</si>
  <si>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</si>
  <si>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</si>
  <si>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</si>
  <si>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</si>
  <si>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</si>
  <si>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</si>
  <si>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</si>
  <si>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</si>
  <si>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</si>
  <si>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</si>
  <si>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</si>
  <si>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</si>
  <si>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</si>
  <si>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</si>
  <si>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</si>
  <si>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</si>
  <si>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</si>
  <si>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</si>
  <si>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</si>
  <si>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</si>
  <si>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</si>
  <si>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</si>
  <si>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</si>
  <si>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</si>
  <si>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</si>
  <si>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</si>
  <si>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</si>
  <si>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</si>
  <si>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</si>
  <si>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</si>
  <si>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</si>
  <si>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</si>
  <si>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</si>
  <si>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</si>
  <si>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</si>
  <si>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</si>
  <si>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</si>
  <si>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</si>
  <si>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</si>
  <si>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</si>
  <si>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</si>
  <si>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</si>
  <si>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</si>
  <si>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</si>
  <si>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</si>
  <si>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</si>
  <si>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</si>
  <si>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</si>
  <si>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</si>
  <si>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</si>
  <si>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family val="2"/>
      </rPr>
      <t>, preferred stock and common</t>
    </r>
  </si>
  <si>
    <r>
      <t xml:space="preserve">equity </t>
    </r>
    <r>
      <rPr>
        <sz val="10"/>
        <color indexed="10"/>
        <rFont val="Arial"/>
        <family val="2"/>
      </rPr>
      <t>[2]</t>
    </r>
    <r>
      <rPr>
        <sz val="10"/>
        <rFont val="Arial"/>
        <family val="2"/>
      </rPr>
      <t xml:space="preserve"> shall be the actual book balances as of the end of the prior year. The cost rates for long-term debt and</t>
    </r>
  </si>
  <si>
    <r>
      <t xml:space="preserve">jurisdiction </t>
    </r>
    <r>
      <rPr>
        <sz val="10"/>
        <color indexed="10"/>
        <rFont val="Arial"/>
        <family val="2"/>
      </rPr>
      <t>[3]</t>
    </r>
    <r>
      <rPr>
        <sz val="10"/>
        <rFont val="Arial"/>
        <family val="2"/>
      </rPr>
      <t>. If such cost rate is not available, the average rate actually earned during the preceding three years</t>
    </r>
  </si>
  <si>
    <r>
      <t>[2]</t>
    </r>
    <r>
      <rPr>
        <sz val="10"/>
        <rFont val="Arial"/>
        <family val="2"/>
      </rPr>
      <t xml:space="preserve"> Please see Wp C.</t>
    </r>
  </si>
  <si>
    <r>
      <t xml:space="preserve">shall be used. The short-term debt balances </t>
    </r>
    <r>
      <rPr>
        <sz val="10"/>
        <color indexed="10"/>
        <rFont val="Arial"/>
        <family val="2"/>
      </rPr>
      <t>[4]</t>
    </r>
    <r>
      <rPr>
        <sz val="10"/>
        <rFont val="Arial"/>
        <family val="2"/>
      </rPr>
      <t>and related cost and the average balance for construction work in</t>
    </r>
  </si>
  <si>
    <r>
      <t xml:space="preserve">progress </t>
    </r>
    <r>
      <rPr>
        <sz val="10"/>
        <color indexed="10"/>
        <rFont val="Arial"/>
        <family val="2"/>
      </rPr>
      <t xml:space="preserve">[5] </t>
    </r>
    <r>
      <rPr>
        <sz val="10"/>
        <rFont val="Arial"/>
        <family val="2"/>
      </rPr>
      <t>shall be estimated for the current year with appropriate adjustments as actual data becomes</t>
    </r>
  </si>
  <si>
    <r>
      <t>[4]</t>
    </r>
    <r>
      <rPr>
        <sz val="10"/>
        <rFont val="Arial"/>
        <family val="2"/>
      </rPr>
      <t xml:space="preserve"> Please see Wp 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</si>
  <si>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</si>
  <si>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</si>
  <si>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</si>
  <si>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</si>
  <si>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</si>
  <si>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</si>
  <si>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</si>
  <si>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</si>
  <si>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</si>
  <si>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</si>
  <si>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</si>
  <si>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</si>
  <si>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</si>
  <si>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</si>
  <si>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</si>
  <si>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</si>
  <si>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</si>
  <si>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</si>
  <si>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</si>
  <si>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</si>
  <si>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</si>
  <si>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</si>
  <si>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</si>
  <si>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</si>
  <si>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</si>
  <si>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</si>
  <si>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</si>
  <si>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</si>
  <si>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</si>
  <si>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</si>
  <si>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family val="2"/>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</si>
  <si>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</si>
  <si>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</si>
  <si>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</si>
  <si>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</si>
  <si>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</si>
  <si>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</si>
  <si>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</si>
  <si>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</si>
  <si>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</si>
  <si>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</si>
  <si>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</si>
  <si>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</si>
  <si>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</si>
  <si>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</si>
  <si>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</si>
  <si>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</si>
  <si>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</si>
  <si>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</si>
  <si>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</si>
  <si>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</si>
  <si>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</si>
  <si>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</si>
  <si>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</si>
  <si>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</si>
  <si>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</si>
  <si>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</si>
  <si>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</si>
  <si>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</si>
  <si>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</si>
  <si>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</si>
  <si>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</si>
  <si>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</si>
  <si>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</si>
  <si>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</si>
  <si>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</si>
  <si>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</si>
  <si>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</si>
  <si>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</si>
  <si>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</si>
  <si>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</si>
  <si>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</si>
  <si>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</si>
  <si>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</si>
  <si>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</si>
  <si>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</si>
  <si>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</si>
  <si>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</si>
  <si>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</si>
  <si>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</si>
  <si>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</si>
  <si>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</si>
  <si>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</si>
  <si>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</si>
  <si>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family val="2"/>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</si>
  <si>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family val="2"/>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</si>
  <si>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</si>
  <si>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</si>
  <si>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</si>
  <si>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family val="2"/>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</si>
  <si>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</si>
  <si>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</si>
  <si>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</si>
  <si>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family val="2"/>
      </rPr>
      <t xml:space="preserve"> to black and remove yellow highlight.  Next move over to Col H. and replace the formula with the current months actual Interest paid.  Change font from </t>
    </r>
    <r>
      <rPr>
        <sz val="10"/>
        <color indexed="12"/>
        <rFont val="Arial"/>
        <family val="2"/>
      </rPr>
      <t>blue</t>
    </r>
    <r>
      <rPr>
        <sz val="10"/>
        <rFont val="Arial"/>
        <family val="2"/>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family val="2"/>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</si>
  <si>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</si>
  <si>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</si>
  <si>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</si>
  <si>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</si>
  <si>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</si>
  <si>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</si>
  <si>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</si>
  <si>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</si>
  <si>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</si>
  <si>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</si>
  <si>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</si>
  <si>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</si>
  <si>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</si>
  <si>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</si>
  <si>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</si>
  <si>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</si>
  <si>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</si>
  <si>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</si>
  <si>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</si>
  <si>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</si>
  <si>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</si>
  <si>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</si>
  <si>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</si>
  <si>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</si>
  <si>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</si>
  <si>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</si>
  <si>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</si>
  <si>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</si>
  <si>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</si>
  <si>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</si>
  <si>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</si>
  <si>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</si>
  <si>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Sr Note 5.50% Due 06/15/2041</t>
  </si>
  <si>
    <t>6/10/2011</t>
  </si>
  <si>
    <t>10.43% First Mortgage Bond P due 2017 (eff 2012)</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</si>
  <si>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</si>
  <si>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</si>
  <si>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</si>
  <si>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    A </t>
    </r>
    <r>
      <rPr>
        <vertAlign val="subscript"/>
        <sz val="10"/>
        <rFont val="Arial"/>
        <family val="2"/>
      </rPr>
      <t xml:space="preserve">i </t>
    </r>
    <r>
      <rPr>
        <sz val="10"/>
        <rFont val="Arial"/>
        <family val="2"/>
      </rPr>
      <t xml:space="preserve">= Gross allowance for borrowed funds used during construction rate.  </t>
    </r>
  </si>
  <si>
    <r>
      <t xml:space="preserve">    A </t>
    </r>
    <r>
      <rPr>
        <vertAlign val="subscript"/>
        <sz val="10"/>
        <rFont val="Arial"/>
        <family val="2"/>
      </rPr>
      <t>e</t>
    </r>
    <r>
      <rPr>
        <sz val="10"/>
        <rFont val="Arial"/>
        <family val="2"/>
      </rPr>
      <t xml:space="preserve"> = Allowance for other funds used during construction rate.  </t>
    </r>
  </si>
  <si>
    <t xml:space="preserve">    S = Average short-term debt.  </t>
  </si>
  <si>
    <t xml:space="preserve">    s = Short-term debt interest rate.  </t>
  </si>
  <si>
    <t xml:space="preserve">    D = Long-term debt.  </t>
  </si>
  <si>
    <t xml:space="preserve">    d = Long-term debt interest rate.  </t>
  </si>
  <si>
    <t xml:space="preserve">    P = Preferred stock.  </t>
  </si>
  <si>
    <t xml:space="preserve">    p = Preferred stock cost rate.  </t>
  </si>
  <si>
    <t xml:space="preserve">    C = Common equity.  </t>
  </si>
  <si>
    <t xml:space="preserve">    c = Common equity cost rate.  </t>
  </si>
  <si>
    <t xml:space="preserve">    W = Average balance in construction work in progress.  </t>
  </si>
  <si>
    <r>
      <t>[1]</t>
    </r>
    <r>
      <rPr>
        <sz val="10"/>
        <rFont val="Arial"/>
        <family val="2"/>
      </rPr>
      <t xml:space="preserve"> Please see WP L - LTD.</t>
    </r>
  </si>
  <si>
    <r>
      <t>[5]</t>
    </r>
    <r>
      <rPr>
        <sz val="10"/>
        <rFont val="Arial"/>
        <family val="2"/>
      </rPr>
      <t xml:space="preserve"> Please see Wp W - CWIP.</t>
    </r>
  </si>
  <si>
    <t>10/15/2014</t>
  </si>
  <si>
    <t>5.125% Senior Notes due Jan 2013</t>
  </si>
  <si>
    <t>4.15% Sr Note due 1/15/2043</t>
  </si>
  <si>
    <t>4.125% Sr Note due 10/15/2044</t>
  </si>
  <si>
    <r>
      <t xml:space="preserve">For the Period Ended </t>
    </r>
    <r>
      <rPr>
        <b/>
        <sz val="12"/>
        <color indexed="12"/>
        <rFont val="Arial"/>
        <family val="2"/>
      </rPr>
      <t>September 30, 2017</t>
    </r>
  </si>
  <si>
    <r>
      <t xml:space="preserve">As of </t>
    </r>
    <r>
      <rPr>
        <b/>
        <sz val="12"/>
        <color indexed="12"/>
        <rFont val="Arial"/>
        <family val="2"/>
      </rPr>
      <t>September 30, 2016</t>
    </r>
  </si>
  <si>
    <t xml:space="preserve">Less Unamortized Utility Debt Discount a/c 2260 </t>
  </si>
  <si>
    <t>and Unamortized Utility Debt Expense a/c 2241</t>
  </si>
  <si>
    <t>(1)</t>
  </si>
  <si>
    <t>Balances in a/c 2241 formerly resided in a/c 1810</t>
  </si>
  <si>
    <t>Three year term loan</t>
  </si>
  <si>
    <t>Various</t>
  </si>
  <si>
    <t>CA 5 yr</t>
  </si>
  <si>
    <r>
      <t>For the Month ended</t>
    </r>
    <r>
      <rPr>
        <b/>
        <sz val="12"/>
        <color indexed="12"/>
        <rFont val="Arial"/>
        <family val="2"/>
      </rPr>
      <t xml:space="preserve"> December 31, 2016</t>
    </r>
  </si>
  <si>
    <t>Projected based on the most recent 13 months average December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</si>
</sst>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5">
    <font>
      <sz val="10"/>
      <name val="Arial"/>
    </font>
    <font>
      <sz val="10"/>
      <name val="Arial"/>
      <family val="2"/>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8"/>
      <name val="Arial"/>
      <family val="2"/>
    </font>
    <font>
      <sz val="10"/>
      <name val="Times New Roman"/>
      <family val="1"/>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0"/>
      <color rgb="FF0000FF"/>
      <name val="Arial MT"/>
    </font>
    <font>
      <sz val="10"/>
      <color rgb="FF0000FF"/>
      <name val="Arial"/>
      <family val="2"/>
    </font>
    <font>
      <sz val="10"/>
      <color rgb="FFFF0000"/>
      <name val="Arial"/>
      <family val="2"/>
    </font>
    <font>
      <sz val="11"/>
      <color rgb="FF0000FF"/>
      <name val="Arial"/>
      <family val="2"/>
    </font>
    <font>
      <u/>
      <sz val="10"/>
      <color indexed="12"/>
      <name val="Arial"/>
      <family val="2"/>
    </font>
    <font>
      <b/>
      <sz val="11"/>
      <color indexed="8"/>
      <name val="Calibri"/>
      <family val="2"/>
    </font>
    <font>
      <sz val="10"/>
      <name val="Courier"/>
      <family val="3"/>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2"/>
      </top>
      <bottom style="double">
        <color indexed="62"/>
      </bottom>
      <diagonal/>
    </border>
  </borders>
  <cellStyleXfs count="144">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20" borderId="1">
      <alignment horizontal="center" vertical="center"/>
    </xf>
    <xf numFmtId="3" fontId="30" fillId="21" borderId="0" applyBorder="0">
      <alignment horizontal="right"/>
      <protection locked="0"/>
    </xf>
    <xf numFmtId="0" fontId="31" fillId="3" borderId="0" applyNumberFormat="0" applyBorder="0" applyAlignment="0" applyProtection="0"/>
    <xf numFmtId="0" fontId="32" fillId="0" borderId="0" applyNumberFormat="0" applyFill="0" applyBorder="0" applyAlignment="0" applyProtection="0"/>
    <xf numFmtId="0" fontId="33" fillId="22" borderId="2" applyNumberFormat="0" applyAlignment="0" applyProtection="0"/>
    <xf numFmtId="0" fontId="34" fillId="23" borderId="3" applyNumberFormat="0" applyAlignment="0" applyProtection="0"/>
    <xf numFmtId="43" fontId="1" fillId="0" borderId="0" applyFont="0" applyFill="0" applyBorder="0" applyAlignment="0" applyProtection="0"/>
    <xf numFmtId="0" fontId="35" fillId="0" borderId="0">
      <alignment horizontal="left" vertical="center" indent="1"/>
    </xf>
    <xf numFmtId="44" fontId="1" fillId="0" borderId="0" applyFont="0" applyFill="0" applyBorder="0" applyAlignment="0" applyProtection="0"/>
    <xf numFmtId="8" fontId="36" fillId="0" borderId="4">
      <protection locked="0"/>
    </xf>
    <xf numFmtId="44" fontId="6" fillId="0" borderId="0" applyFont="0" applyFill="0" applyBorder="0" applyAlignment="0" applyProtection="0"/>
    <xf numFmtId="0" fontId="32" fillId="0" borderId="0"/>
    <xf numFmtId="0" fontId="32" fillId="0" borderId="5"/>
    <xf numFmtId="6" fontId="37" fillId="0" borderId="0">
      <protection locked="0"/>
    </xf>
    <xf numFmtId="0" fontId="38" fillId="0" borderId="0" applyNumberFormat="0">
      <protection locked="0"/>
    </xf>
    <xf numFmtId="173" fontId="8" fillId="24" borderId="0" applyFill="0" applyBorder="0" applyProtection="0"/>
    <xf numFmtId="0" fontId="39" fillId="0" borderId="0" applyNumberFormat="0" applyFill="0" applyBorder="0" applyAlignment="0" applyProtection="0"/>
    <xf numFmtId="0" fontId="1" fillId="0" borderId="0">
      <protection locked="0"/>
    </xf>
    <xf numFmtId="0" fontId="40" fillId="4" borderId="0" applyNumberFormat="0" applyBorder="0" applyAlignment="0" applyProtection="0"/>
    <xf numFmtId="38" fontId="38" fillId="25" borderId="0" applyNumberFormat="0" applyBorder="0" applyAlignment="0" applyProtection="0"/>
    <xf numFmtId="0" fontId="41"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2" fillId="0" borderId="0">
      <alignment horizontal="center"/>
    </xf>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6" fillId="7" borderId="2" applyNumberFormat="0" applyAlignment="0" applyProtection="0"/>
    <xf numFmtId="10" fontId="38" fillId="26" borderId="12" applyNumberFormat="0" applyBorder="0" applyAlignment="0" applyProtection="0"/>
    <xf numFmtId="0" fontId="47" fillId="27" borderId="5"/>
    <xf numFmtId="0" fontId="48" fillId="0" borderId="0" applyNumberFormat="0">
      <alignment horizontal="left"/>
    </xf>
    <xf numFmtId="0" fontId="49" fillId="0" borderId="13" applyNumberFormat="0" applyFill="0" applyAlignment="0" applyProtection="0"/>
    <xf numFmtId="0" fontId="50" fillId="28" borderId="0" applyNumberFormat="0" applyBorder="0" applyAlignment="0" applyProtection="0"/>
    <xf numFmtId="37" fontId="51" fillId="0" borderId="0"/>
    <xf numFmtId="3" fontId="38" fillId="25" borderId="0" applyNumberFormat="0"/>
    <xf numFmtId="172"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1" fillId="0" borderId="0"/>
    <xf numFmtId="39" fontId="7" fillId="0" borderId="0"/>
    <xf numFmtId="0" fontId="24" fillId="29" borderId="14" applyNumberFormat="0" applyFont="0" applyAlignment="0" applyProtection="0"/>
    <xf numFmtId="43" fontId="54" fillId="0" borderId="0"/>
    <xf numFmtId="0" fontId="55" fillId="22" borderId="15" applyNumberFormat="0" applyAlignment="0" applyProtection="0"/>
    <xf numFmtId="4" fontId="56" fillId="30" borderId="0">
      <alignment horizontal="right"/>
    </xf>
    <xf numFmtId="0" fontId="57" fillId="30" borderId="0">
      <alignment horizontal="center" vertical="center"/>
    </xf>
    <xf numFmtId="0" fontId="58" fillId="30" borderId="16"/>
    <xf numFmtId="0" fontId="57" fillId="30" borderId="0" applyBorder="0">
      <alignment horizontal="centerContinuous"/>
    </xf>
    <xf numFmtId="0" fontId="59"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0" fillId="0" borderId="0" applyNumberFormat="0" applyFont="0" applyFill="0" applyBorder="0" applyAlignment="0" applyProtection="0">
      <alignment horizontal="left"/>
    </xf>
    <xf numFmtId="0" fontId="32" fillId="0" borderId="0"/>
    <xf numFmtId="0" fontId="61" fillId="0" borderId="0" applyNumberFormat="0">
      <alignment horizontal="left"/>
    </xf>
    <xf numFmtId="0" fontId="32" fillId="0" borderId="5"/>
    <xf numFmtId="0" fontId="62" fillId="0" borderId="0" applyNumberFormat="0" applyFill="0" applyBorder="0" applyAlignment="0" applyProtection="0"/>
    <xf numFmtId="0" fontId="63" fillId="31" borderId="0"/>
    <xf numFmtId="174" fontId="64" fillId="0" borderId="0">
      <alignment horizontal="center"/>
    </xf>
    <xf numFmtId="0" fontId="1" fillId="0" borderId="17">
      <protection locked="0"/>
    </xf>
    <xf numFmtId="0" fontId="47" fillId="0" borderId="18"/>
    <xf numFmtId="0" fontId="47" fillId="0" borderId="5"/>
    <xf numFmtId="37" fontId="38" fillId="32" borderId="0" applyNumberFormat="0" applyBorder="0" applyAlignment="0" applyProtection="0"/>
    <xf numFmtId="37" fontId="23" fillId="0" borderId="0"/>
    <xf numFmtId="3" fontId="65" fillId="0" borderId="11" applyProtection="0"/>
    <xf numFmtId="0" fontId="66" fillId="0" borderId="0" applyNumberFormat="0" applyFill="0" applyBorder="0" applyAlignment="0" applyProtection="0"/>
    <xf numFmtId="0" fontId="67" fillId="0" borderId="0"/>
    <xf numFmtId="0" fontId="1"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14" applyNumberFormat="0" applyFont="0" applyAlignment="0" applyProtection="0"/>
    <xf numFmtId="0" fontId="1" fillId="0" borderId="0"/>
    <xf numFmtId="0" fontId="1" fillId="0" borderId="0"/>
    <xf numFmtId="0" fontId="73" fillId="0" borderId="28" applyNumberFormat="0" applyFill="0" applyAlignment="0" applyProtection="0"/>
    <xf numFmtId="0" fontId="1" fillId="0" borderId="0"/>
    <xf numFmtId="170" fontId="74" fillId="0" borderId="0"/>
    <xf numFmtId="0" fontId="1" fillId="0" borderId="0"/>
    <xf numFmtId="0" fontId="1" fillId="0" borderId="0"/>
    <xf numFmtId="0" fontId="1" fillId="0" borderId="0"/>
    <xf numFmtId="170" fontId="74" fillId="0" borderId="0"/>
    <xf numFmtId="170" fontId="74" fillId="0" borderId="0"/>
    <xf numFmtId="170" fontId="74" fillId="0" borderId="0"/>
    <xf numFmtId="170" fontId="74" fillId="0" borderId="0"/>
    <xf numFmtId="170" fontId="74" fillId="0" borderId="0"/>
    <xf numFmtId="170" fontId="74" fillId="0" borderId="0"/>
  </cellStyleXfs>
  <cellXfs count="200">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4" fillId="0" borderId="0" xfId="0" applyNumberFormat="1" applyFont="1"/>
    <xf numFmtId="168" fontId="24" fillId="0" borderId="23" xfId="31" applyNumberFormat="1" applyFont="1" applyBorder="1"/>
    <xf numFmtId="170" fontId="24" fillId="0" borderId="0" xfId="0" applyNumberFormat="1" applyFont="1"/>
    <xf numFmtId="166" fontId="6" fillId="0" borderId="0" xfId="0" applyNumberFormat="1" applyFont="1" applyFill="1" applyAlignment="1">
      <alignment horizontal="left"/>
    </xf>
    <xf numFmtId="0" fontId="10" fillId="0" borderId="0" xfId="0" applyFont="1" applyFill="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6"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17" fontId="6" fillId="0" borderId="0" xfId="73" quotePrefix="1" applyNumberFormat="1" applyFont="1" applyFill="1" applyAlignment="1">
      <alignment horizontal="center"/>
    </xf>
    <xf numFmtId="10" fontId="68" fillId="0" borderId="0" xfId="83" applyNumberFormat="1" applyFont="1" applyFill="1" applyProtection="1"/>
    <xf numFmtId="0" fontId="6" fillId="0" borderId="0" xfId="73" applyFont="1" applyFill="1" applyAlignment="1">
      <alignment horizontal="right"/>
    </xf>
    <xf numFmtId="168" fontId="69"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0" fontId="1" fillId="0" borderId="0" xfId="83" applyNumberFormat="1" applyFont="1" applyFill="1"/>
    <xf numFmtId="0" fontId="1" fillId="0" borderId="26" xfId="0" applyFont="1" applyFill="1" applyBorder="1"/>
    <xf numFmtId="3" fontId="0" fillId="0" borderId="0" xfId="0" applyNumberFormat="1" applyFill="1"/>
    <xf numFmtId="168" fontId="1" fillId="0" borderId="0" xfId="31" applyNumberFormat="1" applyFont="1" applyFill="1"/>
    <xf numFmtId="0" fontId="9" fillId="0" borderId="0" xfId="0" quotePrefix="1" applyFont="1" applyFill="1"/>
    <xf numFmtId="0" fontId="70" fillId="0" borderId="0" xfId="0" applyFont="1" applyFill="1"/>
    <xf numFmtId="170" fontId="12" fillId="0" borderId="0" xfId="85" applyNumberFormat="1" applyFont="1" applyFill="1"/>
    <xf numFmtId="10" fontId="12" fillId="0" borderId="0" xfId="85" applyNumberFormat="1" applyFont="1" applyFill="1"/>
    <xf numFmtId="170" fontId="12" fillId="34" borderId="0" xfId="85" applyNumberFormat="1" applyFont="1" applyFill="1"/>
    <xf numFmtId="10" fontId="12" fillId="34" borderId="0" xfId="85" applyNumberFormat="1" applyFont="1" applyFill="1"/>
    <xf numFmtId="43" fontId="1" fillId="0" borderId="25" xfId="85" applyNumberFormat="1" applyFont="1" applyFill="1" applyBorder="1"/>
    <xf numFmtId="43" fontId="1" fillId="0" borderId="0" xfId="31" applyFont="1" applyFill="1" applyBorder="1"/>
    <xf numFmtId="43" fontId="1" fillId="0" borderId="16" xfId="31" applyFont="1" applyFill="1" applyBorder="1"/>
    <xf numFmtId="38" fontId="2" fillId="34" borderId="0" xfId="0" applyNumberFormat="1" applyFont="1" applyFill="1"/>
    <xf numFmtId="38" fontId="2" fillId="35" borderId="0" xfId="0" applyNumberFormat="1" applyFont="1" applyFill="1"/>
    <xf numFmtId="38" fontId="2" fillId="35" borderId="0" xfId="0" applyNumberFormat="1" applyFont="1" applyFill="1" applyBorder="1"/>
    <xf numFmtId="0" fontId="1" fillId="0" borderId="0" xfId="73" applyFont="1" applyFill="1"/>
    <xf numFmtId="5" fontId="12" fillId="0" borderId="0" xfId="31" applyNumberFormat="1" applyFont="1" applyFill="1" applyBorder="1"/>
    <xf numFmtId="0" fontId="1" fillId="0" borderId="0" xfId="73" quotePrefix="1" applyFont="1" applyFill="1" applyAlignment="1">
      <alignment horizontal="right"/>
    </xf>
    <xf numFmtId="0" fontId="1" fillId="0" borderId="0" xfId="0" quotePrefix="1" applyFont="1" applyFill="1"/>
    <xf numFmtId="0" fontId="1" fillId="34" borderId="0" xfId="0" applyFont="1" applyFill="1"/>
    <xf numFmtId="168" fontId="71" fillId="33" borderId="0" xfId="31" applyNumberFormat="1" applyFont="1" applyFill="1"/>
    <xf numFmtId="170" fontId="1" fillId="0" borderId="0" xfId="85" applyNumberFormat="1" applyFont="1" applyFill="1"/>
    <xf numFmtId="10" fontId="1" fillId="0" borderId="0" xfId="85" applyNumberFormat="1" applyFont="1" applyFill="1"/>
    <xf numFmtId="43" fontId="1" fillId="35" borderId="16" xfId="31" applyFont="1" applyFill="1" applyBorder="1"/>
    <xf numFmtId="43" fontId="1" fillId="35" borderId="0" xfId="31" applyFont="1" applyFill="1" applyBorder="1"/>
    <xf numFmtId="0" fontId="1" fillId="0" borderId="0" xfId="0" applyFont="1" applyBorder="1" applyAlignment="1">
      <alignment horizontal="center"/>
    </xf>
    <xf numFmtId="10" fontId="2" fillId="35" borderId="0" xfId="0" applyNumberFormat="1"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Hyperlink 2" xfId="102"/>
    <cellStyle name="Hyperlink 3" xfId="103"/>
    <cellStyle name="Hyperlink 3 2" xfId="104"/>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1 2" xfId="105"/>
    <cellStyle name="Normal - Style2" xfId="65"/>
    <cellStyle name="Normal - Style3" xfId="66"/>
    <cellStyle name="Normal - Style4" xfId="67"/>
    <cellStyle name="Normal - Style5" xfId="68"/>
    <cellStyle name="Normal - Style6" xfId="69"/>
    <cellStyle name="Normal - Style7" xfId="70"/>
    <cellStyle name="Normal - Style8" xfId="71"/>
    <cellStyle name="Normal 10" xfId="106"/>
    <cellStyle name="Normal 11" xfId="107"/>
    <cellStyle name="Normal 12" xfId="108"/>
    <cellStyle name="Normal 13" xfId="109"/>
    <cellStyle name="Normal 14" xfId="110"/>
    <cellStyle name="Normal 15" xfId="111"/>
    <cellStyle name="Normal 16" xfId="112"/>
    <cellStyle name="Normal 17" xfId="113"/>
    <cellStyle name="Normal 18" xfId="114"/>
    <cellStyle name="Normal 19" xfId="115"/>
    <cellStyle name="Normal 2" xfId="72"/>
    <cellStyle name="Normal 2 2" xfId="116"/>
    <cellStyle name="Normal 20" xfId="117"/>
    <cellStyle name="Normal 21" xfId="118"/>
    <cellStyle name="Normal 22" xfId="119"/>
    <cellStyle name="Normal 23" xfId="120"/>
    <cellStyle name="Normal 24" xfId="121"/>
    <cellStyle name="Normal 25" xfId="122"/>
    <cellStyle name="Normal 26" xfId="123"/>
    <cellStyle name="Normal 27" xfId="124"/>
    <cellStyle name="Normal 28" xfId="125"/>
    <cellStyle name="Normal 29" xfId="126"/>
    <cellStyle name="Normal 3" xfId="101"/>
    <cellStyle name="Normal 30" xfId="127"/>
    <cellStyle name="Normal 31" xfId="128"/>
    <cellStyle name="Normal 32" xfId="134"/>
    <cellStyle name="Normal 33" xfId="138"/>
    <cellStyle name="Normal 34" xfId="139"/>
    <cellStyle name="Normal 35" xfId="140"/>
    <cellStyle name="Normal 36" xfId="141"/>
    <cellStyle name="Normal 37" xfId="142"/>
    <cellStyle name="Normal 38" xfId="143"/>
    <cellStyle name="Normal 4" xfId="133"/>
    <cellStyle name="Normal 5" xfId="135"/>
    <cellStyle name="Normal 6" xfId="136"/>
    <cellStyle name="Normal 7" xfId="130"/>
    <cellStyle name="Normal 8" xfId="131"/>
    <cellStyle name="Normal 9" xfId="137"/>
    <cellStyle name="Normal_LTD 699-600 Sherwood Oct 11 6pm" xfId="73"/>
    <cellStyle name="Normal_LTD at 0699" xfId="74"/>
    <cellStyle name="Note" xfId="75" builtinId="10" customBuiltin="1"/>
    <cellStyle name="Note 2" xfId="129"/>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al 2" xfId="132"/>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154</v>
      </c>
    </row>
    <row r="3" spans="1:14">
      <c r="A3" t="s">
        <v>155</v>
      </c>
    </row>
    <row r="4" spans="1:14">
      <c r="A4" s="141" t="s">
        <v>156</v>
      </c>
    </row>
    <row r="5" spans="1:14">
      <c r="A5" s="198" t="s">
        <v>157</v>
      </c>
      <c r="B5" s="197"/>
      <c r="C5" s="197"/>
      <c r="D5" s="197"/>
      <c r="E5" s="197"/>
      <c r="F5" s="197"/>
      <c r="G5" s="197"/>
      <c r="H5" s="197"/>
      <c r="I5" s="197"/>
      <c r="J5" s="197"/>
      <c r="K5" s="197"/>
      <c r="L5" s="197"/>
      <c r="M5" s="197"/>
    </row>
    <row r="6" spans="1:14">
      <c r="A6" s="197"/>
      <c r="B6" s="197"/>
      <c r="C6" s="197"/>
      <c r="D6" s="197"/>
      <c r="E6" s="197"/>
      <c r="F6" s="197"/>
      <c r="G6" s="197"/>
      <c r="H6" s="197"/>
      <c r="I6" s="197"/>
      <c r="J6" s="197"/>
      <c r="K6" s="197"/>
      <c r="L6" s="197"/>
      <c r="M6" s="197"/>
    </row>
    <row r="7" spans="1:14">
      <c r="A7" s="141" t="s">
        <v>158</v>
      </c>
    </row>
    <row r="8" spans="1:14">
      <c r="A8" s="198" t="s">
        <v>159</v>
      </c>
      <c r="B8" s="197"/>
      <c r="C8" s="197"/>
      <c r="D8" s="197"/>
      <c r="E8" s="197"/>
      <c r="F8" s="197"/>
      <c r="G8" s="197"/>
      <c r="H8" s="197"/>
      <c r="I8" s="197"/>
      <c r="J8" s="197"/>
      <c r="K8" s="197"/>
      <c r="L8" s="197"/>
      <c r="M8" s="197"/>
    </row>
    <row r="9" spans="1:14">
      <c r="A9" s="197"/>
      <c r="B9" s="197"/>
      <c r="C9" s="197"/>
      <c r="D9" s="197"/>
      <c r="E9" s="197"/>
      <c r="F9" s="197"/>
      <c r="G9" s="197"/>
      <c r="H9" s="197"/>
      <c r="I9" s="197"/>
      <c r="J9" s="197"/>
      <c r="K9" s="197"/>
      <c r="L9" s="197"/>
      <c r="M9" s="197"/>
    </row>
    <row r="10" spans="1:14">
      <c r="A10" s="199" t="s">
        <v>160</v>
      </c>
      <c r="B10" s="197"/>
      <c r="C10" s="197"/>
      <c r="D10" s="197"/>
      <c r="E10" s="197"/>
      <c r="F10" s="197"/>
      <c r="G10" s="197"/>
      <c r="H10" s="197"/>
      <c r="I10" s="197"/>
      <c r="J10" s="197"/>
      <c r="K10" s="197"/>
      <c r="L10" s="197"/>
      <c r="M10" s="197"/>
      <c r="N10" s="197"/>
    </row>
    <row r="11" spans="1:14">
      <c r="A11" s="197"/>
      <c r="B11" s="197"/>
      <c r="C11" s="197"/>
      <c r="D11" s="197"/>
      <c r="E11" s="197"/>
      <c r="F11" s="197"/>
      <c r="G11" s="197"/>
      <c r="H11" s="197"/>
      <c r="I11" s="197"/>
      <c r="J11" s="197"/>
      <c r="K11" s="197"/>
      <c r="L11" s="197"/>
      <c r="M11" s="197"/>
      <c r="N11" s="197"/>
    </row>
    <row r="12" spans="1:14">
      <c r="A12" s="199" t="s">
        <v>161</v>
      </c>
      <c r="B12" s="198"/>
      <c r="C12" s="198"/>
      <c r="D12" s="198"/>
      <c r="E12" s="198"/>
      <c r="F12" s="198"/>
      <c r="G12" s="198"/>
      <c r="H12" s="198"/>
      <c r="I12" s="198"/>
      <c r="J12" s="198"/>
      <c r="K12" s="198"/>
      <c r="L12" s="198"/>
      <c r="M12" s="198"/>
      <c r="N12" s="198"/>
    </row>
    <row r="13" spans="1:14">
      <c r="A13" s="198"/>
      <c r="B13" s="198"/>
      <c r="C13" s="198"/>
      <c r="D13" s="198"/>
      <c r="E13" s="198"/>
      <c r="F13" s="198"/>
      <c r="G13" s="198"/>
      <c r="H13" s="198"/>
      <c r="I13" s="198"/>
      <c r="J13" s="198"/>
      <c r="K13" s="198"/>
      <c r="L13" s="198"/>
      <c r="M13" s="198"/>
      <c r="N13" s="198"/>
    </row>
    <row r="14" spans="1:14">
      <c r="A14" s="198"/>
      <c r="B14" s="198"/>
      <c r="C14" s="198"/>
      <c r="D14" s="198"/>
      <c r="E14" s="198"/>
      <c r="F14" s="198"/>
      <c r="G14" s="198"/>
      <c r="H14" s="198"/>
      <c r="I14" s="198"/>
      <c r="J14" s="198"/>
      <c r="K14" s="198"/>
      <c r="L14" s="198"/>
      <c r="M14" s="198"/>
      <c r="N14" s="198"/>
    </row>
    <row r="15" spans="1:14">
      <c r="A15" s="197" t="s">
        <v>162</v>
      </c>
      <c r="B15" s="197"/>
      <c r="C15" s="197"/>
      <c r="D15" s="197"/>
      <c r="E15" s="197"/>
      <c r="F15" s="197"/>
      <c r="G15" s="197"/>
      <c r="H15" s="197"/>
      <c r="I15" s="197"/>
      <c r="J15" s="197"/>
      <c r="K15" s="197"/>
      <c r="L15" s="197"/>
      <c r="M15" s="197"/>
      <c r="N15" s="197"/>
    </row>
    <row r="16" spans="1:14">
      <c r="A16" s="197"/>
      <c r="B16" s="197"/>
      <c r="C16" s="197"/>
      <c r="D16" s="197"/>
      <c r="E16" s="197"/>
      <c r="F16" s="197"/>
      <c r="G16" s="197"/>
      <c r="H16" s="197"/>
      <c r="I16" s="197"/>
      <c r="J16" s="197"/>
      <c r="K16" s="197"/>
      <c r="L16" s="197"/>
      <c r="M16" s="197"/>
      <c r="N16" s="197"/>
    </row>
    <row r="17" spans="1:14">
      <c r="A17" t="s">
        <v>163</v>
      </c>
    </row>
    <row r="18" spans="1:14">
      <c r="A18" s="197" t="s">
        <v>164</v>
      </c>
      <c r="B18" s="197"/>
      <c r="C18" s="197"/>
      <c r="D18" s="197"/>
      <c r="E18" s="197"/>
      <c r="F18" s="197"/>
      <c r="G18" s="197"/>
      <c r="H18" s="197"/>
      <c r="I18" s="197"/>
      <c r="J18" s="197"/>
      <c r="K18" s="197"/>
      <c r="L18" s="197"/>
      <c r="M18" s="197"/>
      <c r="N18" s="197"/>
    </row>
    <row r="19" spans="1:14">
      <c r="A19" s="197"/>
      <c r="B19" s="197"/>
      <c r="C19" s="197"/>
      <c r="D19" s="197"/>
      <c r="E19" s="197"/>
      <c r="F19" s="197"/>
      <c r="G19" s="197"/>
      <c r="H19" s="197"/>
      <c r="I19" s="197"/>
      <c r="J19" s="197"/>
      <c r="K19" s="197"/>
      <c r="L19" s="197"/>
      <c r="M19" s="197"/>
      <c r="N19" s="197"/>
    </row>
    <row r="20" spans="1:14">
      <c r="A20" s="198" t="s">
        <v>165</v>
      </c>
      <c r="B20" s="198"/>
      <c r="C20" s="198"/>
      <c r="D20" s="198"/>
      <c r="E20" s="198"/>
      <c r="F20" s="198"/>
      <c r="G20" s="198"/>
      <c r="H20" s="198"/>
      <c r="I20" s="198"/>
      <c r="J20" s="198"/>
      <c r="K20" s="198"/>
      <c r="L20" s="198"/>
      <c r="M20" s="198"/>
      <c r="N20" s="198"/>
    </row>
    <row r="21" spans="1:14">
      <c r="A21" s="198"/>
      <c r="B21" s="198"/>
      <c r="C21" s="198"/>
      <c r="D21" s="198"/>
      <c r="E21" s="198"/>
      <c r="F21" s="198"/>
      <c r="G21" s="198"/>
      <c r="H21" s="198"/>
      <c r="I21" s="198"/>
      <c r="J21" s="198"/>
      <c r="K21" s="198"/>
      <c r="L21" s="198"/>
      <c r="M21" s="198"/>
      <c r="N21" s="198"/>
    </row>
    <row r="22" spans="1:14">
      <c r="A22" s="198"/>
      <c r="B22" s="198"/>
      <c r="C22" s="198"/>
      <c r="D22" s="198"/>
      <c r="E22" s="198"/>
      <c r="F22" s="198"/>
      <c r="G22" s="198"/>
      <c r="H22" s="198"/>
      <c r="I22" s="198"/>
      <c r="J22" s="198"/>
      <c r="K22" s="198"/>
      <c r="L22" s="198"/>
      <c r="M22" s="198"/>
      <c r="N22" s="198"/>
    </row>
    <row r="23" spans="1:14">
      <c r="A23" s="198"/>
      <c r="B23" s="198"/>
      <c r="C23" s="198"/>
      <c r="D23" s="198"/>
      <c r="E23" s="198"/>
      <c r="F23" s="198"/>
      <c r="G23" s="198"/>
      <c r="H23" s="198"/>
      <c r="I23" s="198"/>
      <c r="J23" s="198"/>
      <c r="K23" s="198"/>
      <c r="L23" s="198"/>
      <c r="M23" s="198"/>
      <c r="N23" s="198"/>
    </row>
    <row r="24" spans="1:14">
      <c r="A24" s="197"/>
      <c r="B24" s="197"/>
      <c r="C24" s="197"/>
      <c r="D24" s="197"/>
      <c r="E24" s="197"/>
      <c r="F24" s="197"/>
      <c r="G24" s="197"/>
      <c r="H24" s="197"/>
      <c r="I24" s="197"/>
      <c r="J24" s="197"/>
      <c r="K24" s="197"/>
      <c r="L24" s="197"/>
      <c r="M24" s="197"/>
      <c r="N24" s="197"/>
    </row>
    <row r="25" spans="1:14">
      <c r="A25" s="197"/>
      <c r="B25" s="197"/>
      <c r="C25" s="197"/>
      <c r="D25" s="197"/>
      <c r="E25" s="197"/>
      <c r="F25" s="197"/>
      <c r="G25" s="197"/>
      <c r="H25" s="197"/>
      <c r="I25" s="197"/>
      <c r="J25" s="197"/>
      <c r="K25" s="197"/>
      <c r="L25" s="197"/>
      <c r="M25" s="197"/>
      <c r="N25" s="197"/>
    </row>
    <row r="26" spans="1:14">
      <c r="A26" t="s">
        <v>166</v>
      </c>
    </row>
    <row r="27" spans="1:14">
      <c r="A27" s="197" t="s">
        <v>167</v>
      </c>
      <c r="B27" s="197"/>
      <c r="C27" s="197"/>
      <c r="D27" s="197"/>
      <c r="E27" s="197"/>
      <c r="F27" s="197"/>
      <c r="G27" s="197"/>
      <c r="H27" s="197"/>
      <c r="I27" s="197"/>
      <c r="J27" s="197"/>
      <c r="K27" s="197"/>
      <c r="L27" s="197"/>
      <c r="M27" s="197"/>
      <c r="N27" s="197"/>
    </row>
    <row r="28" spans="1:14">
      <c r="A28" s="197"/>
      <c r="B28" s="197"/>
      <c r="C28" s="197"/>
      <c r="D28" s="197"/>
      <c r="E28" s="197"/>
      <c r="F28" s="197"/>
      <c r="G28" s="197"/>
      <c r="H28" s="197"/>
      <c r="I28" s="197"/>
      <c r="J28" s="197"/>
      <c r="K28" s="197"/>
      <c r="L28" s="197"/>
      <c r="M28" s="197"/>
      <c r="N28" s="197"/>
    </row>
    <row r="29" spans="1:14">
      <c r="A29" s="197"/>
      <c r="B29" s="197"/>
      <c r="C29" s="197"/>
      <c r="D29" s="197"/>
      <c r="E29" s="197"/>
      <c r="F29" s="197"/>
      <c r="G29" s="197"/>
      <c r="H29" s="197"/>
      <c r="I29" s="197"/>
      <c r="J29" s="197"/>
      <c r="K29" s="197"/>
      <c r="L29" s="197"/>
      <c r="M29" s="197"/>
      <c r="N29" s="197"/>
    </row>
  </sheetData>
  <mergeCells count="8">
    <mergeCell ref="A15:N16"/>
    <mergeCell ref="A18:N19"/>
    <mergeCell ref="A20:N25"/>
    <mergeCell ref="A27:N29"/>
    <mergeCell ref="A5:M6"/>
    <mergeCell ref="A8:M9"/>
    <mergeCell ref="A10:N11"/>
    <mergeCell ref="A12:N14"/>
  </mergeCells>
  <phoneticPr fontId="23"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7"/>
  <sheetViews>
    <sheetView tabSelected="1" view="pageBreakPreview" zoomScaleNormal="115" zoomScaleSheetLayoutView="100" workbookViewId="0"/>
  </sheetViews>
  <sheetFormatPr defaultRowHeight="12.75"/>
  <sheetData>
    <row r="1" spans="1:1" ht="15.75">
      <c r="A1" s="6" t="s">
        <v>13</v>
      </c>
    </row>
    <row r="2" spans="1:1" ht="15.75">
      <c r="A2" s="6" t="s">
        <v>14</v>
      </c>
    </row>
    <row r="3" spans="1:1" ht="15.75">
      <c r="A3" s="6" t="str">
        <f>+Calculation!A3</f>
        <v>For the Month ended December 31, 2016</v>
      </c>
    </row>
    <row r="4" spans="1:1" ht="15.75">
      <c r="A4" s="6" t="s">
        <v>45</v>
      </c>
    </row>
    <row r="5" spans="1:1" ht="15.75">
      <c r="A5" s="6"/>
    </row>
    <row r="6" spans="1:1" ht="15.75">
      <c r="A6" s="6"/>
    </row>
    <row r="8" spans="1:1" ht="15">
      <c r="A8" s="27" t="s">
        <v>72</v>
      </c>
    </row>
    <row r="9" spans="1:1" ht="15.75">
      <c r="A9" s="6"/>
    </row>
    <row r="10" spans="1:1">
      <c r="A10" t="s">
        <v>49</v>
      </c>
    </row>
    <row r="11" spans="1:1">
      <c r="A11" t="s">
        <v>50</v>
      </c>
    </row>
    <row r="12" spans="1:1">
      <c r="A12" t="s">
        <v>51</v>
      </c>
    </row>
    <row r="13" spans="1:1">
      <c r="A13" t="s">
        <v>52</v>
      </c>
    </row>
    <row r="14" spans="1:1">
      <c r="A14" t="s">
        <v>53</v>
      </c>
    </row>
    <row r="15" spans="1:1">
      <c r="A15" t="s">
        <v>54</v>
      </c>
    </row>
    <row r="16" spans="1:1">
      <c r="A16" t="s">
        <v>55</v>
      </c>
    </row>
    <row r="18" spans="1:1">
      <c r="A18" t="s">
        <v>56</v>
      </c>
    </row>
    <row r="33" spans="1:1" ht="15.75">
      <c r="A33" s="141" t="s">
        <v>204</v>
      </c>
    </row>
    <row r="35" spans="1:1" ht="15.75">
      <c r="A35" s="141" t="s">
        <v>205</v>
      </c>
    </row>
    <row r="37" spans="1:1">
      <c r="A37" t="s">
        <v>206</v>
      </c>
    </row>
    <row r="39" spans="1:1">
      <c r="A39" t="s">
        <v>207</v>
      </c>
    </row>
    <row r="41" spans="1:1">
      <c r="A41" t="s">
        <v>208</v>
      </c>
    </row>
    <row r="43" spans="1:1">
      <c r="A43" t="s">
        <v>209</v>
      </c>
    </row>
    <row r="45" spans="1:1">
      <c r="A45" t="s">
        <v>210</v>
      </c>
    </row>
    <row r="47" spans="1:1">
      <c r="A47" t="s">
        <v>211</v>
      </c>
    </row>
    <row r="49" spans="1:1">
      <c r="A49" t="s">
        <v>212</v>
      </c>
    </row>
    <row r="51" spans="1:1">
      <c r="A51" t="s">
        <v>213</v>
      </c>
    </row>
    <row r="53" spans="1:1">
      <c r="A53" t="s">
        <v>214</v>
      </c>
    </row>
    <row r="55" spans="1:1">
      <c r="A55" t="s">
        <v>65</v>
      </c>
    </row>
    <row r="56" spans="1:1">
      <c r="A56" t="s">
        <v>66</v>
      </c>
    </row>
    <row r="57" spans="1:1">
      <c r="A57" t="s">
        <v>103</v>
      </c>
    </row>
    <row r="58" spans="1:1">
      <c r="A58" s="34" t="s">
        <v>102</v>
      </c>
    </row>
    <row r="59" spans="1:1">
      <c r="A59" t="s">
        <v>63</v>
      </c>
    </row>
    <row r="60" spans="1:1">
      <c r="A60" t="s">
        <v>67</v>
      </c>
    </row>
    <row r="61" spans="1:1">
      <c r="A61" t="s">
        <v>69</v>
      </c>
    </row>
    <row r="62" spans="1:1">
      <c r="A62" t="s">
        <v>70</v>
      </c>
    </row>
    <row r="63" spans="1:1">
      <c r="A63" t="s">
        <v>64</v>
      </c>
    </row>
    <row r="66" spans="1:8">
      <c r="A66" t="s">
        <v>57</v>
      </c>
    </row>
    <row r="67" spans="1:8">
      <c r="A67" t="s">
        <v>58</v>
      </c>
    </row>
    <row r="68" spans="1:8">
      <c r="A68" s="26" t="s">
        <v>59</v>
      </c>
    </row>
    <row r="69" spans="1:8">
      <c r="A69" t="s">
        <v>60</v>
      </c>
    </row>
    <row r="70" spans="1:8">
      <c r="A70" t="s">
        <v>61</v>
      </c>
    </row>
    <row r="71" spans="1:8">
      <c r="A71" t="s">
        <v>62</v>
      </c>
    </row>
    <row r="74" spans="1:8">
      <c r="A74" s="48"/>
      <c r="B74" s="48"/>
      <c r="C74" s="48"/>
      <c r="D74" s="48"/>
      <c r="E74" s="48"/>
      <c r="F74" s="48"/>
      <c r="G74" s="48"/>
      <c r="H74" s="48"/>
    </row>
    <row r="75" spans="1:8">
      <c r="A75" s="173" t="s">
        <v>215</v>
      </c>
      <c r="B75" s="48"/>
      <c r="C75" s="48"/>
      <c r="D75" s="48"/>
      <c r="E75" s="48"/>
      <c r="F75" s="48"/>
      <c r="G75" s="174"/>
      <c r="H75" s="48"/>
    </row>
    <row r="76" spans="1:8">
      <c r="A76" s="173" t="s">
        <v>68</v>
      </c>
      <c r="B76" s="48"/>
      <c r="C76" s="48"/>
      <c r="D76" s="48"/>
      <c r="E76" s="48"/>
      <c r="F76" s="48"/>
      <c r="G76" s="48"/>
      <c r="H76" s="48"/>
    </row>
    <row r="77" spans="1:8">
      <c r="A77" s="173" t="s">
        <v>202</v>
      </c>
      <c r="B77" s="48"/>
      <c r="C77" s="48"/>
      <c r="D77" s="48"/>
      <c r="E77" s="48"/>
      <c r="F77" s="48"/>
      <c r="G77" s="48"/>
      <c r="H77" s="48"/>
    </row>
    <row r="78" spans="1:8">
      <c r="A78" s="48" t="s">
        <v>127</v>
      </c>
      <c r="B78" s="48"/>
      <c r="C78" s="48"/>
      <c r="D78" s="48"/>
      <c r="E78" s="48"/>
      <c r="F78" s="48"/>
      <c r="G78" s="48"/>
      <c r="H78" s="48"/>
    </row>
    <row r="79" spans="1:8">
      <c r="A79" s="173" t="s">
        <v>71</v>
      </c>
      <c r="B79" s="48"/>
      <c r="C79" s="48"/>
      <c r="D79" s="48"/>
      <c r="E79" s="48"/>
      <c r="F79" s="48"/>
      <c r="G79" s="48"/>
      <c r="H79" s="48"/>
    </row>
    <row r="80" spans="1:8">
      <c r="A80" s="173" t="s">
        <v>216</v>
      </c>
      <c r="B80" s="48"/>
      <c r="C80" s="48"/>
      <c r="D80" s="48"/>
      <c r="E80" s="48"/>
      <c r="F80" s="48"/>
      <c r="G80" s="48"/>
      <c r="H80" s="48"/>
    </row>
    <row r="81" spans="1:8">
      <c r="A81" s="48"/>
      <c r="B81" s="48"/>
      <c r="C81" s="48"/>
      <c r="D81" s="48"/>
      <c r="E81" s="48"/>
      <c r="F81" s="48"/>
      <c r="G81" s="48"/>
      <c r="H81" s="48"/>
    </row>
    <row r="85" spans="1:8">
      <c r="A85" t="s">
        <v>75</v>
      </c>
    </row>
    <row r="86" spans="1:8">
      <c r="A86" t="s">
        <v>76</v>
      </c>
    </row>
    <row r="87" spans="1:8">
      <c r="A87" t="s">
        <v>77</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2018-00281
ATTACHMENT 2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view="pageBreakPreview" zoomScaleNormal="85" zoomScaleSheetLayoutView="100" workbookViewId="0"/>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23.85546875" style="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+'December 2016'!A3</f>
        <v>For the Month ended December 31, 2016</v>
      </c>
    </row>
    <row r="4" spans="1:15">
      <c r="A4" s="1" t="s">
        <v>73</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186</v>
      </c>
    </row>
    <row r="11" spans="1:15">
      <c r="A11" s="1">
        <v>2</v>
      </c>
      <c r="H11" s="3"/>
    </row>
    <row r="12" spans="1:15">
      <c r="A12" s="1">
        <v>3</v>
      </c>
      <c r="B12" s="35" t="s">
        <v>104</v>
      </c>
      <c r="D12" s="35"/>
      <c r="G12" s="3"/>
      <c r="H12" s="3"/>
      <c r="M12" s="1" t="s">
        <v>183</v>
      </c>
    </row>
    <row r="13" spans="1:15">
      <c r="A13" s="1">
        <v>4</v>
      </c>
      <c r="H13" s="29"/>
    </row>
    <row r="14" spans="1:15">
      <c r="A14" s="1">
        <v>5</v>
      </c>
      <c r="B14" s="1" t="s">
        <v>126</v>
      </c>
      <c r="C14" s="35"/>
      <c r="G14" s="3"/>
      <c r="M14" s="1" t="s">
        <v>188</v>
      </c>
      <c r="N14" s="2">
        <f>+G24</f>
        <v>2438778635.46</v>
      </c>
      <c r="O14" s="148">
        <f>+N14/$N$17</f>
        <v>0.4132236095725747</v>
      </c>
    </row>
    <row r="15" spans="1:15">
      <c r="A15" s="1">
        <v>6</v>
      </c>
      <c r="M15" s="1" t="s">
        <v>196</v>
      </c>
      <c r="N15" s="2">
        <f>+G26</f>
        <v>0</v>
      </c>
      <c r="O15" s="148">
        <f>+N15/$N$17</f>
        <v>0</v>
      </c>
    </row>
    <row r="16" spans="1:15">
      <c r="A16" s="1">
        <v>7</v>
      </c>
      <c r="M16" s="1" t="s">
        <v>197</v>
      </c>
      <c r="N16" s="2">
        <f>+G28</f>
        <v>3463058962.79</v>
      </c>
      <c r="O16" s="148">
        <f>+N16/$N$17</f>
        <v>0.58677639042742524</v>
      </c>
    </row>
    <row r="17" spans="1:18" ht="15.75">
      <c r="A17" s="1">
        <v>8</v>
      </c>
      <c r="B17" s="6" t="s">
        <v>21</v>
      </c>
      <c r="M17" s="6" t="s">
        <v>185</v>
      </c>
      <c r="N17" s="154">
        <f>SUM(N14:N16)</f>
        <v>5901837598.25</v>
      </c>
      <c r="O17" s="155">
        <f>SUM(O14:O16)</f>
        <v>1</v>
      </c>
    </row>
    <row r="18" spans="1:18">
      <c r="A18" s="1">
        <v>9</v>
      </c>
    </row>
    <row r="19" spans="1:18">
      <c r="A19" s="1">
        <v>10</v>
      </c>
      <c r="B19" s="1" t="s">
        <v>91</v>
      </c>
    </row>
    <row r="20" spans="1:18">
      <c r="A20" s="1">
        <v>11</v>
      </c>
      <c r="B20" s="1" t="s">
        <v>92</v>
      </c>
    </row>
    <row r="21" spans="1:18">
      <c r="A21" s="1">
        <v>12</v>
      </c>
      <c r="M21" s="1" t="s">
        <v>182</v>
      </c>
    </row>
    <row r="22" spans="1:18">
      <c r="A22" s="1">
        <v>13</v>
      </c>
      <c r="B22" s="1" t="s">
        <v>0</v>
      </c>
      <c r="G22" s="2">
        <f>+'WP S'!E25</f>
        <v>717724740.86784554</v>
      </c>
      <c r="H22" s="1" t="s">
        <v>8</v>
      </c>
      <c r="J22" s="3"/>
    </row>
    <row r="23" spans="1:18">
      <c r="A23" s="1">
        <v>14</v>
      </c>
      <c r="B23" s="1" t="s">
        <v>1</v>
      </c>
      <c r="G23" s="36">
        <f>'Wp s rate'!F14</f>
        <v>1.6279416666666668E-2</v>
      </c>
      <c r="H23" s="35" t="s">
        <v>8</v>
      </c>
      <c r="J23" s="2"/>
      <c r="K23" s="3"/>
      <c r="M23" s="1" t="s">
        <v>178</v>
      </c>
      <c r="N23" s="3">
        <f>+G22/G30</f>
        <v>2.9190832193024487</v>
      </c>
      <c r="O23" s="3"/>
      <c r="P23" s="3"/>
      <c r="Q23" s="3"/>
    </row>
    <row r="24" spans="1:18">
      <c r="A24" s="1">
        <v>15</v>
      </c>
      <c r="B24" s="1" t="s">
        <v>2</v>
      </c>
      <c r="G24" s="2">
        <f>+'Wp L - LTD'!D30</f>
        <v>2438778635.46</v>
      </c>
      <c r="H24" s="11" t="s">
        <v>90</v>
      </c>
      <c r="M24" s="1" t="s">
        <v>177</v>
      </c>
      <c r="N24" s="29">
        <f>1-N23</f>
        <v>-1.9190832193024487</v>
      </c>
      <c r="O24" s="29"/>
      <c r="P24" s="29"/>
      <c r="Q24" s="29"/>
    </row>
    <row r="25" spans="1:18">
      <c r="A25" s="1">
        <v>16</v>
      </c>
      <c r="B25" s="1" t="s">
        <v>3</v>
      </c>
      <c r="G25" s="3">
        <f>+'Wp L - LTD'!J30</f>
        <v>5.4483340472844644E-2</v>
      </c>
      <c r="H25" s="1" t="s">
        <v>7</v>
      </c>
      <c r="N25" s="1" t="s">
        <v>181</v>
      </c>
      <c r="O25" s="1" t="s">
        <v>180</v>
      </c>
      <c r="P25" s="1" t="s">
        <v>184</v>
      </c>
    </row>
    <row r="26" spans="1:18">
      <c r="A26" s="1">
        <v>17</v>
      </c>
      <c r="B26" s="1" t="s">
        <v>5</v>
      </c>
      <c r="G26" s="42">
        <v>0</v>
      </c>
      <c r="M26" s="1" t="s">
        <v>187</v>
      </c>
      <c r="N26" s="3">
        <f>+N23</f>
        <v>2.9190832193024487</v>
      </c>
      <c r="O26" s="149">
        <f>+G23</f>
        <v>1.6279416666666668E-2</v>
      </c>
      <c r="P26" s="4">
        <f>+N26*O26</f>
        <v>4.7520972011699275E-2</v>
      </c>
      <c r="R26" s="1" t="s">
        <v>179</v>
      </c>
    </row>
    <row r="27" spans="1:18">
      <c r="A27" s="1">
        <v>18</v>
      </c>
      <c r="B27" s="1" t="s">
        <v>6</v>
      </c>
      <c r="G27" s="43">
        <v>0</v>
      </c>
      <c r="M27" s="1" t="s">
        <v>188</v>
      </c>
      <c r="N27" s="3">
        <f>+N24*O14</f>
        <v>-0.79301049495031484</v>
      </c>
      <c r="O27" s="29">
        <f>+G25</f>
        <v>5.4483340472844644E-2</v>
      </c>
      <c r="P27" s="4">
        <f>+N27*O27</f>
        <v>-4.3205860794917055E-2</v>
      </c>
    </row>
    <row r="28" spans="1:18">
      <c r="A28" s="1">
        <v>19</v>
      </c>
      <c r="B28" s="1" t="s">
        <v>106</v>
      </c>
      <c r="G28" s="2">
        <f>+'Wp C'!C12</f>
        <v>3463058962.79</v>
      </c>
      <c r="H28" s="1" t="s">
        <v>90</v>
      </c>
      <c r="M28" s="1" t="s">
        <v>189</v>
      </c>
      <c r="N28" s="3">
        <f>+N24*O16</f>
        <v>-1.1260727243521338</v>
      </c>
      <c r="O28" s="29">
        <f>+G29</f>
        <v>0.105</v>
      </c>
      <c r="P28" s="4">
        <f>+N28*O28</f>
        <v>-0.11823763605697404</v>
      </c>
    </row>
    <row r="29" spans="1:18" ht="15.75">
      <c r="A29" s="1">
        <v>20</v>
      </c>
      <c r="B29" s="1" t="s">
        <v>105</v>
      </c>
      <c r="G29" s="72">
        <v>0.105</v>
      </c>
      <c r="H29" s="1" t="s">
        <v>128</v>
      </c>
      <c r="M29" s="6" t="s">
        <v>193</v>
      </c>
      <c r="N29" s="152">
        <f>SUM(N26:N28)</f>
        <v>1.0000000000000002</v>
      </c>
      <c r="O29" s="6"/>
      <c r="P29" s="153">
        <f>SUM(P26:P28)</f>
        <v>-0.11392252484019183</v>
      </c>
    </row>
    <row r="30" spans="1:18">
      <c r="A30" s="1">
        <v>21</v>
      </c>
      <c r="B30" s="1" t="s">
        <v>4</v>
      </c>
      <c r="G30" s="2">
        <f>+'Wp W - CWIP'!C24</f>
        <v>245873340</v>
      </c>
      <c r="H30" s="1" t="s">
        <v>9</v>
      </c>
      <c r="P30" s="4"/>
    </row>
    <row r="31" spans="1:18" ht="19.5">
      <c r="A31" s="1">
        <v>22</v>
      </c>
      <c r="M31" s="1" t="s">
        <v>190</v>
      </c>
      <c r="P31" s="4">
        <f>+P26+P27</f>
        <v>4.3151112167822206E-3</v>
      </c>
    </row>
    <row r="32" spans="1:18" ht="19.5">
      <c r="A32" s="1">
        <v>23</v>
      </c>
      <c r="G32" s="150"/>
      <c r="M32" s="1" t="s">
        <v>191</v>
      </c>
      <c r="P32" s="4">
        <f>+P28</f>
        <v>-0.11823763605697404</v>
      </c>
    </row>
    <row r="33" spans="1:16" ht="15.75">
      <c r="A33" s="1">
        <v>24</v>
      </c>
      <c r="M33" s="6" t="s">
        <v>192</v>
      </c>
      <c r="N33" s="6"/>
      <c r="O33" s="6"/>
      <c r="P33" s="151">
        <f>+P31+P32</f>
        <v>-0.11392252484019183</v>
      </c>
    </row>
    <row r="34" spans="1:16" ht="15.75">
      <c r="A34" s="1">
        <v>25</v>
      </c>
      <c r="B34" s="7" t="s">
        <v>44</v>
      </c>
    </row>
    <row r="35" spans="1:16">
      <c r="A35" s="1">
        <v>26</v>
      </c>
    </row>
    <row r="36" spans="1:16">
      <c r="A36" s="1">
        <v>27</v>
      </c>
      <c r="B36" s="1" t="s">
        <v>93</v>
      </c>
      <c r="D36" s="4">
        <f>IF(G22/G30&gt;1,G23,+$G$23*($G$22/$G$30)+$G$25*($G$24/($G$24+$G$26+$G$28))*(1-$G$22/$G$30))</f>
        <v>1.6279416666666668E-2</v>
      </c>
      <c r="G36" s="157"/>
    </row>
    <row r="37" spans="1:16">
      <c r="A37" s="1">
        <v>28</v>
      </c>
      <c r="G37" s="4"/>
    </row>
    <row r="38" spans="1:16">
      <c r="A38" s="1">
        <v>29</v>
      </c>
      <c r="B38" s="1" t="s">
        <v>94</v>
      </c>
      <c r="D38" s="4">
        <f>IF(G22/G30&gt;1,0,(1-G22/G30)*((G27*(G26/(G24+G26+G28)))+G29*(G28/(G24+G26+G28))))</f>
        <v>0</v>
      </c>
      <c r="G38" s="4"/>
    </row>
    <row r="39" spans="1:16">
      <c r="A39" s="1">
        <v>30</v>
      </c>
    </row>
    <row r="40" spans="1:16">
      <c r="A40" s="1">
        <v>31</v>
      </c>
      <c r="B40" s="1" t="s">
        <v>95</v>
      </c>
      <c r="D40" s="5">
        <f>+D36+D38</f>
        <v>1.6279416666666668E-2</v>
      </c>
    </row>
    <row r="41" spans="1:16">
      <c r="A41" s="1">
        <v>32</v>
      </c>
    </row>
    <row r="42" spans="1:16">
      <c r="A42" s="1">
        <v>33</v>
      </c>
    </row>
    <row r="44" spans="1:16">
      <c r="B44" s="11" t="s">
        <v>117</v>
      </c>
    </row>
    <row r="45" spans="1:16">
      <c r="B45" s="58" t="s">
        <v>152</v>
      </c>
    </row>
    <row r="46" spans="1:16">
      <c r="B46" s="1" t="s">
        <v>133</v>
      </c>
    </row>
    <row r="47" spans="1:16">
      <c r="B47" s="35" t="s">
        <v>137</v>
      </c>
      <c r="C47" s="35"/>
      <c r="D47" s="35"/>
      <c r="E47" s="35"/>
      <c r="F47" s="35"/>
      <c r="G47" s="35"/>
    </row>
    <row r="48" spans="1:16">
      <c r="B48" s="71" t="s">
        <v>201</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2018-00281
ATTACHMENT 2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view="pageBreakPreview" zoomScaleNormal="100" zoomScaleSheetLayoutView="100" workbookViewId="0"/>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145</v>
      </c>
      <c r="B1" s="1"/>
      <c r="C1" s="1"/>
      <c r="D1" s="1"/>
    </row>
    <row r="2" spans="1:7" ht="15.75">
      <c r="A2" s="6" t="s">
        <v>14</v>
      </c>
      <c r="B2" s="1"/>
      <c r="C2" s="1"/>
      <c r="D2" s="1"/>
      <c r="E2" s="47"/>
      <c r="F2" s="48"/>
      <c r="G2" s="48"/>
    </row>
    <row r="3" spans="1:7" ht="15.75">
      <c r="A3" s="6" t="s">
        <v>230</v>
      </c>
      <c r="B3" s="1"/>
      <c r="C3" s="35"/>
      <c r="D3" s="35"/>
    </row>
    <row r="4" spans="1:7" ht="15">
      <c r="A4" s="1"/>
      <c r="B4" s="1"/>
      <c r="C4" s="1"/>
      <c r="D4" s="50"/>
    </row>
    <row r="5" spans="1:7" ht="15">
      <c r="A5" s="1"/>
      <c r="B5" s="1"/>
      <c r="C5" s="1"/>
      <c r="D5" s="1"/>
    </row>
    <row r="6" spans="1:7" ht="15">
      <c r="A6" s="13" t="s">
        <v>10</v>
      </c>
      <c r="B6" s="13"/>
      <c r="C6" s="13" t="s">
        <v>101</v>
      </c>
      <c r="D6" s="13"/>
    </row>
    <row r="7" spans="1:7" ht="15">
      <c r="A7" s="14" t="s">
        <v>11</v>
      </c>
      <c r="B7" s="14" t="s">
        <v>97</v>
      </c>
      <c r="C7" s="14" t="s">
        <v>28</v>
      </c>
      <c r="D7" s="16"/>
    </row>
    <row r="8" spans="1:7" ht="15">
      <c r="A8" s="1"/>
      <c r="B8" s="12" t="s">
        <v>18</v>
      </c>
      <c r="C8" s="12" t="s">
        <v>19</v>
      </c>
      <c r="D8" s="17"/>
    </row>
    <row r="9" spans="1:7" ht="15.75" thickBot="1">
      <c r="A9" s="1"/>
      <c r="B9" s="1"/>
      <c r="C9" s="1"/>
      <c r="D9" s="21"/>
    </row>
    <row r="10" spans="1:7" ht="15.75" thickBot="1">
      <c r="A10" s="1">
        <v>1</v>
      </c>
      <c r="B10" s="45">
        <f>'Wp s rate'!B14</f>
        <v>42705</v>
      </c>
      <c r="C10" s="51">
        <f>+Calculation!D40</f>
        <v>1.6279416666666668E-2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2018-00281
ATTACHMENT 2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86" zoomScaleSheetLayoutView="100" workbookViewId="0"/>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121</v>
      </c>
      <c r="B2" s="6"/>
      <c r="C2" s="6"/>
    </row>
    <row r="3" spans="1:10" ht="15.75">
      <c r="A3" s="6" t="s">
        <v>222</v>
      </c>
      <c r="B3" s="53"/>
      <c r="C3" s="53"/>
    </row>
    <row r="4" spans="1:10" ht="15.75">
      <c r="A4" s="41" t="s">
        <v>108</v>
      </c>
      <c r="B4" s="6"/>
      <c r="C4" s="53"/>
    </row>
    <row r="5" spans="1:10" ht="15.75">
      <c r="A5" s="6"/>
      <c r="B5" s="6"/>
      <c r="C5" s="53"/>
    </row>
    <row r="6" spans="1:10" ht="15.75">
      <c r="A6" s="6"/>
      <c r="B6" s="6"/>
      <c r="C6" s="53"/>
    </row>
    <row r="7" spans="1:10" ht="15.75">
      <c r="A7" s="8"/>
      <c r="B7" s="8"/>
      <c r="C7" s="109"/>
    </row>
    <row r="8" spans="1:10" ht="15.75">
      <c r="A8" s="8" t="s">
        <v>10</v>
      </c>
      <c r="B8" s="8"/>
      <c r="C8" s="52">
        <v>42643</v>
      </c>
    </row>
    <row r="9" spans="1:10" ht="15.75">
      <c r="A9" s="9" t="s">
        <v>11</v>
      </c>
      <c r="B9" s="9" t="s">
        <v>15</v>
      </c>
      <c r="C9" s="110" t="s">
        <v>31</v>
      </c>
    </row>
    <row r="10" spans="1:10">
      <c r="A10" s="16"/>
      <c r="B10" s="17" t="s">
        <v>18</v>
      </c>
      <c r="C10" s="111" t="s">
        <v>20</v>
      </c>
    </row>
    <row r="11" spans="1:10">
      <c r="C11" s="35"/>
      <c r="E11" s="35"/>
      <c r="F11" s="35"/>
      <c r="G11" s="35"/>
      <c r="H11" s="35"/>
      <c r="I11" s="35"/>
      <c r="J11" s="35"/>
    </row>
    <row r="12" spans="1:10" ht="15.75" thickBot="1">
      <c r="A12" s="1">
        <v>1</v>
      </c>
      <c r="B12" s="54" t="s">
        <v>114</v>
      </c>
      <c r="C12" s="55">
        <v>3463058962.79</v>
      </c>
      <c r="D12" s="35"/>
      <c r="E12" s="35"/>
      <c r="F12" s="35"/>
      <c r="G12" s="35"/>
      <c r="H12" s="35"/>
      <c r="I12" s="35"/>
      <c r="J12" s="35"/>
    </row>
    <row r="13" spans="1:10" ht="15.75" thickTop="1">
      <c r="B13" s="18"/>
      <c r="C13" s="19"/>
      <c r="E13" s="147"/>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2018-00281
ATTACHMENT 2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zoomScaleNormal="100" zoomScaleSheetLayoutView="100" workbookViewId="0"/>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80</v>
      </c>
    </row>
    <row r="3" spans="1:10" ht="15.75">
      <c r="A3" s="6" t="s">
        <v>221</v>
      </c>
      <c r="E3" s="50"/>
    </row>
    <row r="4" spans="1:10" ht="15">
      <c r="A4" s="41" t="s">
        <v>143</v>
      </c>
      <c r="B4" s="1"/>
      <c r="C4" s="1"/>
      <c r="D4" s="1"/>
    </row>
    <row r="5" spans="1:10">
      <c r="A5" s="40"/>
      <c r="B5" s="40"/>
      <c r="C5" s="40"/>
      <c r="D5" s="40"/>
      <c r="E5" s="40"/>
      <c r="F5" s="40"/>
      <c r="G5" s="40"/>
      <c r="H5" s="40"/>
      <c r="I5" s="40"/>
      <c r="J5" s="40"/>
    </row>
    <row r="6" spans="1:10">
      <c r="A6" s="76"/>
      <c r="B6" s="76"/>
      <c r="C6" s="76" t="s">
        <v>81</v>
      </c>
      <c r="D6" s="40"/>
      <c r="E6" s="40"/>
      <c r="F6" s="40"/>
      <c r="G6" s="40"/>
      <c r="H6" s="40"/>
      <c r="I6" s="40"/>
      <c r="J6" s="40"/>
    </row>
    <row r="7" spans="1:10">
      <c r="A7" s="76"/>
      <c r="B7" s="76"/>
      <c r="C7" s="76" t="s">
        <v>82</v>
      </c>
      <c r="D7" s="40"/>
      <c r="E7" s="64" t="s">
        <v>88</v>
      </c>
      <c r="F7" s="66" t="s">
        <v>88</v>
      </c>
      <c r="G7" s="83"/>
      <c r="H7" s="40"/>
      <c r="I7" s="40"/>
      <c r="J7" s="76" t="s">
        <v>144</v>
      </c>
    </row>
    <row r="8" spans="1:10">
      <c r="A8" s="76" t="s">
        <v>10</v>
      </c>
      <c r="B8" s="76"/>
      <c r="C8" s="76" t="s">
        <v>83</v>
      </c>
      <c r="D8" s="40"/>
      <c r="E8" s="76" t="s">
        <v>150</v>
      </c>
      <c r="F8" s="76" t="s">
        <v>142</v>
      </c>
      <c r="G8" s="83"/>
      <c r="H8" s="40"/>
      <c r="I8" s="40"/>
      <c r="J8" s="76" t="s">
        <v>28</v>
      </c>
    </row>
    <row r="9" spans="1:10">
      <c r="A9" s="77" t="s">
        <v>11</v>
      </c>
      <c r="B9" s="77" t="s">
        <v>15</v>
      </c>
      <c r="C9" s="77" t="s">
        <v>84</v>
      </c>
      <c r="D9" s="40"/>
      <c r="E9" s="77" t="s">
        <v>89</v>
      </c>
      <c r="F9" s="77" t="s">
        <v>85</v>
      </c>
      <c r="G9" s="83"/>
      <c r="H9" s="85" t="s">
        <v>138</v>
      </c>
      <c r="I9" s="86" t="s">
        <v>139</v>
      </c>
      <c r="J9" s="86" t="s">
        <v>140</v>
      </c>
    </row>
    <row r="10" spans="1:10">
      <c r="A10" s="76"/>
      <c r="B10" s="78" t="s">
        <v>18</v>
      </c>
      <c r="C10" s="78" t="s">
        <v>19</v>
      </c>
      <c r="D10" s="40"/>
      <c r="E10" s="78" t="s">
        <v>20</v>
      </c>
      <c r="F10" s="78" t="s">
        <v>36</v>
      </c>
      <c r="G10" s="83"/>
      <c r="H10" s="84" t="s">
        <v>37</v>
      </c>
      <c r="I10" s="76" t="s">
        <v>38</v>
      </c>
      <c r="J10" s="76" t="s">
        <v>39</v>
      </c>
    </row>
    <row r="11" spans="1:10">
      <c r="A11" s="40"/>
      <c r="B11" s="40"/>
      <c r="C11" s="40"/>
      <c r="D11" s="40"/>
      <c r="E11" s="40"/>
      <c r="F11" s="40"/>
      <c r="G11" s="83"/>
      <c r="H11" s="40"/>
      <c r="I11" s="40"/>
      <c r="J11" s="40"/>
    </row>
    <row r="12" spans="1:10">
      <c r="A12" s="40">
        <v>1</v>
      </c>
      <c r="B12" s="146">
        <v>42644</v>
      </c>
      <c r="C12" s="191">
        <v>1.359225E-2</v>
      </c>
      <c r="D12" s="137"/>
      <c r="E12" s="191">
        <v>3.0976666666666665E-3</v>
      </c>
      <c r="F12" s="80">
        <f>E12+C12</f>
        <v>1.6689916666666665E-2</v>
      </c>
      <c r="G12" s="140"/>
      <c r="H12" s="192">
        <v>1.6689916666666665E-2</v>
      </c>
      <c r="I12" s="192">
        <v>0</v>
      </c>
      <c r="J12" s="167">
        <f>I12+H12</f>
        <v>1.6689916666666665E-2</v>
      </c>
    </row>
    <row r="13" spans="1:10">
      <c r="A13" s="40">
        <v>2</v>
      </c>
      <c r="B13" s="146">
        <v>42675</v>
      </c>
      <c r="C13" s="191">
        <v>1.3346249999999999E-2</v>
      </c>
      <c r="D13" s="137"/>
      <c r="E13" s="191">
        <v>3.1560000000000004E-3</v>
      </c>
      <c r="F13" s="80">
        <f>E13+C13</f>
        <v>1.650225E-2</v>
      </c>
      <c r="G13" s="140"/>
      <c r="H13" s="192">
        <v>1.650225E-2</v>
      </c>
      <c r="I13" s="192">
        <v>0</v>
      </c>
      <c r="J13" s="167">
        <f>I13+H13</f>
        <v>1.650225E-2</v>
      </c>
    </row>
    <row r="14" spans="1:10" s="137" customFormat="1">
      <c r="A14" s="137">
        <v>3</v>
      </c>
      <c r="B14" s="146">
        <v>42705</v>
      </c>
      <c r="C14" s="175">
        <f>+'WP S'!H$28</f>
        <v>1.3051500000000001E-2</v>
      </c>
      <c r="E14" s="175">
        <f>+'WP S'!I$28</f>
        <v>3.2279166666666667E-3</v>
      </c>
      <c r="F14" s="80">
        <f t="shared" ref="F14:F21" si="0">E14+C14</f>
        <v>1.6279416666666668E-2</v>
      </c>
      <c r="G14" s="140"/>
      <c r="H14" s="176">
        <f>Calculation!$D$36</f>
        <v>1.6279416666666668E-2</v>
      </c>
      <c r="I14" s="176">
        <f>Calculation!$D$38</f>
        <v>0</v>
      </c>
      <c r="J14" s="167">
        <f t="shared" ref="J14:J21" si="1">I14+H14</f>
        <v>1.6279416666666668E-2</v>
      </c>
    </row>
    <row r="15" spans="1:10" s="137" customFormat="1">
      <c r="A15" s="137">
        <v>4</v>
      </c>
      <c r="B15" s="146">
        <v>42736</v>
      </c>
      <c r="C15" s="177">
        <f>+'WP S'!H$28</f>
        <v>1.3051500000000001E-2</v>
      </c>
      <c r="E15" s="177">
        <f>+'WP S'!I$28</f>
        <v>3.2279166666666667E-3</v>
      </c>
      <c r="F15" s="80">
        <f t="shared" si="0"/>
        <v>1.6279416666666668E-2</v>
      </c>
      <c r="G15" s="140"/>
      <c r="H15" s="178">
        <f>Calculation!$D$36</f>
        <v>1.6279416666666668E-2</v>
      </c>
      <c r="I15" s="178">
        <f>Calculation!$D$38</f>
        <v>0</v>
      </c>
      <c r="J15" s="167">
        <f>I15+H15</f>
        <v>1.6279416666666668E-2</v>
      </c>
    </row>
    <row r="16" spans="1:10" s="137" customFormat="1">
      <c r="A16" s="137">
        <v>5</v>
      </c>
      <c r="B16" s="146">
        <v>42767</v>
      </c>
      <c r="C16" s="177">
        <f>+'WP S'!H$28</f>
        <v>1.3051500000000001E-2</v>
      </c>
      <c r="E16" s="177">
        <f>+'WP S'!I$28</f>
        <v>3.2279166666666667E-3</v>
      </c>
      <c r="F16" s="80">
        <f>E16+C16</f>
        <v>1.6279416666666668E-2</v>
      </c>
      <c r="G16" s="140"/>
      <c r="H16" s="178">
        <f>Calculation!$D$36</f>
        <v>1.6279416666666668E-2</v>
      </c>
      <c r="I16" s="178">
        <f>Calculation!$D$38</f>
        <v>0</v>
      </c>
      <c r="J16" s="167">
        <f>I16+H16</f>
        <v>1.6279416666666668E-2</v>
      </c>
    </row>
    <row r="17" spans="1:11" s="137" customFormat="1">
      <c r="A17" s="137">
        <v>6</v>
      </c>
      <c r="B17" s="146">
        <v>42795</v>
      </c>
      <c r="C17" s="177">
        <f>+'WP S'!H$28</f>
        <v>1.3051500000000001E-2</v>
      </c>
      <c r="E17" s="177">
        <f>+'WP S'!I$28</f>
        <v>3.2279166666666667E-3</v>
      </c>
      <c r="F17" s="80">
        <f>E17+C17</f>
        <v>1.6279416666666668E-2</v>
      </c>
      <c r="G17" s="140"/>
      <c r="H17" s="178">
        <f>Calculation!$D$36</f>
        <v>1.6279416666666668E-2</v>
      </c>
      <c r="I17" s="178">
        <f>Calculation!$D$38</f>
        <v>0</v>
      </c>
      <c r="J17" s="167">
        <f>I17+H17</f>
        <v>1.6279416666666668E-2</v>
      </c>
    </row>
    <row r="18" spans="1:11" s="137" customFormat="1">
      <c r="A18" s="137">
        <v>7</v>
      </c>
      <c r="B18" s="146">
        <v>42826</v>
      </c>
      <c r="C18" s="177">
        <f>+'WP S'!H$28</f>
        <v>1.3051500000000001E-2</v>
      </c>
      <c r="E18" s="177">
        <f>+'WP S'!I$28</f>
        <v>3.2279166666666667E-3</v>
      </c>
      <c r="F18" s="80">
        <f t="shared" si="0"/>
        <v>1.6279416666666668E-2</v>
      </c>
      <c r="G18" s="156"/>
      <c r="H18" s="178">
        <f>Calculation!$D$36</f>
        <v>1.6279416666666668E-2</v>
      </c>
      <c r="I18" s="178">
        <f>Calculation!$D$38</f>
        <v>0</v>
      </c>
      <c r="J18" s="167">
        <f t="shared" si="1"/>
        <v>1.6279416666666668E-2</v>
      </c>
    </row>
    <row r="19" spans="1:11" s="137" customFormat="1">
      <c r="A19" s="137">
        <v>8</v>
      </c>
      <c r="B19" s="146">
        <v>42856</v>
      </c>
      <c r="C19" s="177">
        <f>+'WP S'!H$28</f>
        <v>1.3051500000000001E-2</v>
      </c>
      <c r="E19" s="177">
        <f>+'WP S'!I$28</f>
        <v>3.2279166666666667E-3</v>
      </c>
      <c r="F19" s="80">
        <f t="shared" si="0"/>
        <v>1.6279416666666668E-2</v>
      </c>
      <c r="G19" s="140"/>
      <c r="H19" s="178">
        <f>Calculation!$D$36</f>
        <v>1.6279416666666668E-2</v>
      </c>
      <c r="I19" s="178">
        <f>Calculation!$D$38</f>
        <v>0</v>
      </c>
      <c r="J19" s="167">
        <f t="shared" si="1"/>
        <v>1.6279416666666668E-2</v>
      </c>
    </row>
    <row r="20" spans="1:11" s="48" customFormat="1">
      <c r="A20" s="137">
        <v>9</v>
      </c>
      <c r="B20" s="146">
        <v>42887</v>
      </c>
      <c r="C20" s="177">
        <f>+'WP S'!H$28</f>
        <v>1.3051500000000001E-2</v>
      </c>
      <c r="D20" s="137"/>
      <c r="E20" s="177">
        <f>+'WP S'!I$28</f>
        <v>3.2279166666666667E-3</v>
      </c>
      <c r="F20" s="80">
        <f t="shared" si="0"/>
        <v>1.6279416666666668E-2</v>
      </c>
      <c r="G20" s="140"/>
      <c r="H20" s="178">
        <f>Calculation!$D$36</f>
        <v>1.6279416666666668E-2</v>
      </c>
      <c r="I20" s="178">
        <f>Calculation!$D$38</f>
        <v>0</v>
      </c>
      <c r="J20" s="167">
        <f t="shared" si="1"/>
        <v>1.6279416666666668E-2</v>
      </c>
    </row>
    <row r="21" spans="1:11">
      <c r="A21" s="40">
        <v>10</v>
      </c>
      <c r="B21" s="146">
        <v>42917</v>
      </c>
      <c r="C21" s="177">
        <f>+'WP S'!H$28</f>
        <v>1.3051500000000001E-2</v>
      </c>
      <c r="D21" s="137"/>
      <c r="E21" s="177">
        <f>+'WP S'!I$28</f>
        <v>3.2279166666666667E-3</v>
      </c>
      <c r="F21" s="169">
        <f t="shared" si="0"/>
        <v>1.6279416666666668E-2</v>
      </c>
      <c r="G21" s="170"/>
      <c r="H21" s="178">
        <f>Calculation!$D$36</f>
        <v>1.6279416666666668E-2</v>
      </c>
      <c r="I21" s="178">
        <f>Calculation!$D$38</f>
        <v>0</v>
      </c>
      <c r="J21" s="167">
        <f t="shared" si="1"/>
        <v>1.6279416666666668E-2</v>
      </c>
      <c r="K21" s="137"/>
    </row>
    <row r="22" spans="1:11">
      <c r="A22" s="40">
        <v>11</v>
      </c>
      <c r="B22" s="146">
        <v>42948</v>
      </c>
      <c r="C22" s="177">
        <f>+'WP S'!H$28</f>
        <v>1.3051500000000001E-2</v>
      </c>
      <c r="D22" s="137"/>
      <c r="E22" s="177">
        <f>+'WP S'!I$28</f>
        <v>3.2279166666666667E-3</v>
      </c>
      <c r="F22" s="169">
        <f>E22+C22</f>
        <v>1.6279416666666668E-2</v>
      </c>
      <c r="G22" s="170"/>
      <c r="H22" s="178">
        <f>Calculation!$D$36</f>
        <v>1.6279416666666668E-2</v>
      </c>
      <c r="I22" s="178">
        <f>Calculation!$D$38</f>
        <v>0</v>
      </c>
      <c r="J22" s="167">
        <f>I22+H22</f>
        <v>1.6279416666666668E-2</v>
      </c>
      <c r="K22" s="48"/>
    </row>
    <row r="23" spans="1:11">
      <c r="A23" s="40">
        <v>12</v>
      </c>
      <c r="B23" s="146">
        <v>42979</v>
      </c>
      <c r="C23" s="177">
        <f>+'WP S'!H$28</f>
        <v>1.3051500000000001E-2</v>
      </c>
      <c r="D23" s="137"/>
      <c r="E23" s="177">
        <f>+'WP S'!I$28</f>
        <v>3.2279166666666667E-3</v>
      </c>
      <c r="F23" s="80">
        <f>E23+C23</f>
        <v>1.6279416666666668E-2</v>
      </c>
      <c r="G23" s="140"/>
      <c r="H23" s="178">
        <f>Calculation!$D$36</f>
        <v>1.6279416666666668E-2</v>
      </c>
      <c r="I23" s="178">
        <f>Calculation!$D$38</f>
        <v>0</v>
      </c>
      <c r="J23" s="167">
        <f>I23+H23</f>
        <v>1.6279416666666668E-2</v>
      </c>
      <c r="K23" s="48"/>
    </row>
    <row r="24" spans="1:11">
      <c r="A24" s="40"/>
      <c r="B24" s="40"/>
      <c r="C24" s="40"/>
      <c r="D24" s="40"/>
      <c r="E24" s="81"/>
      <c r="F24" s="40"/>
      <c r="G24" s="40"/>
      <c r="H24" s="40"/>
      <c r="I24" s="40"/>
      <c r="J24" s="40"/>
    </row>
    <row r="25" spans="1:11">
      <c r="A25" s="40"/>
      <c r="B25" s="39"/>
      <c r="C25" s="82"/>
      <c r="D25" s="79"/>
      <c r="E25" s="40"/>
      <c r="F25" s="40"/>
      <c r="G25" s="40"/>
      <c r="H25" s="40"/>
      <c r="I25" s="40"/>
      <c r="J25" s="40"/>
    </row>
    <row r="26" spans="1:11">
      <c r="A26" s="39" t="s">
        <v>141</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68" orientation="portrait" horizontalDpi="300" verticalDpi="300" r:id="rId1"/>
  <headerFooter alignWithMargins="0">
    <oddHeader>&amp;R&amp;9CASE NO. 2018-00281
ATTACHMENT 2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view="pageBreakPreview" zoomScaleNormal="100" zoomScaleSheetLayoutView="100" workbookViewId="0"/>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113</v>
      </c>
      <c r="B1" s="6"/>
      <c r="C1" s="6"/>
      <c r="D1" s="50"/>
      <c r="E1" s="6"/>
      <c r="F1" s="6"/>
      <c r="G1" s="6"/>
      <c r="H1" s="6"/>
      <c r="I1"/>
      <c r="J1" s="6"/>
      <c r="K1" s="6"/>
      <c r="L1" s="6"/>
      <c r="M1" s="6"/>
    </row>
    <row r="2" spans="1:27" ht="15.75">
      <c r="A2" s="6" t="s">
        <v>80</v>
      </c>
      <c r="B2" s="6"/>
      <c r="C2" s="6"/>
      <c r="D2" s="6"/>
      <c r="E2" s="6"/>
      <c r="F2" s="6"/>
      <c r="G2" s="6"/>
      <c r="H2" s="6"/>
      <c r="I2"/>
      <c r="J2" s="6"/>
      <c r="K2" s="6"/>
      <c r="L2" s="6"/>
      <c r="M2" s="6"/>
    </row>
    <row r="3" spans="1:27" ht="15.75">
      <c r="A3" s="6" t="s">
        <v>221</v>
      </c>
      <c r="B3" s="6"/>
      <c r="C3" s="6"/>
      <c r="D3" s="6"/>
      <c r="E3" s="6"/>
      <c r="F3" s="6"/>
      <c r="G3" s="6"/>
      <c r="H3" s="6"/>
      <c r="I3"/>
      <c r="J3" s="6"/>
      <c r="K3" s="6"/>
      <c r="L3" s="6"/>
      <c r="M3" s="6"/>
    </row>
    <row r="4" spans="1:27" ht="15.75">
      <c r="A4" s="38" t="s">
        <v>129</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118</v>
      </c>
      <c r="D6" s="8"/>
      <c r="E6" s="8" t="s">
        <v>43</v>
      </c>
      <c r="F6" s="8"/>
      <c r="G6" s="8"/>
      <c r="H6" s="8"/>
      <c r="I6" s="69"/>
      <c r="J6" s="8"/>
      <c r="K6" s="8"/>
      <c r="L6" s="8"/>
      <c r="M6" s="8" t="s">
        <v>78</v>
      </c>
    </row>
    <row r="7" spans="1:27" ht="15.75">
      <c r="A7" s="8"/>
      <c r="B7" s="8"/>
      <c r="C7" s="8" t="s">
        <v>23</v>
      </c>
      <c r="D7" s="8"/>
      <c r="E7" s="8" t="s">
        <v>23</v>
      </c>
      <c r="F7" s="8"/>
      <c r="G7" s="8"/>
      <c r="H7" s="37"/>
      <c r="I7" s="8" t="s">
        <v>119</v>
      </c>
      <c r="J7" s="8"/>
      <c r="K7" s="8"/>
      <c r="L7" s="8" t="s">
        <v>78</v>
      </c>
      <c r="M7" s="8" t="s">
        <v>115</v>
      </c>
      <c r="O7" s="78" t="s">
        <v>151</v>
      </c>
      <c r="P7" s="78"/>
      <c r="Q7" s="78"/>
      <c r="R7" s="78"/>
      <c r="S7" s="78">
        <v>4310.3012099999996</v>
      </c>
    </row>
    <row r="8" spans="1:27" ht="15.75">
      <c r="A8" s="8" t="s">
        <v>10</v>
      </c>
      <c r="B8" s="8"/>
      <c r="C8" s="8" t="s">
        <v>22</v>
      </c>
      <c r="D8" s="8"/>
      <c r="E8" s="8" t="s">
        <v>22</v>
      </c>
      <c r="F8" s="8" t="s">
        <v>100</v>
      </c>
      <c r="G8" s="8" t="s">
        <v>98</v>
      </c>
      <c r="H8" s="8" t="s">
        <v>25</v>
      </c>
      <c r="I8" s="8" t="s">
        <v>74</v>
      </c>
      <c r="J8" s="8"/>
      <c r="K8" s="8"/>
      <c r="L8" s="8" t="s">
        <v>101</v>
      </c>
      <c r="M8" s="8" t="s">
        <v>86</v>
      </c>
      <c r="N8" s="60" t="s">
        <v>132</v>
      </c>
      <c r="O8" s="61" t="s">
        <v>132</v>
      </c>
      <c r="P8" s="61" t="s">
        <v>132</v>
      </c>
      <c r="Q8" s="61" t="s">
        <v>132</v>
      </c>
      <c r="R8" s="62" t="s">
        <v>132</v>
      </c>
    </row>
    <row r="9" spans="1:27" ht="15.75">
      <c r="A9" s="9" t="s">
        <v>11</v>
      </c>
      <c r="B9" s="9" t="s">
        <v>15</v>
      </c>
      <c r="C9" s="9" t="s">
        <v>112</v>
      </c>
      <c r="D9" s="9" t="s">
        <v>42</v>
      </c>
      <c r="E9" s="9" t="s">
        <v>24</v>
      </c>
      <c r="F9" s="9" t="s">
        <v>97</v>
      </c>
      <c r="G9" s="9" t="s">
        <v>23</v>
      </c>
      <c r="H9" s="9" t="s">
        <v>26</v>
      </c>
      <c r="I9" s="9" t="s">
        <v>111</v>
      </c>
      <c r="J9" s="9"/>
      <c r="K9" s="9" t="s">
        <v>35</v>
      </c>
      <c r="L9" s="9" t="s">
        <v>28</v>
      </c>
      <c r="M9" s="9" t="s">
        <v>87</v>
      </c>
      <c r="N9" s="63" t="s">
        <v>131</v>
      </c>
      <c r="O9" s="64" t="s">
        <v>131</v>
      </c>
      <c r="P9" s="64" t="s">
        <v>131</v>
      </c>
      <c r="Q9" s="64" t="s">
        <v>131</v>
      </c>
      <c r="R9" s="66" t="s">
        <v>131</v>
      </c>
      <c r="S9" s="66" t="s">
        <v>148</v>
      </c>
    </row>
    <row r="10" spans="1:27">
      <c r="A10" s="13"/>
      <c r="B10" s="12" t="s">
        <v>18</v>
      </c>
      <c r="C10" s="12" t="s">
        <v>19</v>
      </c>
      <c r="D10" s="12" t="s">
        <v>20</v>
      </c>
      <c r="E10" s="12" t="s">
        <v>36</v>
      </c>
      <c r="F10" s="12"/>
      <c r="G10" s="12"/>
      <c r="H10" s="12" t="s">
        <v>37</v>
      </c>
      <c r="I10" s="12" t="s">
        <v>38</v>
      </c>
      <c r="K10" s="12" t="s">
        <v>39</v>
      </c>
      <c r="L10" s="12" t="s">
        <v>40</v>
      </c>
      <c r="M10" s="12" t="s">
        <v>96</v>
      </c>
      <c r="N10" s="63" t="s">
        <v>35</v>
      </c>
      <c r="O10" s="64" t="s">
        <v>130</v>
      </c>
      <c r="P10" s="64" t="s">
        <v>194</v>
      </c>
      <c r="Q10" s="195" t="s">
        <v>229</v>
      </c>
      <c r="R10" s="66" t="s">
        <v>176</v>
      </c>
      <c r="S10" s="66" t="s">
        <v>149</v>
      </c>
    </row>
    <row r="11" spans="1:27">
      <c r="N11" s="67"/>
      <c r="O11" s="21"/>
      <c r="P11" s="21"/>
      <c r="Q11" s="21"/>
      <c r="R11" s="65"/>
    </row>
    <row r="12" spans="1:27">
      <c r="A12" s="1">
        <v>1</v>
      </c>
      <c r="B12" s="136">
        <f>'Wp s rate'!B12</f>
        <v>42644</v>
      </c>
      <c r="C12" s="127">
        <v>840360387.09677422</v>
      </c>
      <c r="D12" s="127"/>
      <c r="E12" s="127">
        <f>D12+C12</f>
        <v>840360387.09677422</v>
      </c>
      <c r="F12" s="127">
        <v>31</v>
      </c>
      <c r="G12" s="127">
        <f>+E12*F12/F25</f>
        <v>71373073.97260274</v>
      </c>
      <c r="H12" s="130">
        <v>565888.22700000007</v>
      </c>
      <c r="I12" s="130">
        <f>+N12+S12</f>
        <v>224603.43759856641</v>
      </c>
      <c r="J12" s="127"/>
      <c r="K12" s="127">
        <f>+H12+I12</f>
        <v>790491.66459856648</v>
      </c>
      <c r="L12" s="135">
        <f>+M12+I$28</f>
        <v>1.1156512080915209E-2</v>
      </c>
      <c r="M12" s="135">
        <f>+H12/G12</f>
        <v>7.9285954142485418E-3</v>
      </c>
      <c r="N12" s="179">
        <f>SUM(O12:Q12)</f>
        <v>129035.66888888895</v>
      </c>
      <c r="O12" s="180">
        <v>2646.780000000002</v>
      </c>
      <c r="P12" s="180"/>
      <c r="Q12" s="180">
        <v>126388.88888888895</v>
      </c>
      <c r="R12" s="181"/>
      <c r="S12" s="181">
        <v>95567.768709677475</v>
      </c>
      <c r="T12" s="59"/>
      <c r="U12" s="59"/>
      <c r="Y12" s="2"/>
      <c r="Z12" s="2"/>
      <c r="AA12" s="3"/>
    </row>
    <row r="13" spans="1:27">
      <c r="A13" s="1">
        <v>2</v>
      </c>
      <c r="B13" s="136">
        <f>'Wp s rate'!B13</f>
        <v>42675</v>
      </c>
      <c r="C13" s="127">
        <v>831273066.66666663</v>
      </c>
      <c r="D13" s="127"/>
      <c r="E13" s="127">
        <f t="shared" ref="E13:E23" si="0">D13+C13</f>
        <v>831273066.66666663</v>
      </c>
      <c r="F13" s="127">
        <v>30</v>
      </c>
      <c r="G13" s="127">
        <f>+E13*F13/F25</f>
        <v>68323813.698630139</v>
      </c>
      <c r="H13" s="130">
        <v>563056.97799999989</v>
      </c>
      <c r="I13" s="130">
        <f>+N13+S13</f>
        <v>224862.58</v>
      </c>
      <c r="J13" s="25"/>
      <c r="K13" s="127">
        <f>+H13+I13</f>
        <v>787919.55799999984</v>
      </c>
      <c r="L13" s="135">
        <f>+M13+I$28</f>
        <v>1.1468922950121375E-2</v>
      </c>
      <c r="M13" s="135">
        <f>+H13/G13</f>
        <v>8.241006283454708E-3</v>
      </c>
      <c r="N13" s="179">
        <f>SUM(O13:Q13)</f>
        <v>127561.4</v>
      </c>
      <c r="O13" s="180">
        <v>2561.4</v>
      </c>
      <c r="P13" s="180"/>
      <c r="Q13" s="180">
        <v>125000</v>
      </c>
      <c r="R13" s="181"/>
      <c r="S13" s="181">
        <v>97301.18</v>
      </c>
      <c r="T13" s="59"/>
      <c r="U13" s="73"/>
      <c r="Y13" s="25"/>
      <c r="Z13" s="25"/>
      <c r="AA13" s="3"/>
    </row>
    <row r="14" spans="1:27" s="35" customFormat="1">
      <c r="A14" s="35">
        <v>3</v>
      </c>
      <c r="B14" s="136">
        <f>'Wp s rate'!B14</f>
        <v>42705</v>
      </c>
      <c r="C14" s="127">
        <v>928395161.29032254</v>
      </c>
      <c r="D14" s="127"/>
      <c r="E14" s="127">
        <f t="shared" si="0"/>
        <v>928395161.29032254</v>
      </c>
      <c r="F14" s="127">
        <v>31</v>
      </c>
      <c r="G14" s="127">
        <f>+E14*F14/F25</f>
        <v>78850000</v>
      </c>
      <c r="H14" s="130">
        <v>699542.20770000014</v>
      </c>
      <c r="I14" s="130">
        <f>+N14+S14</f>
        <v>229114.63</v>
      </c>
      <c r="J14" s="25"/>
      <c r="K14" s="127">
        <f>+H14+I14</f>
        <v>928656.83770000015</v>
      </c>
      <c r="L14" s="135">
        <f>+M14+I$28</f>
        <v>1.209972652969774E-2</v>
      </c>
      <c r="M14" s="135">
        <f>+H14/G14</f>
        <v>8.8718098630310733E-3</v>
      </c>
      <c r="N14" s="179">
        <f>SUM(O14:Q14)</f>
        <v>131813.45000000001</v>
      </c>
      <c r="O14" s="180">
        <v>2646.78</v>
      </c>
      <c r="P14" s="180"/>
      <c r="Q14" s="180">
        <v>129166.67</v>
      </c>
      <c r="R14" s="181"/>
      <c r="S14" s="181">
        <v>97301.18</v>
      </c>
      <c r="U14" s="130"/>
      <c r="Y14" s="127"/>
      <c r="Z14" s="127"/>
      <c r="AA14" s="133"/>
    </row>
    <row r="15" spans="1:27">
      <c r="A15" s="1">
        <v>4</v>
      </c>
      <c r="B15" s="136">
        <f>'Wp s rate'!B15</f>
        <v>42736</v>
      </c>
      <c r="C15" s="183">
        <v>915287595.86512363</v>
      </c>
      <c r="D15" s="127"/>
      <c r="E15" s="127">
        <f t="shared" si="0"/>
        <v>915287595.86512363</v>
      </c>
      <c r="F15" s="127">
        <v>31</v>
      </c>
      <c r="G15" s="127">
        <f>+E15*F15/F25</f>
        <v>77736754.717311874</v>
      </c>
      <c r="H15" s="184">
        <v>963935.75849466713</v>
      </c>
      <c r="I15" s="184">
        <v>184198.79888888888</v>
      </c>
      <c r="J15" s="25" t="s">
        <v>79</v>
      </c>
      <c r="K15" s="127">
        <f t="shared" ref="K15:K23" si="1">+H15+I15</f>
        <v>1148134.5573835559</v>
      </c>
      <c r="L15" s="135">
        <f>+M15+I$28</f>
        <v>1.5627916666666665E-2</v>
      </c>
      <c r="M15" s="196">
        <f t="shared" ref="M15:M18" si="2">+H15/G15</f>
        <v>1.2399999999999998E-2</v>
      </c>
      <c r="N15" s="179">
        <f t="shared" ref="N15:N23" si="3">+I15-S15</f>
        <v>102331.52888888888</v>
      </c>
      <c r="O15" s="194">
        <v>2653.91</v>
      </c>
      <c r="P15" s="180"/>
      <c r="Q15" s="194">
        <f t="shared" ref="Q15:Q23" si="4">+N15-O15</f>
        <v>99677.618888888872</v>
      </c>
      <c r="R15" s="181"/>
      <c r="S15" s="193">
        <v>81867.27</v>
      </c>
      <c r="U15" s="73"/>
      <c r="Y15" s="25"/>
      <c r="Z15" s="25"/>
      <c r="AA15" s="3"/>
    </row>
    <row r="16" spans="1:27">
      <c r="A16" s="1">
        <v>5</v>
      </c>
      <c r="B16" s="136">
        <f>'Wp s rate'!B16</f>
        <v>42767</v>
      </c>
      <c r="C16" s="183">
        <v>849726074.36549294</v>
      </c>
      <c r="D16" s="127"/>
      <c r="E16" s="127">
        <f t="shared" si="0"/>
        <v>849726074.36549294</v>
      </c>
      <c r="F16" s="182">
        <v>28</v>
      </c>
      <c r="G16" s="127">
        <f>+E16*F16/F25</f>
        <v>65184465.978722744</v>
      </c>
      <c r="H16" s="184">
        <v>860434.95091914036</v>
      </c>
      <c r="I16" s="184">
        <v>173525.30222222221</v>
      </c>
      <c r="J16" s="25" t="s">
        <v>79</v>
      </c>
      <c r="K16" s="127">
        <f>+H16+I16</f>
        <v>1033960.2531413626</v>
      </c>
      <c r="L16" s="135">
        <f t="shared" ref="L16:L22" si="5">+M16+I$28</f>
        <v>1.6427916666666667E-2</v>
      </c>
      <c r="M16" s="196">
        <f t="shared" si="2"/>
        <v>1.3200000000000002E-2</v>
      </c>
      <c r="N16" s="179">
        <f t="shared" si="3"/>
        <v>91658.032222222202</v>
      </c>
      <c r="O16" s="194">
        <v>2397.08</v>
      </c>
      <c r="P16" s="180"/>
      <c r="Q16" s="194">
        <f t="shared" si="4"/>
        <v>89260.9522222222</v>
      </c>
      <c r="R16" s="181"/>
      <c r="S16" s="193">
        <v>81867.27</v>
      </c>
      <c r="U16" s="73"/>
      <c r="Y16" s="25"/>
      <c r="Z16" s="25"/>
      <c r="AA16" s="3"/>
    </row>
    <row r="17" spans="1:27">
      <c r="A17" s="1">
        <v>6</v>
      </c>
      <c r="B17" s="136">
        <f>'Wp s rate'!B17</f>
        <v>42795</v>
      </c>
      <c r="C17" s="183">
        <v>797531033.68039179</v>
      </c>
      <c r="D17" s="127"/>
      <c r="E17" s="127">
        <f t="shared" si="0"/>
        <v>797531033.68039179</v>
      </c>
      <c r="F17" s="127">
        <v>31</v>
      </c>
      <c r="G17" s="127">
        <f>+E17*F17/F25</f>
        <v>67735512.449567512</v>
      </c>
      <c r="H17" s="184">
        <v>948297.17429394543</v>
      </c>
      <c r="I17" s="184">
        <v>184198.79888888888</v>
      </c>
      <c r="J17" s="25" t="s">
        <v>79</v>
      </c>
      <c r="K17" s="127">
        <f>+H17+I17</f>
        <v>1132495.9731828342</v>
      </c>
      <c r="L17" s="135">
        <f t="shared" si="5"/>
        <v>1.7227916666666669E-2</v>
      </c>
      <c r="M17" s="196">
        <f t="shared" si="2"/>
        <v>1.4000000000000004E-2</v>
      </c>
      <c r="N17" s="179">
        <f t="shared" si="3"/>
        <v>102331.52888888888</v>
      </c>
      <c r="O17" s="194">
        <v>2653.91</v>
      </c>
      <c r="P17" s="180"/>
      <c r="Q17" s="194">
        <f t="shared" si="4"/>
        <v>99677.618888888872</v>
      </c>
      <c r="R17" s="181"/>
      <c r="S17" s="193">
        <v>81867.27</v>
      </c>
      <c r="U17" s="73"/>
      <c r="Y17" s="25"/>
      <c r="Z17" s="25"/>
      <c r="AA17" s="3"/>
    </row>
    <row r="18" spans="1:27">
      <c r="A18" s="1">
        <v>7</v>
      </c>
      <c r="B18" s="136">
        <f>'Wp s rate'!B18</f>
        <v>42826</v>
      </c>
      <c r="C18" s="183">
        <v>755038228.10501599</v>
      </c>
      <c r="D18" s="127"/>
      <c r="E18" s="127">
        <f t="shared" si="0"/>
        <v>755038228.10501599</v>
      </c>
      <c r="F18" s="127">
        <v>30</v>
      </c>
      <c r="G18" s="127">
        <f>+E18*F18/F25</f>
        <v>62057936.556576654</v>
      </c>
      <c r="H18" s="184">
        <v>918457.46103733475</v>
      </c>
      <c r="I18" s="184">
        <v>180640.96666666667</v>
      </c>
      <c r="J18" s="25" t="s">
        <v>79</v>
      </c>
      <c r="K18" s="127">
        <f>+H18+I18</f>
        <v>1099098.4277040013</v>
      </c>
      <c r="L18" s="135">
        <f t="shared" si="5"/>
        <v>1.8027916666666671E-2</v>
      </c>
      <c r="M18" s="196">
        <f t="shared" si="2"/>
        <v>1.4800000000000004E-2</v>
      </c>
      <c r="N18" s="179">
        <f t="shared" si="3"/>
        <v>98773.69666666667</v>
      </c>
      <c r="O18" s="194">
        <v>2568.3000000000002</v>
      </c>
      <c r="P18" s="180"/>
      <c r="Q18" s="194">
        <f t="shared" si="4"/>
        <v>96205.396666666667</v>
      </c>
      <c r="R18" s="181"/>
      <c r="S18" s="193">
        <v>81867.27</v>
      </c>
      <c r="U18" s="73"/>
      <c r="Y18" s="25"/>
      <c r="Z18" s="25"/>
      <c r="AA18" s="3"/>
    </row>
    <row r="19" spans="1:27">
      <c r="A19" s="1">
        <v>8</v>
      </c>
      <c r="B19" s="136">
        <f>'Wp s rate'!B19</f>
        <v>42856</v>
      </c>
      <c r="C19" s="183">
        <v>753669198.13065743</v>
      </c>
      <c r="D19" s="127"/>
      <c r="E19" s="127">
        <f t="shared" si="0"/>
        <v>753669198.13065743</v>
      </c>
      <c r="F19" s="127">
        <v>31</v>
      </c>
      <c r="G19" s="127">
        <f>+E19*F19/F25</f>
        <v>64010260.663151726</v>
      </c>
      <c r="H19" s="184">
        <v>998560.066345167</v>
      </c>
      <c r="I19" s="184">
        <v>184198.79888888888</v>
      </c>
      <c r="J19" s="25" t="s">
        <v>79</v>
      </c>
      <c r="K19" s="127">
        <f t="shared" si="1"/>
        <v>1182758.8652340558</v>
      </c>
      <c r="L19" s="135">
        <f>+M19+I$28</f>
        <v>1.8827916666666666E-2</v>
      </c>
      <c r="M19" s="196">
        <f>+H19/G19</f>
        <v>1.5600000000000001E-2</v>
      </c>
      <c r="N19" s="179">
        <f t="shared" si="3"/>
        <v>102331.52888888888</v>
      </c>
      <c r="O19" s="194">
        <v>2653.91</v>
      </c>
      <c r="P19" s="180"/>
      <c r="Q19" s="194">
        <f t="shared" si="4"/>
        <v>99677.618888888872</v>
      </c>
      <c r="R19" s="181"/>
      <c r="S19" s="193">
        <v>81867.27</v>
      </c>
      <c r="U19" s="73"/>
      <c r="Y19" s="25"/>
      <c r="Z19" s="25"/>
      <c r="AA19" s="3"/>
    </row>
    <row r="20" spans="1:27">
      <c r="A20" s="1">
        <v>9</v>
      </c>
      <c r="B20" s="136">
        <f>'Wp s rate'!B20</f>
        <v>42887</v>
      </c>
      <c r="C20" s="183">
        <v>585109957.22808802</v>
      </c>
      <c r="D20" s="127"/>
      <c r="E20" s="127">
        <f>D20+C20</f>
        <v>585109957.22808802</v>
      </c>
      <c r="F20" s="127">
        <v>30</v>
      </c>
      <c r="G20" s="127">
        <f>+E20*F20/F25</f>
        <v>48091229.361212716</v>
      </c>
      <c r="H20" s="184">
        <v>788696.16152388859</v>
      </c>
      <c r="I20" s="184">
        <v>180640.96666666667</v>
      </c>
      <c r="J20" s="25" t="s">
        <v>79</v>
      </c>
      <c r="K20" s="127">
        <f t="shared" si="1"/>
        <v>969337.12819055526</v>
      </c>
      <c r="L20" s="135">
        <f>+M20+I$28</f>
        <v>1.9627916666666669E-2</v>
      </c>
      <c r="M20" s="196">
        <f>+H20/G20</f>
        <v>1.6400000000000001E-2</v>
      </c>
      <c r="N20" s="179">
        <f t="shared" si="3"/>
        <v>98773.69666666667</v>
      </c>
      <c r="O20" s="194">
        <v>2568.3000000000002</v>
      </c>
      <c r="P20" s="180"/>
      <c r="Q20" s="194">
        <f t="shared" si="4"/>
        <v>96205.396666666667</v>
      </c>
      <c r="R20" s="181"/>
      <c r="S20" s="193">
        <v>81867.27</v>
      </c>
      <c r="U20" s="106"/>
      <c r="Y20" s="25"/>
      <c r="Z20" s="25"/>
      <c r="AA20" s="3"/>
    </row>
    <row r="21" spans="1:27">
      <c r="A21" s="1">
        <v>10</v>
      </c>
      <c r="B21" s="136">
        <f>'Wp s rate'!B21</f>
        <v>42917</v>
      </c>
      <c r="C21" s="183">
        <v>414164199.39540398</v>
      </c>
      <c r="D21" s="127"/>
      <c r="E21" s="127">
        <f t="shared" si="0"/>
        <v>414164199.39540398</v>
      </c>
      <c r="F21" s="127">
        <v>31</v>
      </c>
      <c r="G21" s="127">
        <f>+E21*F21/F25</f>
        <v>35175589.537691839</v>
      </c>
      <c r="H21" s="184">
        <v>605020.14004829968</v>
      </c>
      <c r="I21" s="184">
        <v>184198.79888888888</v>
      </c>
      <c r="J21" s="25" t="s">
        <v>79</v>
      </c>
      <c r="K21" s="127">
        <f t="shared" si="1"/>
        <v>789218.93893718859</v>
      </c>
      <c r="L21" s="135">
        <f t="shared" si="5"/>
        <v>2.0427916666666667E-2</v>
      </c>
      <c r="M21" s="196">
        <f>+H21/G21</f>
        <v>1.72E-2</v>
      </c>
      <c r="N21" s="179">
        <f t="shared" si="3"/>
        <v>102331.52888888888</v>
      </c>
      <c r="O21" s="194">
        <v>2653.91</v>
      </c>
      <c r="P21" s="180"/>
      <c r="Q21" s="194">
        <f t="shared" si="4"/>
        <v>99677.618888888872</v>
      </c>
      <c r="R21" s="181"/>
      <c r="S21" s="193">
        <v>81867.27</v>
      </c>
      <c r="U21" s="107"/>
      <c r="Y21" s="25"/>
      <c r="Z21" s="25"/>
      <c r="AA21" s="3"/>
    </row>
    <row r="22" spans="1:27">
      <c r="A22" s="1">
        <v>11</v>
      </c>
      <c r="B22" s="136">
        <f>'Wp s rate'!B22</f>
        <v>42948</v>
      </c>
      <c r="C22" s="183">
        <v>443822371.36856472</v>
      </c>
      <c r="D22" s="127"/>
      <c r="E22" s="127">
        <f t="shared" si="0"/>
        <v>443822371.36856472</v>
      </c>
      <c r="F22" s="127">
        <v>31</v>
      </c>
      <c r="G22" s="127">
        <f>+E22*F22/F25</f>
        <v>37694502.773768514</v>
      </c>
      <c r="H22" s="184">
        <v>678501.04992783326</v>
      </c>
      <c r="I22" s="184">
        <v>184198.79888888888</v>
      </c>
      <c r="J22" s="25" t="s">
        <v>79</v>
      </c>
      <c r="K22" s="127">
        <f t="shared" si="1"/>
        <v>862699.84881672217</v>
      </c>
      <c r="L22" s="135">
        <f t="shared" si="5"/>
        <v>2.1227916666666666E-2</v>
      </c>
      <c r="M22" s="196">
        <f>+H22/G22</f>
        <v>1.7999999999999999E-2</v>
      </c>
      <c r="N22" s="179">
        <f t="shared" si="3"/>
        <v>102331.52888888888</v>
      </c>
      <c r="O22" s="194">
        <v>2653.91</v>
      </c>
      <c r="P22" s="180"/>
      <c r="Q22" s="194">
        <f t="shared" si="4"/>
        <v>99677.618888888872</v>
      </c>
      <c r="R22" s="181"/>
      <c r="S22" s="193">
        <v>81867.27</v>
      </c>
      <c r="U22" s="68"/>
      <c r="Y22" s="25"/>
      <c r="Z22" s="25"/>
      <c r="AA22" s="3"/>
    </row>
    <row r="23" spans="1:27">
      <c r="A23" s="1">
        <v>12</v>
      </c>
      <c r="B23" s="136">
        <f>'Wp s rate'!B23</f>
        <v>42979</v>
      </c>
      <c r="C23" s="184">
        <v>498319617.22164506</v>
      </c>
      <c r="D23" s="130"/>
      <c r="E23" s="130">
        <f t="shared" si="0"/>
        <v>498319617.22164506</v>
      </c>
      <c r="F23" s="130">
        <v>30</v>
      </c>
      <c r="G23" s="130">
        <f>+E23*F23/F25</f>
        <v>40957776.757943429</v>
      </c>
      <c r="H23" s="184">
        <v>770006.20304933621</v>
      </c>
      <c r="I23" s="184">
        <v>180640.96666666667</v>
      </c>
      <c r="J23" s="25" t="s">
        <v>79</v>
      </c>
      <c r="K23" s="130">
        <f t="shared" si="1"/>
        <v>950647.16971600289</v>
      </c>
      <c r="L23" s="135">
        <f>+M23+I$28</f>
        <v>2.2027916666666661E-2</v>
      </c>
      <c r="M23" s="196">
        <f>+H23/G23</f>
        <v>1.8799999999999994E-2</v>
      </c>
      <c r="N23" s="179">
        <f t="shared" si="3"/>
        <v>98773.69666666667</v>
      </c>
      <c r="O23" s="194">
        <v>2568.3000000000002</v>
      </c>
      <c r="P23" s="180"/>
      <c r="Q23" s="194">
        <f t="shared" si="4"/>
        <v>96205.396666666667</v>
      </c>
      <c r="R23" s="181"/>
      <c r="S23" s="193">
        <v>81867.27</v>
      </c>
      <c r="U23" s="105"/>
      <c r="Y23" s="25"/>
      <c r="Z23" s="25"/>
      <c r="AA23" s="3"/>
    </row>
    <row r="24" spans="1:27">
      <c r="A24" s="1">
        <v>13</v>
      </c>
      <c r="B24" s="35"/>
      <c r="C24" s="35"/>
      <c r="D24" s="35"/>
      <c r="E24" s="35"/>
      <c r="F24" s="127"/>
      <c r="G24" s="35"/>
      <c r="H24" s="35"/>
      <c r="I24" s="35"/>
      <c r="J24" s="35"/>
      <c r="K24" s="35"/>
      <c r="L24" s="35"/>
      <c r="M24" s="35"/>
      <c r="N24" s="131"/>
      <c r="O24" s="35"/>
      <c r="P24" s="35"/>
      <c r="Q24" s="35"/>
      <c r="R24" s="35"/>
      <c r="S24" s="35"/>
      <c r="U24" s="108"/>
    </row>
    <row r="25" spans="1:27" ht="15.75" thickBot="1">
      <c r="A25" s="1">
        <v>14</v>
      </c>
      <c r="B25" s="35" t="s">
        <v>116</v>
      </c>
      <c r="C25" s="128">
        <f>AVERAGE(C12:C23)</f>
        <v>717724740.86784554</v>
      </c>
      <c r="D25" s="128"/>
      <c r="E25" s="128">
        <f>AVERAGE(E12:E23)</f>
        <v>717724740.86784554</v>
      </c>
      <c r="F25" s="129">
        <f>SUM(F12:F23)</f>
        <v>365</v>
      </c>
      <c r="G25" s="128">
        <f>AVERAGE(G12:G23)</f>
        <v>59765909.705598325</v>
      </c>
      <c r="H25" s="128">
        <f>SUM(H12:H23)</f>
        <v>9360396.3783396129</v>
      </c>
      <c r="I25" s="128">
        <f>SUM(I12:I23)</f>
        <v>2315022.8442652333</v>
      </c>
      <c r="J25" s="132"/>
      <c r="K25" s="128">
        <f>SUM(K12:K23)</f>
        <v>11675419.222604845</v>
      </c>
      <c r="L25" s="133"/>
      <c r="M25" s="133"/>
      <c r="N25" s="35"/>
      <c r="O25" s="142" t="s">
        <v>153</v>
      </c>
      <c r="P25" s="35"/>
      <c r="Q25" s="35"/>
      <c r="R25" s="35"/>
      <c r="S25" s="35"/>
      <c r="U25" s="29"/>
      <c r="Y25" s="28"/>
      <c r="Z25" s="2"/>
      <c r="AA25" s="3"/>
    </row>
    <row r="26" spans="1:27" ht="15.75" thickTop="1">
      <c r="A26" s="1">
        <v>15</v>
      </c>
      <c r="B26" s="35"/>
      <c r="C26" s="134"/>
      <c r="G26" s="25"/>
      <c r="H26" s="35"/>
      <c r="I26" s="134"/>
      <c r="J26" s="35"/>
      <c r="K26" s="35"/>
      <c r="L26" s="35"/>
      <c r="M26" s="35"/>
      <c r="N26" s="35"/>
      <c r="O26" s="35"/>
      <c r="P26" s="35"/>
      <c r="Q26" s="35"/>
      <c r="R26" s="35"/>
      <c r="S26" s="35"/>
    </row>
    <row r="27" spans="1:27">
      <c r="A27" s="1">
        <v>16</v>
      </c>
      <c r="C27" s="25"/>
      <c r="G27" s="3"/>
      <c r="H27" s="3"/>
      <c r="I27" s="49"/>
    </row>
    <row r="28" spans="1:27">
      <c r="A28" s="1">
        <v>17</v>
      </c>
      <c r="B28" s="1" t="s">
        <v>134</v>
      </c>
      <c r="G28" s="3"/>
      <c r="H28" s="56">
        <f>ROUND(+H25/$G25,6)/12</f>
        <v>1.3051500000000001E-2</v>
      </c>
      <c r="I28" s="138">
        <f>ROUND(+I25/$G25,6)/12</f>
        <v>3.2279166666666667E-3</v>
      </c>
      <c r="K28" s="3"/>
      <c r="L28" s="29">
        <f>+H28+I28</f>
        <v>1.6279416666666668E-2</v>
      </c>
      <c r="M28" s="29"/>
      <c r="AA28" s="3"/>
    </row>
    <row r="29" spans="1:27">
      <c r="G29" s="29"/>
      <c r="H29" s="31"/>
      <c r="I29" s="31"/>
    </row>
    <row r="30" spans="1:27">
      <c r="B30" s="168" t="s">
        <v>203</v>
      </c>
      <c r="C30" s="35"/>
      <c r="D30" s="35"/>
      <c r="E30" s="35"/>
      <c r="F30" s="35"/>
      <c r="G30" s="35"/>
      <c r="H30" s="35"/>
    </row>
    <row r="31" spans="1:27">
      <c r="B31" s="40" t="s">
        <v>124</v>
      </c>
    </row>
    <row r="32" spans="1:27">
      <c r="B32" s="40" t="s">
        <v>122</v>
      </c>
    </row>
    <row r="33" spans="2:19">
      <c r="B33" s="57" t="s">
        <v>123</v>
      </c>
    </row>
    <row r="34" spans="2:19">
      <c r="B34" s="40" t="s">
        <v>125</v>
      </c>
    </row>
    <row r="35" spans="2:19">
      <c r="B35" s="40"/>
    </row>
    <row r="36" spans="2:19">
      <c r="B36" s="40"/>
    </row>
    <row r="37" spans="2:19">
      <c r="B37" s="40"/>
      <c r="C37" s="144"/>
      <c r="D37" s="144"/>
      <c r="E37" s="144"/>
      <c r="F37" s="144"/>
      <c r="G37" s="144"/>
      <c r="H37" s="144"/>
      <c r="I37" s="144"/>
      <c r="J37" s="144"/>
      <c r="K37" s="144"/>
      <c r="L37" s="144"/>
      <c r="M37" s="144"/>
      <c r="N37" s="144"/>
    </row>
    <row r="38" spans="2:19">
      <c r="B38" s="40"/>
      <c r="G38" s="143"/>
      <c r="H38" s="143"/>
      <c r="I38" s="143"/>
      <c r="J38" s="143"/>
      <c r="K38" s="143"/>
      <c r="L38" s="143"/>
      <c r="M38" s="143"/>
      <c r="N38" s="143"/>
      <c r="O38" s="143"/>
      <c r="P38" s="143"/>
      <c r="Q38" s="143"/>
      <c r="R38" s="143"/>
    </row>
    <row r="39" spans="2:19">
      <c r="B39" s="40"/>
      <c r="H39" s="145"/>
      <c r="I39" s="145"/>
      <c r="J39" s="145"/>
      <c r="K39" s="145"/>
      <c r="L39" s="145"/>
      <c r="M39" s="145"/>
      <c r="N39" s="145"/>
      <c r="O39" s="145"/>
      <c r="P39" s="145"/>
      <c r="Q39" s="145"/>
      <c r="R39" s="145"/>
      <c r="S39" s="145"/>
    </row>
    <row r="40" spans="2:19">
      <c r="B40" s="40"/>
    </row>
    <row r="41" spans="2:19">
      <c r="B41" s="40"/>
      <c r="C41" s="143"/>
      <c r="D41" s="143"/>
      <c r="E41" s="143"/>
      <c r="F41" s="143"/>
      <c r="G41" s="143"/>
      <c r="H41" s="143"/>
      <c r="I41" s="143"/>
      <c r="J41" s="143"/>
      <c r="K41" s="143"/>
      <c r="L41" s="143"/>
      <c r="M41" s="143"/>
    </row>
    <row r="42" spans="2:19">
      <c r="B42" s="40"/>
    </row>
    <row r="43" spans="2:19">
      <c r="B43" s="40"/>
    </row>
  </sheetData>
  <phoneticPr fontId="0" type="noConversion"/>
  <printOptions horizontalCentered="1"/>
  <pageMargins left="0.5" right="0.25" top="1" bottom="0.5" header="0.5" footer="0.5"/>
  <pageSetup scale="50" orientation="landscape" horizontalDpi="300" verticalDpi="300" r:id="rId1"/>
  <headerFooter alignWithMargins="0">
    <oddHeader>&amp;RCASE NO. 2018-00281
ATTACHMENT 2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Normal="100" zoomScaleSheetLayoutView="100" workbookViewId="0"/>
  </sheetViews>
  <sheetFormatPr defaultRowHeight="12.75"/>
  <cols>
    <col min="1" max="1" width="6" style="48" customWidth="1"/>
    <col min="2" max="2" width="10.140625" style="48" bestFit="1" customWidth="1"/>
    <col min="3" max="3" width="47.855468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113</v>
      </c>
      <c r="B1" s="50"/>
      <c r="C1" s="50"/>
      <c r="D1" s="50"/>
      <c r="E1" s="50"/>
      <c r="F1" s="50"/>
      <c r="G1" s="50"/>
      <c r="H1" s="50"/>
      <c r="I1" s="50"/>
      <c r="J1" s="50"/>
    </row>
    <row r="2" spans="1:11" ht="15.75">
      <c r="A2" s="53" t="s">
        <v>120</v>
      </c>
      <c r="B2" s="50"/>
      <c r="C2" s="50"/>
      <c r="D2" s="50"/>
      <c r="E2" s="50"/>
      <c r="F2" s="50"/>
      <c r="G2" s="50"/>
      <c r="H2" s="50"/>
      <c r="I2" s="50"/>
      <c r="J2" s="50"/>
    </row>
    <row r="3" spans="1:11" ht="15.75">
      <c r="A3" s="53" t="s">
        <v>222</v>
      </c>
      <c r="B3" s="50"/>
      <c r="C3" s="50"/>
      <c r="D3" s="50"/>
      <c r="E3" s="50"/>
      <c r="F3" s="50"/>
      <c r="G3" s="50"/>
      <c r="I3" s="50"/>
      <c r="J3" s="50"/>
    </row>
    <row r="4" spans="1:11" ht="13.5" customHeight="1">
      <c r="A4" s="112" t="s">
        <v>107</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3"/>
      <c r="B7" s="113"/>
      <c r="C7" s="113"/>
      <c r="D7" s="113"/>
      <c r="E7" s="113"/>
      <c r="F7" s="113"/>
      <c r="G7" s="113" t="s">
        <v>32</v>
      </c>
      <c r="H7" s="113" t="s">
        <v>32</v>
      </c>
      <c r="I7" s="113"/>
      <c r="J7" s="113"/>
    </row>
    <row r="8" spans="1:11">
      <c r="A8" s="113" t="s">
        <v>10</v>
      </c>
      <c r="B8" s="113" t="s">
        <v>29</v>
      </c>
      <c r="C8" s="113"/>
      <c r="D8" s="114">
        <v>42643</v>
      </c>
      <c r="E8" s="113"/>
      <c r="F8" s="113" t="s">
        <v>25</v>
      </c>
      <c r="G8" s="113" t="s">
        <v>147</v>
      </c>
      <c r="H8" s="113" t="s">
        <v>33</v>
      </c>
      <c r="I8" s="113" t="s">
        <v>35</v>
      </c>
      <c r="J8" s="113" t="s">
        <v>27</v>
      </c>
    </row>
    <row r="9" spans="1:11">
      <c r="A9" s="115" t="s">
        <v>11</v>
      </c>
      <c r="B9" s="115" t="s">
        <v>30</v>
      </c>
      <c r="C9" s="115" t="s">
        <v>15</v>
      </c>
      <c r="D9" s="115" t="s">
        <v>31</v>
      </c>
      <c r="E9" s="115" t="s">
        <v>28</v>
      </c>
      <c r="F9" s="115" t="s">
        <v>41</v>
      </c>
      <c r="G9" s="115" t="s">
        <v>34</v>
      </c>
      <c r="H9" s="115" t="s">
        <v>34</v>
      </c>
      <c r="I9" s="115" t="s">
        <v>41</v>
      </c>
      <c r="J9" s="115" t="s">
        <v>28</v>
      </c>
    </row>
    <row r="10" spans="1:11">
      <c r="A10" s="116"/>
      <c r="B10" s="117" t="s">
        <v>18</v>
      </c>
      <c r="C10" s="117" t="s">
        <v>19</v>
      </c>
      <c r="D10" s="117" t="s">
        <v>20</v>
      </c>
      <c r="E10" s="117" t="s">
        <v>36</v>
      </c>
      <c r="F10" s="117" t="s">
        <v>37</v>
      </c>
      <c r="G10" s="117" t="s">
        <v>38</v>
      </c>
      <c r="H10" s="117" t="s">
        <v>39</v>
      </c>
      <c r="I10" s="117" t="s">
        <v>40</v>
      </c>
      <c r="J10" s="117" t="s">
        <v>96</v>
      </c>
    </row>
    <row r="11" spans="1:11" ht="14.25">
      <c r="B11" s="118"/>
      <c r="C11" s="119"/>
      <c r="D11" s="120"/>
      <c r="E11" s="121"/>
      <c r="F11" s="122"/>
      <c r="G11" s="123"/>
      <c r="H11" s="123"/>
      <c r="I11" s="122"/>
      <c r="K11" s="70"/>
    </row>
    <row r="12" spans="1:11">
      <c r="A12" s="48">
        <v>1</v>
      </c>
      <c r="B12" s="159">
        <v>33329</v>
      </c>
      <c r="C12" s="119" t="s">
        <v>169</v>
      </c>
      <c r="D12" s="124">
        <v>0</v>
      </c>
      <c r="E12" s="162">
        <v>9.4E-2</v>
      </c>
      <c r="F12" s="122">
        <v>0</v>
      </c>
      <c r="G12" s="123">
        <v>0</v>
      </c>
      <c r="H12" s="123">
        <v>560397.48</v>
      </c>
      <c r="I12" s="122">
        <f>SUM(F12:H12)</f>
        <v>560397.48</v>
      </c>
      <c r="K12" s="70"/>
    </row>
    <row r="13" spans="1:11">
      <c r="A13" s="48">
        <v>2</v>
      </c>
      <c r="B13" s="159">
        <v>36003</v>
      </c>
      <c r="C13" s="119" t="s">
        <v>170</v>
      </c>
      <c r="D13" s="124">
        <v>150000000</v>
      </c>
      <c r="E13" s="162">
        <v>6.7500000000000004E-2</v>
      </c>
      <c r="F13" s="122">
        <v>10125000</v>
      </c>
      <c r="G13" s="123">
        <v>0</v>
      </c>
      <c r="H13" s="123">
        <v>99938.160000000615</v>
      </c>
      <c r="I13" s="122">
        <f>SUM(F13:H13)</f>
        <v>10224938.16</v>
      </c>
      <c r="K13" s="70"/>
    </row>
    <row r="14" spans="1:11">
      <c r="A14" s="48">
        <v>3</v>
      </c>
      <c r="B14" s="159">
        <v>37634</v>
      </c>
      <c r="C14" s="119" t="s">
        <v>218</v>
      </c>
      <c r="D14" s="124">
        <v>0</v>
      </c>
      <c r="E14" s="162">
        <v>5.1249999999999997E-2</v>
      </c>
      <c r="F14" s="122">
        <v>0</v>
      </c>
      <c r="G14" s="123">
        <v>0</v>
      </c>
      <c r="H14" s="123">
        <v>0</v>
      </c>
      <c r="I14" s="122">
        <f t="shared" ref="I14:I25" si="0">SUM(F14:H14)</f>
        <v>0</v>
      </c>
      <c r="K14" s="70"/>
    </row>
    <row r="15" spans="1:11">
      <c r="A15" s="48">
        <v>4</v>
      </c>
      <c r="B15" s="159">
        <v>32082</v>
      </c>
      <c r="C15" s="119" t="s">
        <v>200</v>
      </c>
      <c r="D15" s="124">
        <v>0</v>
      </c>
      <c r="E15" s="162">
        <v>0.1043</v>
      </c>
      <c r="F15" s="122">
        <v>0</v>
      </c>
      <c r="G15" s="123">
        <v>0</v>
      </c>
      <c r="H15" s="123">
        <v>33836.76</v>
      </c>
      <c r="I15" s="122">
        <f t="shared" si="0"/>
        <v>33836.76</v>
      </c>
      <c r="K15" s="70"/>
    </row>
    <row r="16" spans="1:11">
      <c r="A16" s="48">
        <v>5</v>
      </c>
      <c r="B16" s="159">
        <v>32964</v>
      </c>
      <c r="C16" s="119" t="s">
        <v>171</v>
      </c>
      <c r="D16" s="124">
        <v>0</v>
      </c>
      <c r="E16" s="162">
        <v>9.7500000000000003E-2</v>
      </c>
      <c r="F16" s="122">
        <v>0</v>
      </c>
      <c r="G16" s="123">
        <v>0</v>
      </c>
      <c r="H16" s="123">
        <v>337580.76</v>
      </c>
      <c r="I16" s="122">
        <f t="shared" si="0"/>
        <v>337580.76</v>
      </c>
      <c r="K16" s="70"/>
    </row>
    <row r="17" spans="1:11">
      <c r="A17" s="48">
        <v>6</v>
      </c>
      <c r="B17" s="159">
        <v>33390</v>
      </c>
      <c r="C17" s="119" t="s">
        <v>172</v>
      </c>
      <c r="D17" s="124">
        <v>0</v>
      </c>
      <c r="E17" s="162">
        <v>9.3200000000000005E-2</v>
      </c>
      <c r="F17" s="122">
        <v>0</v>
      </c>
      <c r="G17" s="160">
        <v>0</v>
      </c>
      <c r="H17" s="160">
        <v>362746.44</v>
      </c>
      <c r="I17" s="122">
        <f t="shared" si="0"/>
        <v>362746.44</v>
      </c>
      <c r="K17" s="70"/>
    </row>
    <row r="18" spans="1:11">
      <c r="A18" s="48">
        <v>7</v>
      </c>
      <c r="B18" s="159">
        <v>33725</v>
      </c>
      <c r="C18" s="119" t="s">
        <v>173</v>
      </c>
      <c r="D18" s="124">
        <v>0</v>
      </c>
      <c r="E18" s="162">
        <v>8.77E-2</v>
      </c>
      <c r="F18" s="122">
        <v>0</v>
      </c>
      <c r="G18" s="123">
        <v>0</v>
      </c>
      <c r="H18" s="123">
        <v>368719.08</v>
      </c>
      <c r="I18" s="122">
        <f>SUM(F18:H18)</f>
        <v>368719.08</v>
      </c>
      <c r="K18" s="70"/>
    </row>
    <row r="19" spans="1:11">
      <c r="A19" s="48">
        <v>8</v>
      </c>
      <c r="B19" s="159">
        <v>35048</v>
      </c>
      <c r="C19" s="119" t="s">
        <v>174</v>
      </c>
      <c r="D19" s="124">
        <v>10000000</v>
      </c>
      <c r="E19" s="162">
        <v>6.6699999999999995E-2</v>
      </c>
      <c r="F19" s="122">
        <v>667000</v>
      </c>
      <c r="G19" s="123">
        <v>0</v>
      </c>
      <c r="H19" s="123">
        <v>7774.76</v>
      </c>
      <c r="I19" s="122">
        <f t="shared" si="0"/>
        <v>674774.76</v>
      </c>
      <c r="K19" s="70"/>
    </row>
    <row r="20" spans="1:11">
      <c r="A20" s="48">
        <v>9</v>
      </c>
      <c r="B20" s="159">
        <v>38282</v>
      </c>
      <c r="C20" s="119" t="s">
        <v>135</v>
      </c>
      <c r="D20" s="124">
        <v>0</v>
      </c>
      <c r="E20" s="162">
        <v>4.9500000000000002E-2</v>
      </c>
      <c r="F20" s="122">
        <v>0</v>
      </c>
      <c r="G20" s="123">
        <v>0</v>
      </c>
      <c r="H20" s="123">
        <v>0</v>
      </c>
      <c r="I20" s="122"/>
      <c r="K20" s="70"/>
    </row>
    <row r="21" spans="1:11">
      <c r="A21" s="48">
        <v>10</v>
      </c>
      <c r="B21" s="159">
        <v>38282</v>
      </c>
      <c r="C21" s="119" t="s">
        <v>136</v>
      </c>
      <c r="D21" s="124">
        <v>200000000</v>
      </c>
      <c r="E21" s="162">
        <v>5.9499999999999997E-2</v>
      </c>
      <c r="F21" s="122">
        <v>11900000</v>
      </c>
      <c r="G21" s="123">
        <v>-7047.0666666666657</v>
      </c>
      <c r="H21" s="123">
        <v>115723.56000000113</v>
      </c>
      <c r="I21" s="122"/>
      <c r="K21" s="70"/>
    </row>
    <row r="22" spans="1:11">
      <c r="A22" s="48">
        <v>11</v>
      </c>
      <c r="B22" s="159" t="s">
        <v>168</v>
      </c>
      <c r="C22" s="119" t="s">
        <v>175</v>
      </c>
      <c r="D22" s="124">
        <v>250000000</v>
      </c>
      <c r="E22" s="162">
        <v>6.3500000000000001E-2</v>
      </c>
      <c r="F22" s="122">
        <v>15875000</v>
      </c>
      <c r="G22" s="123">
        <v>-474980.15</v>
      </c>
      <c r="H22" s="123">
        <v>307041.71999999986</v>
      </c>
      <c r="I22" s="122">
        <f t="shared" si="0"/>
        <v>15707061.57</v>
      </c>
      <c r="K22" s="70"/>
    </row>
    <row r="23" spans="1:11">
      <c r="A23" s="48">
        <v>12</v>
      </c>
      <c r="B23" s="161" t="s">
        <v>199</v>
      </c>
      <c r="C23" s="119" t="s">
        <v>198</v>
      </c>
      <c r="D23" s="124">
        <v>400000000</v>
      </c>
      <c r="E23" s="162">
        <v>5.5E-2</v>
      </c>
      <c r="F23" s="122">
        <v>22000000</v>
      </c>
      <c r="G23" s="123">
        <v>-669301.56666666665</v>
      </c>
      <c r="H23" s="123">
        <v>186859.56000000113</v>
      </c>
      <c r="I23" s="122">
        <f t="shared" si="0"/>
        <v>21517557.993333336</v>
      </c>
      <c r="K23" s="70"/>
    </row>
    <row r="24" spans="1:11">
      <c r="A24" s="48">
        <v>13</v>
      </c>
      <c r="B24" s="161">
        <v>39895</v>
      </c>
      <c r="C24" s="119" t="s">
        <v>195</v>
      </c>
      <c r="D24" s="124">
        <v>450000000</v>
      </c>
      <c r="E24" s="162">
        <v>8.5000000000000006E-2</v>
      </c>
      <c r="F24" s="122">
        <v>38250000</v>
      </c>
      <c r="G24" s="123">
        <v>-77733.567999999999</v>
      </c>
      <c r="H24" s="123">
        <v>1161169.4399999978</v>
      </c>
      <c r="I24" s="122">
        <f t="shared" si="0"/>
        <v>39333435.871999994</v>
      </c>
      <c r="K24" s="70"/>
    </row>
    <row r="25" spans="1:11">
      <c r="A25" s="48">
        <v>14</v>
      </c>
      <c r="B25" s="159">
        <v>41289</v>
      </c>
      <c r="C25" s="119" t="s">
        <v>219</v>
      </c>
      <c r="D25" s="164">
        <v>500000000</v>
      </c>
      <c r="E25" s="162">
        <v>4.1500000000000002E-2</v>
      </c>
      <c r="F25" s="122">
        <v>20750000</v>
      </c>
      <c r="G25" s="123">
        <v>2220856.8016666668</v>
      </c>
      <c r="H25" s="123">
        <v>378080.28000000498</v>
      </c>
      <c r="I25" s="122">
        <f t="shared" si="0"/>
        <v>23348937.081666671</v>
      </c>
      <c r="K25" s="70"/>
    </row>
    <row r="26" spans="1:11">
      <c r="A26" s="48">
        <v>15</v>
      </c>
      <c r="B26" s="159" t="s">
        <v>217</v>
      </c>
      <c r="C26" s="119" t="s">
        <v>220</v>
      </c>
      <c r="D26" s="164">
        <v>500000000</v>
      </c>
      <c r="E26" s="162">
        <v>4.1250000000000002E-2</v>
      </c>
      <c r="F26" s="122">
        <v>20625000</v>
      </c>
      <c r="G26" s="123">
        <v>-445478.33333333337</v>
      </c>
      <c r="H26" s="123">
        <v>215407.43999999732</v>
      </c>
      <c r="I26" s="122">
        <f>SUM(F26:H26)</f>
        <v>20394929.106666666</v>
      </c>
      <c r="K26" s="70"/>
    </row>
    <row r="27" spans="1:11">
      <c r="A27" s="48">
        <v>15.5</v>
      </c>
      <c r="B27" s="159">
        <v>42634</v>
      </c>
      <c r="C27" s="185" t="s">
        <v>227</v>
      </c>
      <c r="D27" s="164">
        <v>0</v>
      </c>
      <c r="E27" s="162" t="s">
        <v>228</v>
      </c>
      <c r="F27" s="122"/>
      <c r="G27" s="123"/>
      <c r="H27" s="123">
        <f>2641.67+5000+250</f>
        <v>7891.67</v>
      </c>
      <c r="I27" s="122">
        <f t="shared" ref="I27" si="1">SUM(F27:H27)</f>
        <v>7891.67</v>
      </c>
      <c r="K27" s="70"/>
    </row>
    <row r="28" spans="1:11">
      <c r="A28" s="48">
        <v>16</v>
      </c>
      <c r="B28" s="163"/>
      <c r="C28" s="185" t="s">
        <v>223</v>
      </c>
      <c r="D28" s="186">
        <v>-21221364.539999999</v>
      </c>
      <c r="F28" s="122"/>
      <c r="G28" s="123"/>
      <c r="H28" s="123"/>
      <c r="I28" s="122"/>
      <c r="K28" s="70"/>
    </row>
    <row r="29" spans="1:11">
      <c r="B29" s="187" t="s">
        <v>225</v>
      </c>
      <c r="C29" s="185" t="s">
        <v>224</v>
      </c>
      <c r="D29" s="165"/>
      <c r="E29" s="162"/>
      <c r="F29" s="122"/>
      <c r="G29" s="123"/>
      <c r="H29" s="123"/>
      <c r="I29" s="122"/>
      <c r="K29" s="70"/>
    </row>
    <row r="30" spans="1:11" ht="13.5" thickBot="1">
      <c r="A30" s="48">
        <v>17</v>
      </c>
      <c r="C30" s="48" t="s">
        <v>35</v>
      </c>
      <c r="D30" s="125">
        <f>SUM(D12:D28)</f>
        <v>2438778635.46</v>
      </c>
      <c r="F30" s="125">
        <f>SUM(F12:F28)</f>
        <v>140192000</v>
      </c>
      <c r="G30" s="125">
        <f>SUM(G12:G28)</f>
        <v>546316.1170000002</v>
      </c>
      <c r="H30" s="125">
        <f>SUM(H12:H28)</f>
        <v>4143167.1100000027</v>
      </c>
      <c r="I30" s="125">
        <f>SUM(I12:I28)</f>
        <v>132872806.73366666</v>
      </c>
      <c r="J30" s="126">
        <f>+I30/D30</f>
        <v>5.4483340472844644E-2</v>
      </c>
      <c r="K30" s="70"/>
    </row>
    <row r="31" spans="1:11" ht="13.5" thickTop="1">
      <c r="G31" s="119"/>
      <c r="H31" s="119"/>
      <c r="K31" s="70"/>
    </row>
    <row r="33" spans="2:4">
      <c r="D33" s="166"/>
    </row>
    <row r="34" spans="2:4">
      <c r="B34" s="188" t="s">
        <v>225</v>
      </c>
      <c r="C34" s="189" t="s">
        <v>226</v>
      </c>
    </row>
  </sheetData>
  <phoneticPr fontId="0" type="noConversion"/>
  <printOptions horizontalCentered="1"/>
  <pageMargins left="0.75" right="0.75" top="1" bottom="1" header="0.5" footer="0.5"/>
  <pageSetup scale="77" orientation="landscape" r:id="rId1"/>
  <headerFooter alignWithMargins="0">
    <oddHeader>&amp;R&amp;9CASE NO. 2018-00281
ATTACHMENT 2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86" zoomScaleSheetLayoutView="100" workbookViewId="0"/>
  </sheetViews>
  <sheetFormatPr defaultRowHeight="15"/>
  <cols>
    <col min="1" max="1" width="5.85546875" style="1" customWidth="1"/>
    <col min="2" max="2" width="15.85546875" style="1" bestFit="1" customWidth="1"/>
    <col min="3" max="3" width="19.710937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113</v>
      </c>
      <c r="B1" s="6"/>
      <c r="C1" s="6"/>
    </row>
    <row r="2" spans="1:7" ht="15.75">
      <c r="A2" s="6" t="s">
        <v>99</v>
      </c>
      <c r="B2" s="6"/>
      <c r="C2" s="6"/>
    </row>
    <row r="3" spans="1:7" ht="15.75">
      <c r="A3" s="6" t="s">
        <v>231</v>
      </c>
      <c r="B3" s="6"/>
      <c r="C3" s="6"/>
    </row>
    <row r="4" spans="1:7" ht="15.75">
      <c r="A4" s="41" t="s">
        <v>109</v>
      </c>
      <c r="B4" s="6"/>
      <c r="C4" s="6"/>
      <c r="D4" s="50"/>
    </row>
    <row r="5" spans="1:7" ht="15.75">
      <c r="A5" s="6"/>
      <c r="B5" s="6"/>
      <c r="C5" s="6"/>
    </row>
    <row r="6" spans="1:7" ht="15.75">
      <c r="A6" s="92" t="s">
        <v>10</v>
      </c>
      <c r="B6" s="92"/>
      <c r="C6" s="92" t="s">
        <v>46</v>
      </c>
    </row>
    <row r="7" spans="1:7" ht="15.75">
      <c r="A7" s="93" t="s">
        <v>11</v>
      </c>
      <c r="B7" s="93" t="s">
        <v>30</v>
      </c>
      <c r="C7" s="93" t="s">
        <v>31</v>
      </c>
      <c r="E7" s="35"/>
    </row>
    <row r="8" spans="1:7">
      <c r="A8" s="46"/>
      <c r="B8" s="94" t="s">
        <v>18</v>
      </c>
      <c r="C8" s="94" t="s">
        <v>19</v>
      </c>
      <c r="E8" s="35"/>
    </row>
    <row r="9" spans="1:7">
      <c r="B9" s="24"/>
      <c r="C9" s="91" t="s">
        <v>146</v>
      </c>
      <c r="D9" s="46"/>
      <c r="E9" s="97"/>
      <c r="F9" s="98"/>
      <c r="G9" s="99"/>
    </row>
    <row r="10" spans="1:7">
      <c r="A10" s="13">
        <v>1</v>
      </c>
      <c r="B10" s="89">
        <v>42339</v>
      </c>
      <c r="C10" s="158">
        <v>218079534.56</v>
      </c>
      <c r="D10" s="95"/>
      <c r="E10" s="171"/>
      <c r="F10" s="101"/>
      <c r="G10" s="101"/>
    </row>
    <row r="11" spans="1:7">
      <c r="A11" s="13">
        <v>2</v>
      </c>
      <c r="B11" s="89">
        <v>42370</v>
      </c>
      <c r="C11" s="158">
        <v>235873012.21000001</v>
      </c>
      <c r="D11" s="95"/>
      <c r="E11" s="171"/>
      <c r="F11" s="101"/>
      <c r="G11" s="101"/>
    </row>
    <row r="12" spans="1:7">
      <c r="A12" s="13">
        <v>3</v>
      </c>
      <c r="B12" s="89">
        <v>42401</v>
      </c>
      <c r="C12" s="158">
        <v>265207970.11000001</v>
      </c>
      <c r="D12" s="95"/>
      <c r="E12" s="171"/>
      <c r="F12" s="101"/>
      <c r="G12" s="101"/>
    </row>
    <row r="13" spans="1:7">
      <c r="A13" s="13">
        <v>4</v>
      </c>
      <c r="B13" s="89">
        <v>42430</v>
      </c>
      <c r="C13" s="158">
        <v>280076635.00999999</v>
      </c>
      <c r="D13" s="95"/>
      <c r="E13" s="171"/>
      <c r="F13" s="101"/>
      <c r="G13" s="101"/>
    </row>
    <row r="14" spans="1:7">
      <c r="A14" s="13">
        <v>5</v>
      </c>
      <c r="B14" s="89">
        <v>42461</v>
      </c>
      <c r="C14" s="158">
        <v>299732698.17000163</v>
      </c>
      <c r="D14" s="95"/>
      <c r="E14" s="171"/>
      <c r="F14" s="101"/>
      <c r="G14" s="101"/>
    </row>
    <row r="15" spans="1:7">
      <c r="A15" s="13">
        <v>6</v>
      </c>
      <c r="B15" s="89">
        <v>42491</v>
      </c>
      <c r="C15" s="158">
        <v>295195892.30000001</v>
      </c>
      <c r="D15" s="104"/>
      <c r="E15" s="171"/>
      <c r="F15" s="101"/>
      <c r="G15" s="101"/>
    </row>
    <row r="16" spans="1:7">
      <c r="A16" s="13">
        <v>7</v>
      </c>
      <c r="B16" s="89">
        <v>42522</v>
      </c>
      <c r="C16" s="158">
        <v>309359084.80000001</v>
      </c>
      <c r="D16" s="104"/>
      <c r="E16" s="171"/>
      <c r="F16" s="101"/>
      <c r="G16" s="101"/>
    </row>
    <row r="17" spans="1:7">
      <c r="A17" s="13">
        <v>8</v>
      </c>
      <c r="B17" s="89">
        <v>42552</v>
      </c>
      <c r="C17" s="158">
        <v>311445542.74000001</v>
      </c>
      <c r="D17" s="104"/>
      <c r="E17" s="171"/>
      <c r="F17" s="101"/>
      <c r="G17" s="101"/>
    </row>
    <row r="18" spans="1:7">
      <c r="A18" s="13">
        <v>9</v>
      </c>
      <c r="B18" s="89">
        <v>42583</v>
      </c>
      <c r="C18" s="158">
        <v>314177257.22000003</v>
      </c>
      <c r="D18" s="104"/>
      <c r="E18" s="171"/>
      <c r="F18" s="101" t="s">
        <v>153</v>
      </c>
      <c r="G18" s="101"/>
    </row>
    <row r="19" spans="1:7">
      <c r="A19" s="13">
        <v>10</v>
      </c>
      <c r="B19" s="89">
        <v>42614</v>
      </c>
      <c r="C19" s="158">
        <v>182371838.19</v>
      </c>
      <c r="D19" s="104"/>
      <c r="E19" s="171"/>
      <c r="F19" s="101"/>
      <c r="G19" s="101"/>
    </row>
    <row r="20" spans="1:7">
      <c r="A20" s="13">
        <v>11</v>
      </c>
      <c r="B20" s="89">
        <v>42644</v>
      </c>
      <c r="C20" s="158">
        <v>184788811.84999999</v>
      </c>
      <c r="D20" s="104"/>
      <c r="E20" s="171"/>
      <c r="F20" s="101"/>
      <c r="G20" s="101"/>
    </row>
    <row r="21" spans="1:7">
      <c r="A21" s="13">
        <v>12</v>
      </c>
      <c r="B21" s="89">
        <v>42675</v>
      </c>
      <c r="C21" s="158">
        <v>174798634.33000126</v>
      </c>
      <c r="D21" s="104"/>
      <c r="E21" s="171"/>
      <c r="F21" s="101"/>
      <c r="G21" s="101"/>
    </row>
    <row r="22" spans="1:7">
      <c r="A22" s="13">
        <v>13</v>
      </c>
      <c r="B22" s="89">
        <v>42705</v>
      </c>
      <c r="C22" s="190">
        <v>125246514.84999999</v>
      </c>
      <c r="D22" s="40" t="s">
        <v>79</v>
      </c>
      <c r="E22" s="172"/>
      <c r="F22" s="101"/>
      <c r="G22" s="90"/>
    </row>
    <row r="23" spans="1:7">
      <c r="A23" s="13">
        <v>14</v>
      </c>
      <c r="B23" s="89"/>
      <c r="C23" s="46"/>
      <c r="E23" s="100"/>
      <c r="F23" s="102"/>
      <c r="G23" s="102"/>
    </row>
    <row r="24" spans="1:7" ht="15.75" thickBot="1">
      <c r="A24" s="13">
        <v>15</v>
      </c>
      <c r="B24" s="46" t="s">
        <v>23</v>
      </c>
      <c r="C24" s="139">
        <f>ROUND(AVERAGE(C10:C22),0)</f>
        <v>245873340</v>
      </c>
      <c r="E24" s="97"/>
      <c r="F24" s="96"/>
      <c r="G24" s="103"/>
    </row>
    <row r="25" spans="1:7" ht="15.75" thickTop="1">
      <c r="E25" s="97"/>
      <c r="F25" s="102"/>
      <c r="G25" s="102"/>
    </row>
    <row r="26" spans="1:7">
      <c r="B26" s="46" t="s">
        <v>110</v>
      </c>
      <c r="C26" s="25"/>
    </row>
    <row r="27" spans="1:7">
      <c r="B27" s="87"/>
      <c r="C27" s="88"/>
      <c r="D27" s="87"/>
      <c r="E27" s="88"/>
    </row>
  </sheetData>
  <phoneticPr fontId="0" type="noConversion"/>
  <printOptions horizontalCentered="1"/>
  <pageMargins left="0.75" right="0.5" top="1" bottom="0.5" header="0.5" footer="0.5"/>
  <pageSetup orientation="portrait" horizontalDpi="300" verticalDpi="300" r:id="rId1"/>
  <headerFooter alignWithMargins="0">
    <oddHeader>&amp;R&amp;8CASE NO. 2018-00281
ATTACHMENT 2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December 2016</vt:lpstr>
      <vt:lpstr>Wp C</vt:lpstr>
      <vt:lpstr>Wp s rate</vt:lpstr>
      <vt:lpstr>WP S</vt:lpstr>
      <vt:lpstr>Wp L - LTD</vt:lpstr>
      <vt:lpstr>Wp W - CWIP</vt:lpstr>
      <vt:lpstr>Calculation!Print_Area</vt:lpstr>
      <vt:lpstr>'December 2016'!Print_Area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2018-10-02T11:45:07Z</cp:lastPrinted>
  <dcterms:created xsi:type="dcterms:W3CDTF">2001-07-10T18:50:30Z</dcterms:created>
  <dcterms:modified xsi:type="dcterms:W3CDTF">2018-10-02T11:45:09Z</dcterms:modified>
</cp:coreProperties>
</file>