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as Supply\Kentucky\2018 KY Rate Case Filing\Storage\"/>
    </mc:Choice>
  </mc:AlternateContent>
  <bookViews>
    <workbookView xWindow="-12" yWindow="348" windowWidth="20700" windowHeight="5520"/>
  </bookViews>
  <sheets>
    <sheet name="Winter" sheetId="1" r:id="rId1"/>
    <sheet name="Texas Gas Zone 2, KY" sheetId="23" state="hidden" r:id="rId2"/>
    <sheet name="Texas Gas Zone 3 North, KY" sheetId="24" state="hidden" r:id="rId3"/>
    <sheet name="Texas Gas Zone 3 South, KY" sheetId="25" state="hidden" r:id="rId4"/>
    <sheet name="Texas Gas Zone 4, KY" sheetId="26" state="hidden" r:id="rId5"/>
    <sheet name="NNS Ratchets" sheetId="5" state="hidden" r:id="rId6"/>
    <sheet name="Co-owned storage ratchets" sheetId="6" state="hidden" r:id="rId7"/>
    <sheet name="Tx Gas Zn 2 14-15 Design Day" sheetId="12" state="hidden" r:id="rId8"/>
    <sheet name="Livermore, KY 14-15 Design Day" sheetId="16" state="hidden" r:id="rId9"/>
    <sheet name="Tx Gas Zn 3 S 14-15 Design Day " sheetId="13" state="hidden" r:id="rId10"/>
    <sheet name="Tx Gas Zn 3 N 14-15 Design Day" sheetId="14" state="hidden" r:id="rId11"/>
    <sheet name="Tx Gas Zn 4 14-15 Design Day" sheetId="15" state="hidden" r:id="rId12"/>
    <sheet name="short term forecast" sheetId="21" state="hidden" r:id="rId13"/>
    <sheet name="Sheet1" sheetId="22" state="hidden" r:id="rId14"/>
  </sheets>
  <externalReferences>
    <externalReference r:id="rId15"/>
    <externalReference r:id="rId16"/>
    <externalReference r:id="rId17"/>
  </externalReferences>
  <definedNames>
    <definedName name="_00_01">#REF!</definedName>
    <definedName name="_1_5YRFRCST">#REF!</definedName>
    <definedName name="_10PIPE_COSTS">#REF!</definedName>
    <definedName name="_11PIPE_RATES">#REF!</definedName>
    <definedName name="_12PIPE_UNITS">#REF!</definedName>
    <definedName name="_13PRICE_CALC">#REF!</definedName>
    <definedName name="_14PRINT_ALL">#REF!</definedName>
    <definedName name="_15PRINT_UPDATE">#REF!</definedName>
    <definedName name="_16PROJ_SALES_VOLS">#REF!</definedName>
    <definedName name="_17PURCH_VOLS">#REF!</definedName>
    <definedName name="_18REL_CREDITS">#REF!</definedName>
    <definedName name="_19REL_RATES">#REF!</definedName>
    <definedName name="_20REL_VOLS">#REF!</definedName>
    <definedName name="_21SUPPLY_UTIL">#REF!</definedName>
    <definedName name="_2CONTRACT_SUMM">#REF!</definedName>
    <definedName name="_3EOM_STOR_BAL">#REF!</definedName>
    <definedName name="_4FIX_OPT_SUMM">#REF!</definedName>
    <definedName name="_5FT_UTILIZATION">#REF!</definedName>
    <definedName name="_6GAS_COST">#REF!</definedName>
    <definedName name="_7GAS_PRICE">#REF!</definedName>
    <definedName name="_8MEET_PEAK">#REF!</definedName>
    <definedName name="_97_98">#REF!</definedName>
    <definedName name="_98_99">#REF!</definedName>
    <definedName name="_99_00">#REF!</definedName>
    <definedName name="_9NO_OF_CUSTOMERS">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DesDayHddMethod">#REF!</definedName>
    <definedName name="EFM_Daily_Summary_Pivot">#REF!</definedName>
    <definedName name="Forecast_Model_Used">#REF!</definedName>
    <definedName name="LoadStudyInfoLookup">'[1]Weather Station Information'!$C$3:$G$111</definedName>
    <definedName name="LoadStudyNameList">'[1]Weather Station Information'!$C$3:$C$111</definedName>
    <definedName name="metretek">#REF!</definedName>
    <definedName name="Name_Of_Load_Study">#REF!</definedName>
    <definedName name="Pipelines" localSheetId="2">'[2]Output Summary'!$AG$3:$AG$32</definedName>
    <definedName name="PRINT">#N/A</definedName>
    <definedName name="_xlnm.Print_Area" localSheetId="0">Winter!$A$1:$M$84</definedName>
    <definedName name="RFP_Pivot_Data">'[3]RFP Pivot Data'!$B$5:$I$736</definedName>
    <definedName name="Third_Party_Obligation">'[1]Weather Station Information'!$C$3:$F$111</definedName>
    <definedName name="Time_Period_Utilized">#REF!</definedName>
  </definedNames>
  <calcPr calcId="152511" iterate="1" iterateCount="9" calcOnSave="0"/>
</workbook>
</file>

<file path=xl/calcChain.xml><?xml version="1.0" encoding="utf-8"?>
<calcChain xmlns="http://schemas.openxmlformats.org/spreadsheetml/2006/main">
  <c r="C24" i="1" l="1"/>
  <c r="D129" i="1"/>
  <c r="J15" i="1"/>
  <c r="H15" i="1"/>
  <c r="F15" i="1"/>
  <c r="D15" i="1"/>
  <c r="B15" i="1"/>
  <c r="G29" i="1"/>
  <c r="G18" i="1"/>
  <c r="N49" i="26"/>
  <c r="N50" i="26" s="1"/>
  <c r="K29" i="1" s="1"/>
  <c r="M49" i="26"/>
  <c r="M50" i="26" s="1"/>
  <c r="I29" i="1" s="1"/>
  <c r="L49" i="26"/>
  <c r="L50" i="26" s="1"/>
  <c r="K49" i="26"/>
  <c r="K50" i="26" s="1"/>
  <c r="E29" i="1" s="1"/>
  <c r="J49" i="26"/>
  <c r="J50" i="26" s="1"/>
  <c r="C29" i="1" s="1"/>
  <c r="N49" i="25"/>
  <c r="N50" i="25" s="1"/>
  <c r="M49" i="25"/>
  <c r="M50" i="25" s="1"/>
  <c r="L49" i="25"/>
  <c r="L50" i="25" s="1"/>
  <c r="K49" i="25"/>
  <c r="K50" i="25" s="1"/>
  <c r="J49" i="25"/>
  <c r="O49" i="25" s="1"/>
  <c r="N49" i="24"/>
  <c r="N50" i="24" s="1"/>
  <c r="K18" i="1" s="1"/>
  <c r="M49" i="24"/>
  <c r="M50" i="24" s="1"/>
  <c r="I18" i="1" s="1"/>
  <c r="L49" i="24"/>
  <c r="L50" i="24" s="1"/>
  <c r="K49" i="24"/>
  <c r="O49" i="24" s="1"/>
  <c r="J49" i="24"/>
  <c r="J50" i="24" s="1"/>
  <c r="L50" i="23"/>
  <c r="G11" i="1" s="1"/>
  <c r="N49" i="23"/>
  <c r="N50" i="23" s="1"/>
  <c r="K11" i="1" s="1"/>
  <c r="M49" i="23"/>
  <c r="M50" i="23" s="1"/>
  <c r="I11" i="1" s="1"/>
  <c r="L49" i="23"/>
  <c r="K49" i="23"/>
  <c r="K50" i="23" s="1"/>
  <c r="E11" i="1" s="1"/>
  <c r="J49" i="23"/>
  <c r="J50" i="23" s="1"/>
  <c r="C11" i="1" s="1"/>
  <c r="J129" i="1"/>
  <c r="J122" i="1"/>
  <c r="K122" i="1" s="1"/>
  <c r="E122" i="1"/>
  <c r="D122" i="1" s="1"/>
  <c r="I108" i="1"/>
  <c r="H108" i="1" s="1"/>
  <c r="G108" i="1"/>
  <c r="F108" i="1" s="1"/>
  <c r="I101" i="1"/>
  <c r="H101" i="1" s="1"/>
  <c r="E101" i="1"/>
  <c r="D101" i="1" s="1"/>
  <c r="O119" i="1"/>
  <c r="P121" i="1"/>
  <c r="P119" i="1" s="1"/>
  <c r="M122" i="1" s="1"/>
  <c r="L122" i="1" s="1"/>
  <c r="P114" i="1"/>
  <c r="P112" i="1" s="1"/>
  <c r="M115" i="1" s="1"/>
  <c r="L115" i="1" s="1"/>
  <c r="P107" i="1"/>
  <c r="P105" i="1" s="1"/>
  <c r="M108" i="1" s="1"/>
  <c r="L108" i="1" s="1"/>
  <c r="P100" i="1"/>
  <c r="P98" i="1" s="1"/>
  <c r="P92" i="1"/>
  <c r="N121" i="1"/>
  <c r="G122" i="1" s="1"/>
  <c r="F122" i="1" s="1"/>
  <c r="N114" i="1"/>
  <c r="I115" i="1" s="1"/>
  <c r="N107" i="1"/>
  <c r="J108" i="1" s="1"/>
  <c r="K108" i="1" s="1"/>
  <c r="N100" i="1"/>
  <c r="G101" i="1" s="1"/>
  <c r="F101" i="1" s="1"/>
  <c r="N92" i="1"/>
  <c r="J24" i="1"/>
  <c r="L129" i="1" s="1"/>
  <c r="H24" i="1"/>
  <c r="I24" i="1" s="1"/>
  <c r="B137" i="1"/>
  <c r="B138" i="1" s="1"/>
  <c r="E133" i="1"/>
  <c r="B133" i="1"/>
  <c r="B132" i="1"/>
  <c r="M101" i="1" l="1"/>
  <c r="L101" i="1" s="1"/>
  <c r="J101" i="1"/>
  <c r="K101" i="1" s="1"/>
  <c r="H115" i="1"/>
  <c r="K50" i="24"/>
  <c r="E18" i="1" s="1"/>
  <c r="G115" i="1"/>
  <c r="E115" i="1"/>
  <c r="D115" i="1" s="1"/>
  <c r="J115" i="1"/>
  <c r="K115" i="1" s="1"/>
  <c r="I23" i="1" s="1"/>
  <c r="H23" i="1" s="1"/>
  <c r="I122" i="1"/>
  <c r="H122" i="1" s="1"/>
  <c r="N122" i="1" s="1"/>
  <c r="O49" i="26"/>
  <c r="K24" i="1"/>
  <c r="E108" i="1"/>
  <c r="D108" i="1" s="1"/>
  <c r="J50" i="25"/>
  <c r="C18" i="1" s="1"/>
  <c r="K23" i="1"/>
  <c r="J23" i="1" s="1"/>
  <c r="N101" i="1"/>
  <c r="P90" i="1"/>
  <c r="O112" i="1"/>
  <c r="O105" i="1"/>
  <c r="O90" i="1"/>
  <c r="O98" i="1"/>
  <c r="F24" i="1"/>
  <c r="D24" i="1"/>
  <c r="E23" i="1" l="1"/>
  <c r="D23" i="1" s="1"/>
  <c r="F115" i="1"/>
  <c r="N115" i="1" s="1"/>
  <c r="G24" i="1"/>
  <c r="H129" i="1"/>
  <c r="N108" i="1"/>
  <c r="E24" i="1"/>
  <c r="F129" i="1"/>
  <c r="N129" i="1" s="1"/>
  <c r="M93" i="1"/>
  <c r="J93" i="1"/>
  <c r="K93" i="1" s="1"/>
  <c r="I22" i="1" s="1"/>
  <c r="H22" i="1" s="1"/>
  <c r="G23" i="1"/>
  <c r="F23" i="1" s="1"/>
  <c r="C126" i="1"/>
  <c r="L93" i="1" l="1"/>
  <c r="K22" i="1"/>
  <c r="J22" i="1" s="1"/>
  <c r="C125" i="1"/>
  <c r="D126" i="1"/>
  <c r="C119" i="1"/>
  <c r="D119" i="1" s="1"/>
  <c r="C112" i="1"/>
  <c r="D112" i="1" s="1"/>
  <c r="C105" i="1"/>
  <c r="D105" i="1" s="1"/>
  <c r="C90" i="1"/>
  <c r="C98" i="1"/>
  <c r="D98" i="1" s="1"/>
  <c r="J18" i="1"/>
  <c r="H18" i="1"/>
  <c r="F18" i="1"/>
  <c r="D18" i="1"/>
  <c r="H11" i="1"/>
  <c r="F11" i="1"/>
  <c r="D11" i="1"/>
  <c r="F98" i="1" l="1"/>
  <c r="D97" i="1"/>
  <c r="D125" i="1"/>
  <c r="F126" i="1"/>
  <c r="F119" i="1"/>
  <c r="D118" i="1"/>
  <c r="D104" i="1"/>
  <c r="F105" i="1"/>
  <c r="D111" i="1"/>
  <c r="F112" i="1"/>
  <c r="C111" i="1"/>
  <c r="C97" i="1"/>
  <c r="C104" i="1"/>
  <c r="B29" i="1"/>
  <c r="B18" i="1"/>
  <c r="B11" i="1"/>
  <c r="B35" i="1" s="1"/>
  <c r="C118" i="1"/>
  <c r="F35" i="21"/>
  <c r="E35" i="21"/>
  <c r="D35" i="21"/>
  <c r="C35" i="21"/>
  <c r="G35" i="21" s="1"/>
  <c r="D34" i="21"/>
  <c r="E34" i="21"/>
  <c r="F34" i="21"/>
  <c r="C34" i="21"/>
  <c r="G34" i="21" s="1"/>
  <c r="C88" i="1"/>
  <c r="B5" i="21"/>
  <c r="B6" i="21" s="1"/>
  <c r="B7" i="21" s="1"/>
  <c r="B8" i="21" s="1"/>
  <c r="B9" i="21" s="1"/>
  <c r="B10" i="21" s="1"/>
  <c r="B11" i="21" s="1"/>
  <c r="B12" i="21" s="1"/>
  <c r="B13" i="21" s="1"/>
  <c r="B14" i="21" s="1"/>
  <c r="B15" i="21" s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A78" i="1"/>
  <c r="A79" i="1"/>
  <c r="A80" i="1"/>
  <c r="B55" i="1"/>
  <c r="B56" i="1" s="1"/>
  <c r="C10" i="6"/>
  <c r="D10" i="6"/>
  <c r="C11" i="6"/>
  <c r="D11" i="6"/>
  <c r="C12" i="6"/>
  <c r="D12" i="6"/>
  <c r="C13" i="6"/>
  <c r="D13" i="6"/>
  <c r="C14" i="6"/>
  <c r="D14" i="6"/>
  <c r="C15" i="6"/>
  <c r="D15" i="6"/>
  <c r="B17" i="6"/>
  <c r="J23" i="6"/>
  <c r="B25" i="6"/>
  <c r="C25" i="6" s="1"/>
  <c r="E25" i="6"/>
  <c r="D25" i="6"/>
  <c r="F25" i="6"/>
  <c r="G25" i="6"/>
  <c r="I25" i="6"/>
  <c r="L25" i="6"/>
  <c r="M25" i="6"/>
  <c r="B26" i="6"/>
  <c r="F26" i="6"/>
  <c r="J26" i="6"/>
  <c r="B27" i="6"/>
  <c r="I27" i="6"/>
  <c r="B28" i="6"/>
  <c r="F28" i="6"/>
  <c r="B29" i="6"/>
  <c r="F29" i="6"/>
  <c r="J29" i="6"/>
  <c r="B30" i="6"/>
  <c r="C30" i="6" s="1"/>
  <c r="C34" i="6"/>
  <c r="D34" i="6"/>
  <c r="E34" i="6"/>
  <c r="F34" i="6"/>
  <c r="G34" i="6"/>
  <c r="H34" i="6"/>
  <c r="I34" i="6"/>
  <c r="L34" i="6"/>
  <c r="L40" i="6" s="1"/>
  <c r="M34" i="6"/>
  <c r="M40" i="6" s="1"/>
  <c r="M42" i="6" s="1"/>
  <c r="M20" i="6" s="1"/>
  <c r="B35" i="6"/>
  <c r="C35" i="6"/>
  <c r="D35" i="6"/>
  <c r="E35" i="6"/>
  <c r="E42" i="6" s="1"/>
  <c r="F35" i="6"/>
  <c r="G35" i="6"/>
  <c r="G42" i="6" s="1"/>
  <c r="H35" i="6"/>
  <c r="I35" i="6"/>
  <c r="J35" i="6"/>
  <c r="K35" i="6"/>
  <c r="L35" i="6"/>
  <c r="M35" i="6"/>
  <c r="B36" i="6"/>
  <c r="C36" i="6"/>
  <c r="D36" i="6"/>
  <c r="E36" i="6"/>
  <c r="B37" i="6"/>
  <c r="B38" i="6"/>
  <c r="B39" i="6"/>
  <c r="B40" i="6"/>
  <c r="C40" i="6"/>
  <c r="D40" i="6"/>
  <c r="E40" i="6"/>
  <c r="F40" i="6"/>
  <c r="F42" i="6" s="1"/>
  <c r="G40" i="6"/>
  <c r="H40" i="6"/>
  <c r="I40" i="6"/>
  <c r="I42" i="6" s="1"/>
  <c r="G20" i="6" s="1"/>
  <c r="I19" i="6" s="1"/>
  <c r="C42" i="6"/>
  <c r="E19" i="6"/>
  <c r="E20" i="6"/>
  <c r="G19" i="6" s="1"/>
  <c r="C10" i="5"/>
  <c r="D10" i="5"/>
  <c r="D15" i="5" s="1"/>
  <c r="E10" i="5"/>
  <c r="E15" i="5" s="1"/>
  <c r="F10" i="5"/>
  <c r="F15" i="5" s="1"/>
  <c r="G10" i="5"/>
  <c r="G15" i="5"/>
  <c r="C11" i="5"/>
  <c r="D11" i="5"/>
  <c r="D16" i="5" s="1"/>
  <c r="E11" i="5"/>
  <c r="E16" i="5" s="1"/>
  <c r="F11" i="5"/>
  <c r="F16" i="5" s="1"/>
  <c r="G11" i="5"/>
  <c r="G16" i="5" s="1"/>
  <c r="C12" i="5"/>
  <c r="D12" i="5"/>
  <c r="D17" i="5" s="1"/>
  <c r="E12" i="5"/>
  <c r="E17" i="5" s="1"/>
  <c r="F12" i="5"/>
  <c r="F17" i="5" s="1"/>
  <c r="G12" i="5"/>
  <c r="G17" i="5" s="1"/>
  <c r="D24" i="5"/>
  <c r="E24" i="5"/>
  <c r="F24" i="5"/>
  <c r="G24" i="5"/>
  <c r="D25" i="5"/>
  <c r="E25" i="5"/>
  <c r="F25" i="5"/>
  <c r="G25" i="5"/>
  <c r="D26" i="5"/>
  <c r="E26" i="5"/>
  <c r="F26" i="5"/>
  <c r="G26" i="5"/>
  <c r="D30" i="5"/>
  <c r="E30" i="5" s="1"/>
  <c r="F30" i="5" s="1"/>
  <c r="G30" i="5" s="1"/>
  <c r="H30" i="5" s="1"/>
  <c r="L8" i="1"/>
  <c r="E39" i="1"/>
  <c r="G39" i="1"/>
  <c r="I39" i="1"/>
  <c r="K39" i="1"/>
  <c r="N24" i="1"/>
  <c r="C25" i="1"/>
  <c r="C40" i="1" s="1"/>
  <c r="E25" i="1"/>
  <c r="E40" i="1"/>
  <c r="G25" i="1"/>
  <c r="G40" i="1" s="1"/>
  <c r="I25" i="1"/>
  <c r="I40" i="1"/>
  <c r="K25" i="1"/>
  <c r="K40" i="1" s="1"/>
  <c r="L25" i="1"/>
  <c r="C26" i="1"/>
  <c r="C41" i="1" s="1"/>
  <c r="E26" i="1"/>
  <c r="E41" i="1" s="1"/>
  <c r="G26" i="1"/>
  <c r="G41" i="1" s="1"/>
  <c r="I26" i="1"/>
  <c r="I41" i="1" s="1"/>
  <c r="K26" i="1"/>
  <c r="K41" i="1" s="1"/>
  <c r="L26" i="1"/>
  <c r="D39" i="1"/>
  <c r="F39" i="1"/>
  <c r="H39" i="1"/>
  <c r="J39" i="1"/>
  <c r="B40" i="1"/>
  <c r="D40" i="1"/>
  <c r="F40" i="1"/>
  <c r="H40" i="1"/>
  <c r="J40" i="1"/>
  <c r="B41" i="1"/>
  <c r="D41" i="1"/>
  <c r="F41" i="1"/>
  <c r="L41" i="1" s="1"/>
  <c r="H41" i="1"/>
  <c r="J41" i="1"/>
  <c r="A59" i="1"/>
  <c r="A61" i="1"/>
  <c r="A62" i="1"/>
  <c r="A64" i="1"/>
  <c r="N23" i="1"/>
  <c r="A66" i="1"/>
  <c r="C66" i="1" s="1"/>
  <c r="A67" i="1"/>
  <c r="B72" i="1"/>
  <c r="D72" i="1"/>
  <c r="F72" i="1"/>
  <c r="H72" i="1"/>
  <c r="J72" i="1"/>
  <c r="B73" i="1"/>
  <c r="D73" i="1"/>
  <c r="F73" i="1"/>
  <c r="H73" i="1"/>
  <c r="J73" i="1"/>
  <c r="J79" i="1" s="1"/>
  <c r="K79" i="1" s="1"/>
  <c r="K21" i="1" s="1"/>
  <c r="B74" i="1"/>
  <c r="B80" i="1" s="1"/>
  <c r="C80" i="1" s="1"/>
  <c r="C32" i="1" s="1"/>
  <c r="B32" i="1" s="1"/>
  <c r="D74" i="1"/>
  <c r="F74" i="1"/>
  <c r="H80" i="1" s="1"/>
  <c r="I80" i="1" s="1"/>
  <c r="I32" i="1" s="1"/>
  <c r="F80" i="1"/>
  <c r="H74" i="1"/>
  <c r="J74" i="1"/>
  <c r="J80" i="1" s="1"/>
  <c r="K80" i="1"/>
  <c r="K32" i="1" s="1"/>
  <c r="A60" i="1"/>
  <c r="N22" i="1"/>
  <c r="B57" i="6"/>
  <c r="B70" i="6"/>
  <c r="B75" i="6"/>
  <c r="B67" i="6"/>
  <c r="B64" i="6"/>
  <c r="B56" i="6"/>
  <c r="B72" i="6"/>
  <c r="B74" i="6"/>
  <c r="B51" i="6"/>
  <c r="B59" i="6"/>
  <c r="B53" i="6"/>
  <c r="B49" i="6"/>
  <c r="B50" i="6"/>
  <c r="B60" i="6"/>
  <c r="B63" i="6"/>
  <c r="B55" i="6"/>
  <c r="B48" i="6"/>
  <c r="B66" i="6"/>
  <c r="B73" i="6"/>
  <c r="B68" i="6"/>
  <c r="B58" i="6"/>
  <c r="B69" i="6"/>
  <c r="B52" i="6"/>
  <c r="B54" i="6"/>
  <c r="B71" i="6"/>
  <c r="B62" i="6"/>
  <c r="B61" i="6"/>
  <c r="B65" i="6"/>
  <c r="C28" i="6"/>
  <c r="G28" i="6"/>
  <c r="L28" i="6"/>
  <c r="D28" i="6"/>
  <c r="H28" i="6"/>
  <c r="M28" i="6"/>
  <c r="E28" i="6"/>
  <c r="I28" i="6"/>
  <c r="H27" i="6"/>
  <c r="A63" i="1"/>
  <c r="F27" i="6"/>
  <c r="G27" i="6"/>
  <c r="C27" i="6"/>
  <c r="J27" i="6"/>
  <c r="E27" i="6"/>
  <c r="M27" i="6"/>
  <c r="D27" i="6"/>
  <c r="L27" i="6"/>
  <c r="L24" i="1"/>
  <c r="M24" i="1" s="1"/>
  <c r="D17" i="6"/>
  <c r="L18" i="1"/>
  <c r="H32" i="1" l="1"/>
  <c r="I31" i="1"/>
  <c r="H31" i="1" s="1"/>
  <c r="F125" i="1"/>
  <c r="H126" i="1"/>
  <c r="J32" i="1"/>
  <c r="K31" i="1"/>
  <c r="J31" i="1" s="1"/>
  <c r="J21" i="1"/>
  <c r="J27" i="1" s="1"/>
  <c r="K20" i="1"/>
  <c r="J20" i="1" s="1"/>
  <c r="H42" i="6"/>
  <c r="D42" i="6"/>
  <c r="M30" i="6"/>
  <c r="F30" i="6"/>
  <c r="F32" i="6" s="1"/>
  <c r="C17" i="6"/>
  <c r="F17" i="6" s="1"/>
  <c r="G30" i="6"/>
  <c r="J75" i="1"/>
  <c r="K75" i="1" s="1"/>
  <c r="D78" i="1"/>
  <c r="L40" i="1"/>
  <c r="L30" i="6"/>
  <c r="D30" i="6"/>
  <c r="B57" i="1"/>
  <c r="B79" i="1"/>
  <c r="C79" i="1" s="1"/>
  <c r="C21" i="1" s="1"/>
  <c r="F111" i="1"/>
  <c r="H112" i="1"/>
  <c r="H105" i="1"/>
  <c r="F104" i="1"/>
  <c r="D80" i="1"/>
  <c r="E80" i="1" s="1"/>
  <c r="E32" i="1" s="1"/>
  <c r="H79" i="1"/>
  <c r="J78" i="1"/>
  <c r="I30" i="6"/>
  <c r="E30" i="6"/>
  <c r="B78" i="1"/>
  <c r="C78" i="1" s="1"/>
  <c r="C14" i="1" s="1"/>
  <c r="B14" i="1" s="1"/>
  <c r="F118" i="1"/>
  <c r="H119" i="1"/>
  <c r="F97" i="1"/>
  <c r="H98" i="1"/>
  <c r="C31" i="1"/>
  <c r="B31" i="1" s="1"/>
  <c r="B33" i="1" s="1"/>
  <c r="L80" i="1"/>
  <c r="E78" i="1"/>
  <c r="E14" i="1" s="1"/>
  <c r="F79" i="1"/>
  <c r="D79" i="1"/>
  <c r="K78" i="1"/>
  <c r="K14" i="1" s="1"/>
  <c r="H17" i="6"/>
  <c r="F18" i="6"/>
  <c r="B76" i="6"/>
  <c r="H78" i="1"/>
  <c r="C23" i="1"/>
  <c r="B23" i="1" s="1"/>
  <c r="G80" i="1"/>
  <c r="G32" i="1" s="1"/>
  <c r="B42" i="6"/>
  <c r="C26" i="6"/>
  <c r="G26" i="6"/>
  <c r="G32" i="6" s="1"/>
  <c r="L26" i="6"/>
  <c r="B32" i="6"/>
  <c r="D26" i="6"/>
  <c r="H26" i="6"/>
  <c r="M26" i="6"/>
  <c r="E26" i="6"/>
  <c r="I26" i="6"/>
  <c r="F78" i="1"/>
  <c r="I79" i="1"/>
  <c r="I21" i="1" s="1"/>
  <c r="C65" i="1"/>
  <c r="E66" i="1"/>
  <c r="L42" i="6"/>
  <c r="K20" i="6" s="1"/>
  <c r="M19" i="6" s="1"/>
  <c r="C29" i="6"/>
  <c r="C32" i="6" s="1"/>
  <c r="G29" i="6"/>
  <c r="L29" i="6"/>
  <c r="E29" i="6"/>
  <c r="H29" i="6"/>
  <c r="M29" i="6"/>
  <c r="D29" i="6"/>
  <c r="I29" i="6"/>
  <c r="I32" i="6" s="1"/>
  <c r="J25" i="6"/>
  <c r="J34" i="6"/>
  <c r="J40" i="6" s="1"/>
  <c r="J42" i="6" s="1"/>
  <c r="J28" i="6"/>
  <c r="J30" i="6"/>
  <c r="H25" i="6"/>
  <c r="H30" i="6"/>
  <c r="H21" i="1" l="1"/>
  <c r="I20" i="1"/>
  <c r="H20" i="1" s="1"/>
  <c r="K13" i="1"/>
  <c r="J13" i="1" s="1"/>
  <c r="J14" i="1"/>
  <c r="H97" i="1"/>
  <c r="J98" i="1"/>
  <c r="J112" i="1"/>
  <c r="H111" i="1"/>
  <c r="F32" i="1"/>
  <c r="G31" i="1"/>
  <c r="F31" i="1" s="1"/>
  <c r="D32" i="1"/>
  <c r="L32" i="1" s="1"/>
  <c r="M32" i="1" s="1"/>
  <c r="E31" i="1"/>
  <c r="D31" i="1" s="1"/>
  <c r="H118" i="1"/>
  <c r="J119" i="1"/>
  <c r="B21" i="1"/>
  <c r="D14" i="1"/>
  <c r="E13" i="1"/>
  <c r="D13" i="1" s="1"/>
  <c r="H104" i="1"/>
  <c r="J105" i="1"/>
  <c r="J126" i="1"/>
  <c r="H125" i="1"/>
  <c r="E79" i="1"/>
  <c r="E21" i="1" s="1"/>
  <c r="L79" i="1"/>
  <c r="H32" i="6"/>
  <c r="H18" i="6"/>
  <c r="J17" i="6"/>
  <c r="G79" i="1"/>
  <c r="G21" i="1" s="1"/>
  <c r="E65" i="1"/>
  <c r="G66" i="1"/>
  <c r="G78" i="1"/>
  <c r="G14" i="1" s="1"/>
  <c r="L78" i="1"/>
  <c r="L81" i="1" s="1"/>
  <c r="M81" i="1" s="1"/>
  <c r="J32" i="6"/>
  <c r="E32" i="6"/>
  <c r="I78" i="1"/>
  <c r="I14" i="1" s="1"/>
  <c r="D32" i="6"/>
  <c r="M32" i="6"/>
  <c r="L32" i="6"/>
  <c r="C63" i="1"/>
  <c r="J36" i="1"/>
  <c r="H14" i="1" l="1"/>
  <c r="I13" i="1"/>
  <c r="H13" i="1" s="1"/>
  <c r="D21" i="1"/>
  <c r="J111" i="1"/>
  <c r="L112" i="1"/>
  <c r="L111" i="1" s="1"/>
  <c r="J104" i="1"/>
  <c r="L105" i="1"/>
  <c r="L104" i="1" s="1"/>
  <c r="F14" i="1"/>
  <c r="G13" i="1"/>
  <c r="F13" i="1" s="1"/>
  <c r="J97" i="1"/>
  <c r="L98" i="1"/>
  <c r="L97" i="1" s="1"/>
  <c r="F21" i="1"/>
  <c r="L119" i="1"/>
  <c r="L118" i="1" s="1"/>
  <c r="J118" i="1"/>
  <c r="L126" i="1"/>
  <c r="L125" i="1" s="1"/>
  <c r="J125" i="1"/>
  <c r="L23" i="1"/>
  <c r="M23" i="1" s="1"/>
  <c r="C62" i="1"/>
  <c r="E63" i="1"/>
  <c r="L21" i="1"/>
  <c r="M21" i="1" s="1"/>
  <c r="I66" i="1"/>
  <c r="G65" i="1"/>
  <c r="C47" i="6"/>
  <c r="C48" i="6" s="1"/>
  <c r="L17" i="6"/>
  <c r="F47" i="6"/>
  <c r="J18" i="6"/>
  <c r="D16" i="1"/>
  <c r="H16" i="1" l="1"/>
  <c r="F16" i="1"/>
  <c r="G47" i="6"/>
  <c r="K66" i="1"/>
  <c r="K65" i="1" s="1"/>
  <c r="I65" i="1"/>
  <c r="D47" i="6"/>
  <c r="J47" i="6" s="1"/>
  <c r="K23" i="6"/>
  <c r="K47" i="6"/>
  <c r="N17" i="6"/>
  <c r="N18" i="6" s="1"/>
  <c r="L18" i="6"/>
  <c r="G63" i="1"/>
  <c r="E62" i="1"/>
  <c r="C49" i="6"/>
  <c r="D48" i="6"/>
  <c r="D49" i="6" l="1"/>
  <c r="C50" i="6"/>
  <c r="K28" i="6"/>
  <c r="K25" i="6"/>
  <c r="K32" i="6" s="1"/>
  <c r="K34" i="6"/>
  <c r="K40" i="6" s="1"/>
  <c r="K42" i="6" s="1"/>
  <c r="I20" i="6" s="1"/>
  <c r="K19" i="6" s="1"/>
  <c r="K26" i="6"/>
  <c r="K30" i="6"/>
  <c r="K27" i="6"/>
  <c r="K29" i="6"/>
  <c r="I48" i="6"/>
  <c r="J48" i="6" s="1"/>
  <c r="I63" i="1"/>
  <c r="G62" i="1"/>
  <c r="K48" i="6" l="1"/>
  <c r="I49" i="6"/>
  <c r="E49" i="6" s="1"/>
  <c r="J49" i="6"/>
  <c r="D50" i="6"/>
  <c r="C51" i="6"/>
  <c r="E48" i="6"/>
  <c r="I62" i="1"/>
  <c r="K63" i="1"/>
  <c r="K62" i="1" s="1"/>
  <c r="D51" i="6" l="1"/>
  <c r="C52" i="6"/>
  <c r="F48" i="6"/>
  <c r="K49" i="6"/>
  <c r="I50" i="6"/>
  <c r="E50" i="6" s="1"/>
  <c r="F49" i="6" l="1"/>
  <c r="G48" i="6"/>
  <c r="J50" i="6"/>
  <c r="C53" i="6"/>
  <c r="D52" i="6"/>
  <c r="I51" i="6" l="1"/>
  <c r="J51" i="6"/>
  <c r="K50" i="6"/>
  <c r="G49" i="6"/>
  <c r="F50" i="6"/>
  <c r="C54" i="6"/>
  <c r="D53" i="6"/>
  <c r="C55" i="6" l="1"/>
  <c r="D54" i="6"/>
  <c r="I52" i="6"/>
  <c r="E52" i="6" s="1"/>
  <c r="J52" i="6"/>
  <c r="K51" i="6"/>
  <c r="G50" i="6"/>
  <c r="E51" i="6"/>
  <c r="I53" i="6" l="1"/>
  <c r="E53" i="6" s="1"/>
  <c r="K52" i="6"/>
  <c r="F51" i="6"/>
  <c r="D55" i="6"/>
  <c r="C56" i="6"/>
  <c r="D56" i="6" l="1"/>
  <c r="C57" i="6"/>
  <c r="G51" i="6"/>
  <c r="F52" i="6"/>
  <c r="J53" i="6"/>
  <c r="G52" i="6" l="1"/>
  <c r="F53" i="6"/>
  <c r="D57" i="6"/>
  <c r="C58" i="6"/>
  <c r="K53" i="6"/>
  <c r="I54" i="6"/>
  <c r="J54" i="6"/>
  <c r="D58" i="6" l="1"/>
  <c r="C59" i="6"/>
  <c r="K54" i="6"/>
  <c r="J55" i="6"/>
  <c r="I55" i="6"/>
  <c r="E55" i="6" s="1"/>
  <c r="E54" i="6"/>
  <c r="F54" i="6" s="1"/>
  <c r="G53" i="6"/>
  <c r="G54" i="6" l="1"/>
  <c r="F55" i="6"/>
  <c r="I56" i="6"/>
  <c r="E56" i="6" s="1"/>
  <c r="J56" i="6"/>
  <c r="K55" i="6"/>
  <c r="C60" i="6"/>
  <c r="D59" i="6"/>
  <c r="K56" i="6" l="1"/>
  <c r="I57" i="6"/>
  <c r="E57" i="6" s="1"/>
  <c r="J57" i="6"/>
  <c r="C61" i="6"/>
  <c r="D60" i="6"/>
  <c r="F56" i="6"/>
  <c r="G55" i="6"/>
  <c r="C62" i="6" l="1"/>
  <c r="D61" i="6"/>
  <c r="K57" i="6"/>
  <c r="I58" i="6"/>
  <c r="E58" i="6" s="1"/>
  <c r="G56" i="6"/>
  <c r="F57" i="6"/>
  <c r="G57" i="6" l="1"/>
  <c r="F58" i="6"/>
  <c r="J58" i="6"/>
  <c r="C63" i="6"/>
  <c r="D62" i="6"/>
  <c r="D63" i="6" l="1"/>
  <c r="C64" i="6"/>
  <c r="K58" i="6"/>
  <c r="I59" i="6"/>
  <c r="E59" i="6" s="1"/>
  <c r="F59" i="6" s="1"/>
  <c r="G58" i="6"/>
  <c r="G59" i="6" l="1"/>
  <c r="D64" i="6"/>
  <c r="C65" i="6"/>
  <c r="J59" i="6"/>
  <c r="D65" i="6" l="1"/>
  <c r="C66" i="6"/>
  <c r="K59" i="6"/>
  <c r="J60" i="6"/>
  <c r="I60" i="6"/>
  <c r="E60" i="6" s="1"/>
  <c r="F60" i="6" s="1"/>
  <c r="K60" i="6" l="1"/>
  <c r="I61" i="6"/>
  <c r="E61" i="6" s="1"/>
  <c r="J61" i="6"/>
  <c r="C67" i="6"/>
  <c r="D66" i="6"/>
  <c r="G60" i="6"/>
  <c r="F61" i="6"/>
  <c r="C68" i="6" l="1"/>
  <c r="D67" i="6"/>
  <c r="G61" i="6"/>
  <c r="F62" i="6"/>
  <c r="K61" i="6"/>
  <c r="I62" i="6"/>
  <c r="E62" i="6" s="1"/>
  <c r="G62" i="6" l="1"/>
  <c r="J62" i="6"/>
  <c r="C69" i="6"/>
  <c r="D68" i="6"/>
  <c r="C70" i="6" l="1"/>
  <c r="D69" i="6"/>
  <c r="K62" i="6"/>
  <c r="J63" i="6"/>
  <c r="I63" i="6"/>
  <c r="E63" i="6" s="1"/>
  <c r="F63" i="6" s="1"/>
  <c r="K63" i="6" l="1"/>
  <c r="I64" i="6"/>
  <c r="E64" i="6" s="1"/>
  <c r="F64" i="6"/>
  <c r="G63" i="6"/>
  <c r="D70" i="6"/>
  <c r="C71" i="6"/>
  <c r="G64" i="6" l="1"/>
  <c r="D71" i="6"/>
  <c r="C72" i="6"/>
  <c r="J64" i="6"/>
  <c r="D72" i="6" l="1"/>
  <c r="C73" i="6"/>
  <c r="I65" i="6"/>
  <c r="E65" i="6" s="1"/>
  <c r="F65" i="6" s="1"/>
  <c r="K64" i="6"/>
  <c r="G65" i="6" l="1"/>
  <c r="J65" i="6"/>
  <c r="D73" i="6"/>
  <c r="C74" i="6"/>
  <c r="K65" i="6" l="1"/>
  <c r="I66" i="6"/>
  <c r="E66" i="6" s="1"/>
  <c r="F66" i="6" s="1"/>
  <c r="C75" i="6"/>
  <c r="D75" i="6" s="1"/>
  <c r="D74" i="6"/>
  <c r="G66" i="6" l="1"/>
  <c r="J66" i="6"/>
  <c r="K66" i="6" l="1"/>
  <c r="I67" i="6"/>
  <c r="E67" i="6" s="1"/>
  <c r="F67" i="6" s="1"/>
  <c r="G67" i="6" l="1"/>
  <c r="J67" i="6"/>
  <c r="K67" i="6" l="1"/>
  <c r="I68" i="6"/>
  <c r="E68" i="6" s="1"/>
  <c r="F68" i="6" s="1"/>
  <c r="G68" i="6" l="1"/>
  <c r="J68" i="6"/>
  <c r="K68" i="6" l="1"/>
  <c r="I69" i="6"/>
  <c r="E69" i="6" s="1"/>
  <c r="F69" i="6" s="1"/>
  <c r="J69" i="6"/>
  <c r="I70" i="6" l="1"/>
  <c r="E70" i="6" s="1"/>
  <c r="K69" i="6"/>
  <c r="J70" i="6"/>
  <c r="G69" i="6"/>
  <c r="F70" i="6"/>
  <c r="K70" i="6" l="1"/>
  <c r="I71" i="6"/>
  <c r="E71" i="6" s="1"/>
  <c r="F71" i="6" s="1"/>
  <c r="J71" i="6"/>
  <c r="G70" i="6"/>
  <c r="G71" i="6" l="1"/>
  <c r="K71" i="6"/>
  <c r="I72" i="6"/>
  <c r="E72" i="6" s="1"/>
  <c r="F72" i="6" s="1"/>
  <c r="G72" i="6" l="1"/>
  <c r="J72" i="6"/>
  <c r="K72" i="6" l="1"/>
  <c r="I73" i="6"/>
  <c r="E73" i="6" s="1"/>
  <c r="F73" i="6" s="1"/>
  <c r="J73" i="6"/>
  <c r="I74" i="6" l="1"/>
  <c r="E74" i="6" s="1"/>
  <c r="J74" i="6"/>
  <c r="K73" i="6"/>
  <c r="G73" i="6"/>
  <c r="F74" i="6"/>
  <c r="I75" i="6" l="1"/>
  <c r="K74" i="6"/>
  <c r="J75" i="6"/>
  <c r="K75" i="6" s="1"/>
  <c r="G74" i="6"/>
  <c r="E75" i="6" l="1"/>
  <c r="I76" i="6"/>
  <c r="E76" i="6" l="1"/>
  <c r="K16" i="6" s="1"/>
  <c r="L16" i="6" s="1"/>
  <c r="F75" i="6"/>
  <c r="G75" i="6" s="1"/>
  <c r="M16" i="6" l="1"/>
  <c r="N16" i="6"/>
  <c r="J11" i="1"/>
  <c r="J16" i="1" l="1"/>
  <c r="L11" i="1"/>
  <c r="D29" i="1"/>
  <c r="D35" i="1" s="1"/>
  <c r="F29" i="1" l="1"/>
  <c r="F35" i="1" s="1"/>
  <c r="D33" i="1" l="1"/>
  <c r="F33" i="1"/>
  <c r="H29" i="1"/>
  <c r="H35" i="1" l="1"/>
  <c r="H33" i="1"/>
  <c r="J29" i="1" l="1"/>
  <c r="J35" i="1" l="1"/>
  <c r="L35" i="1" s="1"/>
  <c r="J33" i="1"/>
  <c r="L33" i="1" s="1"/>
  <c r="K38" i="1"/>
  <c r="K42" i="1" s="1"/>
  <c r="L31" i="1"/>
  <c r="J38" i="1"/>
  <c r="L29" i="1"/>
  <c r="M35" i="1" s="1"/>
  <c r="J42" i="1" l="1"/>
  <c r="E93" i="1"/>
  <c r="D93" i="1" s="1"/>
  <c r="G93" i="1"/>
  <c r="E22" i="1" s="1"/>
  <c r="I93" i="1"/>
  <c r="D22" i="1" l="1"/>
  <c r="E20" i="1"/>
  <c r="D20" i="1" s="1"/>
  <c r="F93" i="1"/>
  <c r="N93" i="1" s="1"/>
  <c r="H93" i="1"/>
  <c r="G22" i="1"/>
  <c r="D90" i="1"/>
  <c r="D89" i="1" s="1"/>
  <c r="F90" i="1"/>
  <c r="F22" i="1" l="1"/>
  <c r="G20" i="1"/>
  <c r="F20" i="1" s="1"/>
  <c r="F89" i="1"/>
  <c r="H90" i="1"/>
  <c r="J90" i="1" s="1"/>
  <c r="L90" i="1" s="1"/>
  <c r="C22" i="1"/>
  <c r="B22" i="1" l="1"/>
  <c r="C20" i="1"/>
  <c r="B20" i="1" s="1"/>
  <c r="C60" i="1"/>
  <c r="L22" i="1"/>
  <c r="M22" i="1" s="1"/>
  <c r="H36" i="1"/>
  <c r="F36" i="1"/>
  <c r="D36" i="1"/>
  <c r="H27" i="1" l="1"/>
  <c r="H38" i="1"/>
  <c r="F27" i="1"/>
  <c r="F38" i="1"/>
  <c r="F42" i="1" s="1"/>
  <c r="G38" i="1"/>
  <c r="G42" i="1" s="1"/>
  <c r="E38" i="1"/>
  <c r="E42" i="1" s="1"/>
  <c r="D38" i="1"/>
  <c r="D42" i="1" s="1"/>
  <c r="D27" i="1"/>
  <c r="C58" i="1"/>
  <c r="E60" i="1"/>
  <c r="B27" i="1" l="1"/>
  <c r="L20" i="1"/>
  <c r="L27" i="1" s="1"/>
  <c r="I38" i="1"/>
  <c r="I42" i="1" s="1"/>
  <c r="H42" i="1"/>
  <c r="G60" i="1"/>
  <c r="E58" i="1"/>
  <c r="I60" i="1" l="1"/>
  <c r="G58" i="1"/>
  <c r="I58" i="1" l="1"/>
  <c r="K60" i="1"/>
  <c r="K58" i="1" s="1"/>
  <c r="H89" i="1"/>
  <c r="J89" i="1" l="1"/>
  <c r="L89" i="1"/>
  <c r="L14" i="1"/>
  <c r="C39" i="1"/>
  <c r="L15" i="1"/>
  <c r="M39" i="1" s="1"/>
  <c r="B36" i="1"/>
  <c r="L36" i="1" s="1"/>
  <c r="B39" i="1"/>
  <c r="L39" i="1" s="1"/>
  <c r="M14" i="1" l="1"/>
  <c r="M36" i="1"/>
  <c r="C13" i="1"/>
  <c r="B13" i="1" l="1"/>
  <c r="C38" i="1"/>
  <c r="C42" i="1" s="1"/>
  <c r="B16" i="1" l="1"/>
  <c r="L16" i="1" s="1"/>
  <c r="B38" i="1"/>
  <c r="L13" i="1"/>
  <c r="M38" i="1" s="1"/>
  <c r="M42" i="1" s="1"/>
  <c r="L38" i="1" l="1"/>
  <c r="B42" i="1"/>
  <c r="L42" i="1" s="1"/>
</calcChain>
</file>

<file path=xl/comments1.xml><?xml version="1.0" encoding="utf-8"?>
<comments xmlns="http://schemas.openxmlformats.org/spreadsheetml/2006/main">
  <authors>
    <author>kgriffit</author>
    <author>Buchanan, Becky M</author>
  </authors>
  <commentList>
    <comment ref="A14" authorId="0" shape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MSQ 1,365,000
</t>
        </r>
      </text>
    </comment>
    <comment ref="A21" authorId="0" shape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MSQ - 2,100,000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Bon Harbor, Hickory, Grandview
</t>
        </r>
      </text>
    </comment>
    <comment ref="A23" authorId="0" shape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St. Charles, Kirkwood</t>
        </r>
      </text>
    </comment>
    <comment ref="H24" authorId="1" shapeId="0">
      <text>
        <r>
          <rPr>
            <b/>
            <sz val="8"/>
            <color indexed="81"/>
            <rFont val="Tahoma"/>
            <family val="2"/>
          </rPr>
          <t>Buchanan, Becky M:</t>
        </r>
        <r>
          <rPr>
            <sz val="8"/>
            <color indexed="81"/>
            <rFont val="Tahoma"/>
            <family val="2"/>
          </rPr>
          <t xml:space="preserve">
sculpt w/d to follow ratchets preserving 75% inventory until Feb 15</t>
        </r>
      </text>
    </comment>
    <comment ref="A32" authorId="0" shape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MSQ - 376,150</t>
        </r>
      </text>
    </comment>
    <comment ref="A59" authorId="0" shape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MSQ Bon Harbor, Hickory, Grandview
</t>
        </r>
      </text>
    </comment>
    <comment ref="A62" authorId="0" shapeId="0">
      <text>
        <r>
          <rPr>
            <b/>
            <sz val="8"/>
            <color indexed="81"/>
            <rFont val="Tahoma"/>
            <family val="2"/>
          </rPr>
          <t>kgriffit:</t>
        </r>
        <r>
          <rPr>
            <sz val="8"/>
            <color indexed="81"/>
            <rFont val="Tahoma"/>
            <family val="2"/>
          </rPr>
          <t xml:space="preserve">
MSQ - St. Charles and Kirkwood
</t>
        </r>
      </text>
    </comment>
  </commentList>
</comments>
</file>

<file path=xl/comments2.xml><?xml version="1.0" encoding="utf-8"?>
<comments xmlns="http://schemas.openxmlformats.org/spreadsheetml/2006/main">
  <authors>
    <author>Becky Buchanan</author>
  </authors>
  <commentList>
    <comment ref="J23" authorId="0" shapeId="0">
      <text>
        <r>
          <rPr>
            <b/>
            <sz val="8"/>
            <color indexed="81"/>
            <rFont val="Tahoma"/>
            <family val="2"/>
          </rPr>
          <t>Becky Buchanan:</t>
        </r>
        <r>
          <rPr>
            <sz val="8"/>
            <color indexed="81"/>
            <rFont val="Tahoma"/>
            <family val="2"/>
          </rPr>
          <t xml:space="preserve">
East Diamond ratchet; when storg level is 750,000 or less, deliverabiiity is .0267 x storage level.</t>
        </r>
      </text>
    </comment>
  </commentList>
</comments>
</file>

<file path=xl/sharedStrings.xml><?xml version="1.0" encoding="utf-8"?>
<sst xmlns="http://schemas.openxmlformats.org/spreadsheetml/2006/main" count="1629" uniqueCount="292">
  <si>
    <t>Zone 2 - Requirements</t>
  </si>
  <si>
    <t>Zone 3 - Requirements</t>
  </si>
  <si>
    <t>Zone 4 - Requirements</t>
  </si>
  <si>
    <t>Est Oct 31 Beg Balance</t>
  </si>
  <si>
    <t>TARGET %</t>
  </si>
  <si>
    <t>NNS Storage W/D</t>
  </si>
  <si>
    <t>NNS Storage</t>
  </si>
  <si>
    <t>Unable to get Madisonville to 11% due to ratchets and restrictions stated in the TC</t>
  </si>
  <si>
    <t>All Volumes MMBTU</t>
  </si>
  <si>
    <t>Texas Gas Area</t>
  </si>
  <si>
    <t>Monthly</t>
  </si>
  <si>
    <t>Daily</t>
  </si>
  <si>
    <t>Total</t>
  </si>
  <si>
    <t>Zone 3</t>
  </si>
  <si>
    <t>Total Purchases</t>
  </si>
  <si>
    <t>Texas Gas Purchase</t>
  </si>
  <si>
    <t>Total Texas Gas Purchase</t>
  </si>
  <si>
    <t>Total Requirements</t>
  </si>
  <si>
    <t>Atmos Energy Corporation</t>
  </si>
  <si>
    <t>Trunkline Purchase</t>
  </si>
  <si>
    <t>Total Trunkline Purchase</t>
  </si>
  <si>
    <t>Total NNS and Storage</t>
  </si>
  <si>
    <t>Texas Gas - NNS Storage Withdrawals</t>
  </si>
  <si>
    <t xml:space="preserve">Kentucky Gas Supply Seasonal Plan </t>
  </si>
  <si>
    <t>NNS Storage Ratchets</t>
  </si>
  <si>
    <t>MSQ</t>
  </si>
  <si>
    <t>NNS 2</t>
  </si>
  <si>
    <t>NNS 3</t>
  </si>
  <si>
    <t>NNS 4</t>
  </si>
  <si>
    <t>Winter Inventory Level</t>
  </si>
  <si>
    <t>UDQ</t>
  </si>
  <si>
    <t>Nov</t>
  </si>
  <si>
    <t>Dec</t>
  </si>
  <si>
    <t>Jan</t>
  </si>
  <si>
    <t>Feb</t>
  </si>
  <si>
    <t>Mar</t>
  </si>
  <si>
    <t>Co-owned storage</t>
  </si>
  <si>
    <t>DTH</t>
  </si>
  <si>
    <t>November</t>
  </si>
  <si>
    <t>December</t>
  </si>
  <si>
    <t>January</t>
  </si>
  <si>
    <t>February</t>
  </si>
  <si>
    <t>March</t>
  </si>
  <si>
    <t>Co-owned</t>
  </si>
  <si>
    <t>ending bal</t>
  </si>
  <si>
    <t>Nov 1st</t>
  </si>
  <si>
    <t>Mar 31</t>
  </si>
  <si>
    <t>withdrawals</t>
  </si>
  <si>
    <t>TOTAL</t>
  </si>
  <si>
    <t>Bon Harbor</t>
  </si>
  <si>
    <t>Grandview</t>
  </si>
  <si>
    <t>Hickory</t>
  </si>
  <si>
    <t>Kirkwood</t>
  </si>
  <si>
    <t>St. Charles</t>
  </si>
  <si>
    <t>E. Diamond</t>
  </si>
  <si>
    <t>Available MDWQ high:</t>
  </si>
  <si>
    <t>Available MDWQ low:</t>
  </si>
  <si>
    <t>MDWQ</t>
  </si>
  <si>
    <t>Tot MDWQ</t>
  </si>
  <si>
    <t>Analysis of February</t>
  </si>
  <si>
    <t>EDiamond</t>
  </si>
  <si>
    <t>Plan daily W/D</t>
  </si>
  <si>
    <t>balance</t>
  </si>
  <si>
    <t>beg bal</t>
  </si>
  <si>
    <t>Coldest Day On Record &gt; 1970</t>
  </si>
  <si>
    <t>Kentucky Mid-States</t>
  </si>
  <si>
    <t>Atmos</t>
  </si>
  <si>
    <t>Business Unit</t>
  </si>
  <si>
    <t>Design Day Dth @ 95 % Confidence Level</t>
  </si>
  <si>
    <t>Time Period</t>
  </si>
  <si>
    <t>Design Day HDD</t>
  </si>
  <si>
    <t>Design Day Forecast DTH</t>
  </si>
  <si>
    <t>Load Study Name</t>
  </si>
  <si>
    <t>Tex Gas Zone 2, KY</t>
  </si>
  <si>
    <t>Regression R-squared</t>
  </si>
  <si>
    <t>Coldest Day On Record</t>
  </si>
  <si>
    <t>Atmos Winter Only Model</t>
  </si>
  <si>
    <t>Weather Station</t>
  </si>
  <si>
    <t>PAH - Paducah, KY</t>
  </si>
  <si>
    <t>Standard Error</t>
  </si>
  <si>
    <t>Day Before Coldest Day</t>
  </si>
  <si>
    <t>Design Day HDD Method</t>
  </si>
  <si>
    <t>Std Error Adj @ 95%</t>
  </si>
  <si>
    <t>Dataset Peak HDD</t>
  </si>
  <si>
    <t>Date</t>
  </si>
  <si>
    <t>Peak DTH</t>
  </si>
  <si>
    <t>Design Day Forecast Model</t>
  </si>
  <si>
    <t>Forecast DTH</t>
  </si>
  <si>
    <t>Dataset Actual Peak Day</t>
  </si>
  <si>
    <t>Firm Sales Only</t>
  </si>
  <si>
    <t>Time Period Utilized</t>
  </si>
  <si>
    <t>Stability Model</t>
  </si>
  <si>
    <t>Third Party Obligations DTH</t>
  </si>
  <si>
    <t>Dataset 3 Year Peak Day</t>
  </si>
  <si>
    <t>Normal Weather</t>
  </si>
  <si>
    <t>10% Colder Weather</t>
  </si>
  <si>
    <t>20% Colder Weather</t>
  </si>
  <si>
    <t>10% Warmer Weather</t>
  </si>
  <si>
    <t>20% Warmer Weather</t>
  </si>
  <si>
    <t>Total Forecast DTH</t>
  </si>
  <si>
    <t>Normal Volumes</t>
  </si>
  <si>
    <t>Firm Sales</t>
  </si>
  <si>
    <t>Int Sales</t>
  </si>
  <si>
    <t>Total Sales</t>
  </si>
  <si>
    <t>Month</t>
  </si>
  <si>
    <t>HDD</t>
  </si>
  <si>
    <t>Reserve Margin</t>
  </si>
  <si>
    <t>Annual Requirements DTH</t>
  </si>
  <si>
    <t>Final Delivery Capacity DTH</t>
  </si>
  <si>
    <t>Winter Requirements DTH</t>
  </si>
  <si>
    <t>Reserve Capacity DTH</t>
  </si>
  <si>
    <t>Reserve Capacity %</t>
  </si>
  <si>
    <t>April</t>
  </si>
  <si>
    <t>May</t>
  </si>
  <si>
    <t>June</t>
  </si>
  <si>
    <t>Summary of Final Delivery Capacity</t>
  </si>
  <si>
    <t>July</t>
  </si>
  <si>
    <t>Pipeline</t>
  </si>
  <si>
    <t>Contract # &amp; Description</t>
  </si>
  <si>
    <t>MDQ Dth</t>
  </si>
  <si>
    <t>Notes</t>
  </si>
  <si>
    <t>August</t>
  </si>
  <si>
    <t>Trunkline</t>
  </si>
  <si>
    <t>FT 14573</t>
  </si>
  <si>
    <t>September</t>
  </si>
  <si>
    <t>Texas Gas</t>
  </si>
  <si>
    <t>October</t>
  </si>
  <si>
    <t>Annual Firm Sales</t>
  </si>
  <si>
    <t>Winter Firm Sales</t>
  </si>
  <si>
    <t>Interruptible Sales Only</t>
  </si>
  <si>
    <t>Total Capacity</t>
  </si>
  <si>
    <t>Summary of Upstream and Storage Capacity</t>
  </si>
  <si>
    <t>Annual Int Sales</t>
  </si>
  <si>
    <t>Winter Int Sales</t>
  </si>
  <si>
    <t>Annual Total Sales</t>
  </si>
  <si>
    <t>Total Upstream and Storage Capacity</t>
  </si>
  <si>
    <t>Winter Total Sales</t>
  </si>
  <si>
    <t>EVV - Evansville, KY</t>
  </si>
  <si>
    <t>Tex Gas Zone 3 North, KY</t>
  </si>
  <si>
    <t>Atmos Company Owned Storage</t>
  </si>
  <si>
    <t>Volume for Company storage withdrawal is purely an estimate.  It will really</t>
  </si>
  <si>
    <t>depend on how the agent has gas on that day, where the levels of the fields are,</t>
  </si>
  <si>
    <t xml:space="preserve">and how hard the fields have been pulling on previous days. </t>
  </si>
  <si>
    <t>Tex Gas Zone 3 South, KY</t>
  </si>
  <si>
    <t>BWG - Bowling Green, KY</t>
  </si>
  <si>
    <t>Tex Gas Zone 4, KY</t>
  </si>
  <si>
    <t>SDF - Louisville, KY</t>
  </si>
  <si>
    <t>of MSQ</t>
  </si>
  <si>
    <t>Madisonville</t>
  </si>
  <si>
    <t>Owensboro</t>
  </si>
  <si>
    <t>Co. Owned</t>
  </si>
  <si>
    <t>95% of MSQ</t>
  </si>
  <si>
    <t>90% of MSQ</t>
  </si>
  <si>
    <t>East Diamond</t>
  </si>
  <si>
    <t/>
  </si>
  <si>
    <t>Livermore, KY</t>
  </si>
  <si>
    <t>NNS N-0210 Zone 2 #29760</t>
  </si>
  <si>
    <t>FT T-3355 (#29759) Zone 3</t>
  </si>
  <si>
    <t>Expires 10/31/15</t>
  </si>
  <si>
    <t>FT T-29761 Zone 3</t>
  </si>
  <si>
    <t>NNS N-0340 (#29762) Zone 3</t>
  </si>
  <si>
    <t>Level of NNS storage does ratchet.  Expires 10/31/15</t>
  </si>
  <si>
    <t>FT 32799 release from MS 32794)</t>
  </si>
  <si>
    <t>ANR</t>
  </si>
  <si>
    <t>TX Gas FT T-3819 (#29765) Zone 4</t>
  </si>
  <si>
    <t>TX Gas NNS N-0435 (#29763) Zone 4</t>
  </si>
  <si>
    <t>TX Gas FT 31097 Zone 4</t>
  </si>
  <si>
    <t>2014 - 2015 Design Day and RFP Plan Summary</t>
  </si>
  <si>
    <t>2014 - 2015 Normalized Sales Requirements Summary Excluding Transportation</t>
  </si>
  <si>
    <t>File Last Updated:    July 15, 2014   4:37 PM</t>
  </si>
  <si>
    <t>Atmos Winter Only Model Used.  Data Sample: 03/02/2005 04/01/2005 10/31/2005 04/01/2006 10/31/2006 04/01/2007 10/31/2007 04/01/2008 10/31/2008 04/01/2009 10/31/2009 04/01/2010 10/31/2010 04/01/2011 10/31/2011 04/01/2012 10/31/2012 04/01/2013 10/31/2013 03/31/2014</t>
  </si>
  <si>
    <t>Data Sample: 03/02/2005 04/01/2005 10/31/2005 04/01/2006 10/31/2006 04/01/2007 10/31/2007 04/01/2008 10/31/2008 04/01/2009 10/31/2009 04/01/2010 10/31/2010 04/01/2011 10/31/2011 04/01/2012 10/31/2012 04/01/2013 10/31/2013 03/31/2014</t>
  </si>
  <si>
    <t>Comments: 2013-2014 Des Day = 48,987 Dth Stability  Ann Rqmts = 3,444,384 Dth; Wtr Rqmts = 2,523,549 Dth; Ice Storm days deleted</t>
  </si>
  <si>
    <t>Expires 3/31/2017</t>
  </si>
  <si>
    <t>Expires 10/31/2015</t>
  </si>
  <si>
    <t>File Last Updated:    July 15, 2014   4:25 PM</t>
  </si>
  <si>
    <t>Atmos Winter Only Model Used.  Data Sample: 11/02/2005 04/01/2006 10/31/2006 04/01/2007 10/31/2007 04/01/2008 10/31/2008 04/01/2009 10/31/2009 04/01/2010 10/31/2010 04/01/2011 10/31/2011 04/01/2012 10/31/2012 04/01/2013 10/31/2013 03/31/2014</t>
  </si>
  <si>
    <t>Data Sample: 11/02/2005 04/01/2006 10/31/2006 04/01/2007 10/31/2007 04/01/2008 10/31/2008 04/01/2009 10/31/2009 04/01/2010 10/31/2010 04/01/2011 10/31/2011 04/01/2012 10/31/2012 04/01/2013 10/31/2013 03/31/2014</t>
  </si>
  <si>
    <t>Comments: 2013-2014 Des Day = 639 Dth Stability; Ann Rqmts = 38,617 Dth; Wtr Rqmts = 29,403 Dth; Ice Storm Days Deleted</t>
  </si>
  <si>
    <t>Part of Texas Gas Zone 3 North</t>
  </si>
  <si>
    <t>File Last Updated:    July 15, 2014   4:43 PM</t>
  </si>
  <si>
    <t>Atmos Winter Only Model Used.  Data Sample: 03/07/2004 04/01/2004 10/31/2004 04/01/2005 10/31/2005 04/01/2006 10/31/2006 04/01/2007 10/31/2007 04/01/2008 10/31/2008 04/01/2009 10/31/2009 04/01/2010 10/31/2010 04/01/2011 10/31/2011 04/01/2012 10/31/2012 04/01/2013 10/31/2013 03/31/2014</t>
  </si>
  <si>
    <t>Data Sample: 03/07/2004 04/01/2004 10/31/2004 04/01/2005 10/31/2005 04/01/2006 10/31/2006 04/01/2007 10/31/2007 04/01/2008 10/31/2008 04/01/2009 10/31/2009 04/01/2010 10/31/2010 04/01/2011 10/31/2011 04/01/2012 10/31/2012 04/01/2013 10/31/2013 03/31/2014</t>
  </si>
  <si>
    <t>Comments: 2013-2014 Des Day = 115,374 Dth Stability; Ann Rqmts = 7,577,864 Dth; Wtr Rqmts = 5,676,678 Dth; Ice Storm and bad data days deleted; Third Pty Ob = South study all data and Livermore stability study</t>
  </si>
  <si>
    <t>Use 1,850 of 6,328 Dth in Zone 4 and remainder in zone 3:  Expires 3/31/2015</t>
  </si>
  <si>
    <t>FTS-1 #122803-KY</t>
  </si>
  <si>
    <t>Expires 3/31/19</t>
  </si>
  <si>
    <t>File Last Updated:    July 16, 2014   7:51 AM</t>
  </si>
  <si>
    <t>Atmos Winter Only Model Used.  Data Sample: 11/02/2002 04/01/2003 10/31/2003 04/01/2004 10/31/2004 04/01/2005 10/31/2005 04/01/2006 10/31/2006 04/01/2007 10/31/2007 04/01/2008 10/31/2008 04/01/2009 10/31/2009 04/01/2010 10/31/2010 04/01/2011 10/31/2011 04/01/2012 10/31/2012 04/01/2013 10/31/2013 03/31/2014</t>
  </si>
  <si>
    <t>Data Sample: 11/02/2002 04/01/2003 10/31/2003 04/01/2004 10/31/2004 04/01/2005 10/31/2005 04/01/2006 10/31/2006 04/01/2007 10/31/2007 04/01/2008 10/31/2008 04/01/2009 10/31/2009 04/01/2010 10/31/2010 04/01/2011 10/31/2011 04/01/2012 10/31/2012 04/01/2013 10/31/2013 03/31/2014</t>
  </si>
  <si>
    <t>Comments: 2013-2014 Des Day = 70,585 Dth All Data; Ann Rqmts = 4,386,667 Dth; Wtr Rqmts = 3,335,764 Dth; Ice Storm days deleted; Third Pty Obligation is North study and Livermore stability</t>
  </si>
  <si>
    <t>File Last Updated:    July 16, 2014   10:23 AM</t>
  </si>
  <si>
    <t>Atmos Winter Only Model Used.  STABILITY TEST DOES NOT MEET MINIMUM TIME PERIOD REQUIREMENTS</t>
  </si>
  <si>
    <t>STABILITY TEST DOES NOT MEET MINIMUM TIME PERIOD REQUIREMENTS</t>
  </si>
  <si>
    <t>Comments: 2013-2014 Des Day = 19,092 Dth Stability; Ann Rqmts = 1,114,864 Dth; Wtr Rqmts = 874,775 Dth; Ice Storm days deleted</t>
  </si>
  <si>
    <t>Use 1,850 in Zone 4 and remainder in zone 3:  Expires 3/31/2015</t>
  </si>
  <si>
    <t xml:space="preserve">Midwestern </t>
  </si>
  <si>
    <t>Owensboro Storage Group Withdrawals *</t>
  </si>
  <si>
    <t>Madisonville Storage Group Whitdrawals *</t>
  </si>
  <si>
    <t>Total ANR Purchase</t>
  </si>
  <si>
    <t>Total Midwest Purchase</t>
  </si>
  <si>
    <t xml:space="preserve"> ANR Pipeline PEAKING (6k/d) Fayetteville</t>
  </si>
  <si>
    <t>.</t>
  </si>
  <si>
    <t>amt to w/d</t>
  </si>
  <si>
    <t>Bon Harbor - planned balances</t>
  </si>
  <si>
    <t>Grandview - planned balances</t>
  </si>
  <si>
    <t>Hickory - planned balances</t>
  </si>
  <si>
    <t>monthly</t>
  </si>
  <si>
    <t>daily</t>
  </si>
  <si>
    <t>Kirkwood - planned balances</t>
  </si>
  <si>
    <t>St. Charles -   planned balances</t>
  </si>
  <si>
    <t xml:space="preserve"> *  For company owned and East Diamond storage, intention is to stick to monthly plan withdrawals, but do not anticipate rateable withdrawals throughout the month.</t>
  </si>
  <si>
    <t>The above storage plan is for general planning purposes only - actual daily withdrawals will be sculpted throughout the month, including weekends.</t>
  </si>
  <si>
    <t>Expires 10/31/2020</t>
  </si>
  <si>
    <t>FT 29759 Zone 3</t>
  </si>
  <si>
    <t>NNS 29762 Zone 3</t>
  </si>
  <si>
    <t>Level of NNS storage does ratchet.  Expires 10/31/20</t>
  </si>
  <si>
    <t>FT 34380 Zone 3</t>
  </si>
  <si>
    <t>Released to KY Expires 3/31/19</t>
  </si>
  <si>
    <t>FT 31097 Zone 4</t>
  </si>
  <si>
    <t>Expires 10/31/20</t>
  </si>
  <si>
    <t>NNS 29763 Zone 4</t>
  </si>
  <si>
    <t>1-IN-30 Design Day</t>
  </si>
  <si>
    <t>1-IN-30 Prior Day</t>
  </si>
  <si>
    <t>One in Thirty Occurrence</t>
  </si>
  <si>
    <t>FT 34674 release from MS 32794)</t>
  </si>
  <si>
    <t xml:space="preserve">Nov </t>
  </si>
  <si>
    <t>Zn 2</t>
  </si>
  <si>
    <t>Zn 3 N</t>
  </si>
  <si>
    <t>Zn 3 S</t>
  </si>
  <si>
    <t>Zn 4</t>
  </si>
  <si>
    <t>Feb 6, we lose 3,000 Dth/d deliverability</t>
  </si>
  <si>
    <t>Feb 6, we lose 1,500 Dth/d deliverability</t>
  </si>
  <si>
    <t>short term</t>
  </si>
  <si>
    <t>normal</t>
  </si>
  <si>
    <t>Oct</t>
  </si>
  <si>
    <t>MSQ all 3 areas</t>
  </si>
  <si>
    <t>Target Balance Beg of Winter</t>
  </si>
  <si>
    <t>Targe Winter total W/D</t>
  </si>
  <si>
    <t>NNS Storage by Zone and target monthly end inventory</t>
  </si>
  <si>
    <t>Nov w/d</t>
  </si>
  <si>
    <t>Dec w/d</t>
  </si>
  <si>
    <t>Jan w/d</t>
  </si>
  <si>
    <t>Feb w/d</t>
  </si>
  <si>
    <t>Mar w/d</t>
  </si>
  <si>
    <t>Nov daily</t>
  </si>
  <si>
    <t>Dec daily</t>
  </si>
  <si>
    <t>Jan daily</t>
  </si>
  <si>
    <t>Feb daily</t>
  </si>
  <si>
    <t>Mar daily</t>
  </si>
  <si>
    <t>Note 2:    Purchase quantities have not been adjusted for fuel retention.</t>
  </si>
  <si>
    <t>Note 1:    Purchases reflect total requirements less anticipated winter storage withdrawal.</t>
  </si>
  <si>
    <t>Company Owned Behind Gate Storage</t>
  </si>
  <si>
    <t>2017 - 2018 Design Day and RFP Plan Summary</t>
  </si>
  <si>
    <t>2017 - 2018 Normalized Sales Requirements Summary Excluding Transportation</t>
  </si>
  <si>
    <t>File Last Updated:    June 21, 2017   12:29 PM</t>
  </si>
  <si>
    <t>Atmos Winter Only Model Used.  10/31/2013 04/01/2014 10/31/2014 04/01/2015 10/31/2015 04/01/2016 10/31/2016 03/31/2017</t>
  </si>
  <si>
    <t>10/31/2013 04/01/2014 10/31/2014 04/01/2015 10/31/2015 04/01/2016 10/31/2016 03/31/2017</t>
  </si>
  <si>
    <t>Comments: 2016-2017 Des Day = 53,671 Dth Stability  Ann Rqmts = 3,294,644 Dth; Wtr Rqmts = 2,524,866 Dth; Ice Storm days deleted</t>
  </si>
  <si>
    <t>Expires 3/31/2020</t>
  </si>
  <si>
    <t>Use 3,800 of 6,328 Dth in Zone 2 remainder in Zone 3&amp;4:  Expires 3/31/2018</t>
  </si>
  <si>
    <t>File Last Updated:    June 21, 2017   12:15 PM</t>
  </si>
  <si>
    <t>Comments: 2016-2017 Des Day = 125,148 Dth Stability; Ann Rqmts = 7,623,773 Dth; Wtr Rqmts = 5,732,755 Dth; Ice Storm and bad data days deleted; Third Pty Ob = South study all data</t>
  </si>
  <si>
    <t>Use 1,028 of 6,328 Dth in Zones 3 and remainder in Zone 2&amp;3:  Expires 3/31/2018</t>
  </si>
  <si>
    <t>STF 35772 Zone 3</t>
  </si>
  <si>
    <t>Expires 3/31/2019</t>
  </si>
  <si>
    <t>File Last Updated:    June 07, 2017   3:05 PM</t>
  </si>
  <si>
    <t>Comments: 2016-2017 Des Day = 74,487 Dth All Data; Ann Rqmts = 4,403,022 Dth; Wtr Rqmts = 3,341,585 Dth; Ice Storm days deleted; Third Pty Obligation is North study</t>
  </si>
  <si>
    <t>File Last Updated:    June 21, 2017   10:42 AM</t>
  </si>
  <si>
    <t>Comments: 2016-2017 Des Day = 19,814 Dth 3 year; Ann Rqmts = 1,208,647 Dth; Wtr Rqmts = 944,283 Dth; Ice Storm days deleted</t>
  </si>
  <si>
    <t>Use 1,500 in Zone 4 and remainder in Zones 2 &amp; 3:  Expires 3/31/2018</t>
  </si>
  <si>
    <t>20,500 for 18 days through Feb 15</t>
  </si>
  <si>
    <t xml:space="preserve">** East Diamond Withdrawals </t>
  </si>
  <si>
    <t>Mcf</t>
  </si>
  <si>
    <t>w/d from Nov 1 - Feb 15</t>
  </si>
  <si>
    <t>days</t>
  </si>
  <si>
    <t>Mcf per contract</t>
  </si>
  <si>
    <t>November 1 beginning target</t>
  </si>
  <si>
    <t>Feb 15 target</t>
  </si>
  <si>
    <t>daily average from Feb 16-Mar 31</t>
  </si>
  <si>
    <t>w/d Feb 16-March 31 (44 days)</t>
  </si>
  <si>
    <t># of days</t>
  </si>
  <si>
    <t>Dth</t>
  </si>
  <si>
    <t>15,141 for 44 days</t>
  </si>
  <si>
    <r>
      <t>E. Diamond - used for Peaking, Retain</t>
    </r>
    <r>
      <rPr>
        <b/>
        <sz val="10"/>
        <color rgb="FFFF0000"/>
        <rFont val="Arial"/>
        <family val="2"/>
      </rPr>
      <t xml:space="preserve"> 75%</t>
    </r>
    <r>
      <rPr>
        <sz val="10"/>
        <rFont val="Arial"/>
      </rPr>
      <t xml:space="preserve"> thru Feb 15</t>
    </r>
  </si>
  <si>
    <t>sculpted</t>
  </si>
  <si>
    <t>after Feb 15</t>
  </si>
  <si>
    <t>Nov 1-Feb 15</t>
  </si>
  <si>
    <t># of days from Feb 16-Mar 31</t>
  </si>
  <si>
    <t xml:space="preserve">** East Diamond Withdrawals    </t>
  </si>
  <si>
    <t>East Diamond Storage Withdrawals SCULPTED**</t>
  </si>
  <si>
    <t>Projected Winter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</si>
</sst>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_)"/>
    <numFmt numFmtId="166" formatCode="mm/dd/yyyy"/>
    <numFmt numFmtId="167" formatCode="0.00%;[Red]\(0.00%\)"/>
    <numFmt numFmtId="168" formatCode="_(* #,##0.0_);_(* \(#,##0.0\);_(* &quot;-&quot;?_);_(@_)"/>
    <numFmt numFmtId="169" formatCode="_(* #,##0.0_);_(* \(#,##0.0\);_(* &quot;-&quot;??_);_(@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10"/>
      <color indexed="12"/>
      <name val="Arial"/>
      <family val="2"/>
    </font>
    <font>
      <u val="singleAccounting"/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16"/>
      <name val="Helv"/>
    </font>
    <font>
      <sz val="11"/>
      <name val="Calibri"/>
      <family val="2"/>
    </font>
    <font>
      <sz val="11"/>
      <name val="Times New Roman"/>
      <family val="1"/>
    </font>
    <font>
      <b/>
      <sz val="10"/>
      <color indexed="12"/>
      <name val="Arial"/>
      <family val="2"/>
    </font>
    <font>
      <b/>
      <sz val="9"/>
      <name val="Arial"/>
      <family val="2"/>
    </font>
    <font>
      <b/>
      <sz val="11"/>
      <color indexed="12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0"/>
      <color rgb="FF0070C0"/>
      <name val="Arial"/>
      <family val="2"/>
    </font>
    <font>
      <b/>
      <sz val="14"/>
      <color rgb="FF0070C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14"/>
      <color rgb="FF0000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5">
    <xf numFmtId="0" fontId="0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7" fillId="0" borderId="0">
      <alignment horizontal="left" vertical="center" indent="1"/>
    </xf>
    <xf numFmtId="165" fontId="22" fillId="0" borderId="0"/>
    <xf numFmtId="0" fontId="23" fillId="0" borderId="0"/>
    <xf numFmtId="0" fontId="24" fillId="0" borderId="0"/>
    <xf numFmtId="0" fontId="24" fillId="0" borderId="0"/>
    <xf numFmtId="0" fontId="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9" fontId="2" fillId="0" borderId="0" applyFont="0" applyFill="0" applyBorder="0" applyAlignment="0" applyProtection="0"/>
    <xf numFmtId="0" fontId="1" fillId="0" borderId="0"/>
    <xf numFmtId="0" fontId="30" fillId="0" borderId="0"/>
    <xf numFmtId="43" fontId="1" fillId="0" borderId="0" applyFont="0" applyFill="0" applyBorder="0" applyAlignment="0" applyProtection="0"/>
  </cellStyleXfs>
  <cellXfs count="570">
    <xf numFmtId="0" fontId="0" fillId="0" borderId="0" xfId="0"/>
    <xf numFmtId="0" fontId="4" fillId="0" borderId="0" xfId="0" applyFont="1"/>
    <xf numFmtId="0" fontId="6" fillId="0" borderId="0" xfId="0" applyFont="1" applyFill="1"/>
    <xf numFmtId="0" fontId="7" fillId="0" borderId="0" xfId="0" applyFont="1" applyAlignment="1">
      <alignment horizontal="right"/>
    </xf>
    <xf numFmtId="0" fontId="8" fillId="0" borderId="0" xfId="0" applyFont="1"/>
    <xf numFmtId="0" fontId="5" fillId="0" borderId="1" xfId="0" applyFont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3" fontId="0" fillId="0" borderId="0" xfId="0" applyNumberFormat="1" applyBorder="1"/>
    <xf numFmtId="0" fontId="0" fillId="0" borderId="0" xfId="0" applyFill="1"/>
    <xf numFmtId="3" fontId="0" fillId="0" borderId="0" xfId="0" applyNumberFormat="1" applyFill="1" applyBorder="1"/>
    <xf numFmtId="3" fontId="0" fillId="0" borderId="7" xfId="0" applyNumberFormat="1" applyBorder="1"/>
    <xf numFmtId="3" fontId="0" fillId="0" borderId="5" xfId="0" applyNumberFormat="1" applyBorder="1"/>
    <xf numFmtId="3" fontId="0" fillId="0" borderId="0" xfId="0" applyNumberFormat="1"/>
    <xf numFmtId="0" fontId="0" fillId="0" borderId="0" xfId="0" applyBorder="1"/>
    <xf numFmtId="164" fontId="2" fillId="0" borderId="0" xfId="1" applyNumberFormat="1" applyFill="1"/>
    <xf numFmtId="164" fontId="0" fillId="0" borderId="0" xfId="0" applyNumberFormat="1" applyFill="1"/>
    <xf numFmtId="164" fontId="0" fillId="0" borderId="0" xfId="1" applyNumberFormat="1" applyFont="1"/>
    <xf numFmtId="164" fontId="0" fillId="0" borderId="0" xfId="1" applyNumberFormat="1" applyFont="1" applyFill="1"/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" fontId="0" fillId="0" borderId="11" xfId="0" applyNumberFormat="1" applyBorder="1"/>
    <xf numFmtId="164" fontId="0" fillId="0" borderId="0" xfId="0" applyNumberFormat="1" applyBorder="1"/>
    <xf numFmtId="9" fontId="0" fillId="0" borderId="0" xfId="0" applyNumberFormat="1"/>
    <xf numFmtId="3" fontId="6" fillId="0" borderId="12" xfId="0" applyNumberFormat="1" applyFont="1" applyBorder="1"/>
    <xf numFmtId="3" fontId="6" fillId="0" borderId="14" xfId="0" applyNumberFormat="1" applyFont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17" xfId="0" applyNumberFormat="1" applyFont="1" applyBorder="1"/>
    <xf numFmtId="3" fontId="6" fillId="0" borderId="18" xfId="0" applyNumberFormat="1" applyFont="1" applyBorder="1"/>
    <xf numFmtId="3" fontId="0" fillId="0" borderId="0" xfId="0" applyNumberFormat="1" applyFill="1"/>
    <xf numFmtId="0" fontId="0" fillId="0" borderId="0" xfId="0" applyAlignment="1">
      <alignment horizontal="center"/>
    </xf>
    <xf numFmtId="164" fontId="2" fillId="0" borderId="0" xfId="1" applyNumberFormat="1"/>
    <xf numFmtId="164" fontId="2" fillId="0" borderId="0" xfId="1" applyNumberFormat="1" applyFont="1"/>
    <xf numFmtId="164" fontId="0" fillId="0" borderId="0" xfId="0" applyNumberFormat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1" xfId="0" applyBorder="1" applyAlignment="1">
      <alignment horizontal="center"/>
    </xf>
    <xf numFmtId="0" fontId="0" fillId="0" borderId="22" xfId="0" applyFill="1" applyBorder="1"/>
    <xf numFmtId="16" fontId="0" fillId="0" borderId="0" xfId="0" quotePrefix="1" applyNumberFormat="1" applyAlignment="1">
      <alignment horizontal="center"/>
    </xf>
    <xf numFmtId="0" fontId="6" fillId="0" borderId="22" xfId="0" applyFont="1" applyBorder="1" applyAlignment="1">
      <alignment horizontal="center"/>
    </xf>
    <xf numFmtId="9" fontId="15" fillId="0" borderId="0" xfId="0" applyNumberFormat="1" applyFont="1" applyAlignment="1">
      <alignment horizontal="center"/>
    </xf>
    <xf numFmtId="164" fontId="15" fillId="0" borderId="0" xfId="1" applyNumberFormat="1" applyFont="1"/>
    <xf numFmtId="164" fontId="2" fillId="0" borderId="21" xfId="1" applyNumberFormat="1" applyBorder="1"/>
    <xf numFmtId="164" fontId="2" fillId="0" borderId="22" xfId="1" applyNumberFormat="1" applyBorder="1"/>
    <xf numFmtId="164" fontId="16" fillId="0" borderId="0" xfId="1" applyNumberFormat="1" applyFont="1"/>
    <xf numFmtId="164" fontId="2" fillId="0" borderId="6" xfId="1" applyNumberFormat="1" applyBorder="1"/>
    <xf numFmtId="164" fontId="2" fillId="0" borderId="23" xfId="1" applyNumberFormat="1" applyBorder="1"/>
    <xf numFmtId="164" fontId="17" fillId="0" borderId="21" xfId="1" applyNumberFormat="1" applyFont="1" applyBorder="1"/>
    <xf numFmtId="164" fontId="17" fillId="0" borderId="21" xfId="0" applyNumberFormat="1" applyFont="1" applyBorder="1"/>
    <xf numFmtId="164" fontId="0" fillId="0" borderId="22" xfId="0" applyNumberFormat="1" applyBorder="1"/>
    <xf numFmtId="164" fontId="6" fillId="0" borderId="22" xfId="1" applyNumberFormat="1" applyFont="1" applyBorder="1"/>
    <xf numFmtId="164" fontId="18" fillId="0" borderId="21" xfId="1" applyNumberFormat="1" applyFont="1" applyBorder="1"/>
    <xf numFmtId="164" fontId="2" fillId="0" borderId="21" xfId="1" applyNumberFormat="1" applyFont="1" applyBorder="1"/>
    <xf numFmtId="164" fontId="6" fillId="0" borderId="22" xfId="0" applyNumberFormat="1" applyFont="1" applyBorder="1"/>
    <xf numFmtId="9" fontId="2" fillId="0" borderId="22" xfId="21" applyBorder="1"/>
    <xf numFmtId="164" fontId="0" fillId="0" borderId="21" xfId="0" applyNumberFormat="1" applyBorder="1"/>
    <xf numFmtId="164" fontId="6" fillId="0" borderId="21" xfId="1" applyNumberFormat="1" applyFont="1" applyBorder="1"/>
    <xf numFmtId="9" fontId="15" fillId="0" borderId="22" xfId="0" applyNumberFormat="1" applyFont="1" applyBorder="1" applyAlignment="1">
      <alignment horizontal="left"/>
    </xf>
    <xf numFmtId="9" fontId="12" fillId="0" borderId="22" xfId="0" applyNumberFormat="1" applyFont="1" applyBorder="1" applyAlignment="1">
      <alignment horizontal="left"/>
    </xf>
    <xf numFmtId="164" fontId="19" fillId="0" borderId="24" xfId="1" applyNumberFormat="1" applyFont="1" applyBorder="1"/>
    <xf numFmtId="9" fontId="15" fillId="0" borderId="25" xfId="0" applyNumberFormat="1" applyFont="1" applyBorder="1" applyAlignment="1">
      <alignment horizontal="left"/>
    </xf>
    <xf numFmtId="9" fontId="12" fillId="0" borderId="25" xfId="0" applyNumberFormat="1" applyFont="1" applyBorder="1" applyAlignment="1">
      <alignment horizontal="left"/>
    </xf>
    <xf numFmtId="164" fontId="11" fillId="0" borderId="24" xfId="1" applyNumberFormat="1" applyFont="1" applyBorder="1"/>
    <xf numFmtId="9" fontId="15" fillId="0" borderId="0" xfId="21" applyFont="1" applyAlignment="1">
      <alignment horizontal="center"/>
    </xf>
    <xf numFmtId="9" fontId="18" fillId="0" borderId="0" xfId="21" applyNumberFormat="1" applyFont="1" applyAlignment="1">
      <alignment horizontal="center"/>
    </xf>
    <xf numFmtId="9" fontId="0" fillId="0" borderId="0" xfId="0" applyNumberFormat="1" applyAlignment="1"/>
    <xf numFmtId="164" fontId="15" fillId="0" borderId="6" xfId="1" applyNumberFormat="1" applyFont="1" applyBorder="1"/>
    <xf numFmtId="164" fontId="18" fillId="0" borderId="6" xfId="1" applyNumberFormat="1" applyFont="1" applyBorder="1"/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24" xfId="0" applyBorder="1"/>
    <xf numFmtId="164" fontId="0" fillId="0" borderId="27" xfId="0" applyNumberFormat="1" applyBorder="1"/>
    <xf numFmtId="9" fontId="0" fillId="0" borderId="25" xfId="0" applyNumberFormat="1" applyBorder="1" applyAlignment="1">
      <alignment horizontal="center"/>
    </xf>
    <xf numFmtId="164" fontId="0" fillId="0" borderId="24" xfId="0" applyNumberFormat="1" applyBorder="1"/>
    <xf numFmtId="9" fontId="2" fillId="0" borderId="25" xfId="21" applyBorder="1" applyAlignment="1">
      <alignment horizontal="center"/>
    </xf>
    <xf numFmtId="164" fontId="2" fillId="0" borderId="27" xfId="1" applyNumberFormat="1" applyBorder="1"/>
    <xf numFmtId="9" fontId="2" fillId="0" borderId="0" xfId="21" applyAlignment="1">
      <alignment horizontal="center"/>
    </xf>
    <xf numFmtId="9" fontId="0" fillId="0" borderId="22" xfId="0" applyNumberFormat="1" applyBorder="1" applyAlignment="1">
      <alignment horizontal="center"/>
    </xf>
    <xf numFmtId="164" fontId="0" fillId="0" borderId="28" xfId="0" applyNumberFormat="1" applyBorder="1"/>
    <xf numFmtId="0" fontId="0" fillId="0" borderId="22" xfId="0" applyBorder="1" applyAlignment="1">
      <alignment horizontal="center"/>
    </xf>
    <xf numFmtId="164" fontId="0" fillId="0" borderId="13" xfId="0" applyNumberFormat="1" applyBorder="1"/>
    <xf numFmtId="0" fontId="0" fillId="0" borderId="27" xfId="0" applyBorder="1"/>
    <xf numFmtId="0" fontId="0" fillId="0" borderId="25" xfId="0" applyBorder="1" applyAlignment="1">
      <alignment horizontal="center"/>
    </xf>
    <xf numFmtId="0" fontId="0" fillId="0" borderId="25" xfId="0" applyBorder="1"/>
    <xf numFmtId="9" fontId="0" fillId="0" borderId="0" xfId="0" applyNumberFormat="1" applyAlignment="1">
      <alignment horizontal="center"/>
    </xf>
    <xf numFmtId="9" fontId="0" fillId="0" borderId="0" xfId="21" applyFont="1"/>
    <xf numFmtId="9" fontId="0" fillId="0" borderId="0" xfId="21" applyFont="1" applyFill="1"/>
    <xf numFmtId="0" fontId="0" fillId="0" borderId="10" xfId="0" applyBorder="1"/>
    <xf numFmtId="38" fontId="0" fillId="0" borderId="9" xfId="0" applyNumberFormat="1" applyBorder="1"/>
    <xf numFmtId="164" fontId="28" fillId="0" borderId="0" xfId="1" applyNumberFormat="1" applyFont="1"/>
    <xf numFmtId="3" fontId="6" fillId="0" borderId="8" xfId="0" applyNumberFormat="1" applyFont="1" applyBorder="1"/>
    <xf numFmtId="3" fontId="9" fillId="0" borderId="0" xfId="0" applyNumberFormat="1" applyFont="1" applyFill="1" applyBorder="1"/>
    <xf numFmtId="3" fontId="9" fillId="0" borderId="1" xfId="0" applyNumberFormat="1" applyFont="1" applyFill="1" applyBorder="1"/>
    <xf numFmtId="3" fontId="9" fillId="0" borderId="10" xfId="0" applyNumberFormat="1" applyFont="1" applyFill="1" applyBorder="1"/>
    <xf numFmtId="0" fontId="23" fillId="0" borderId="0" xfId="6"/>
    <xf numFmtId="0" fontId="9" fillId="0" borderId="8" xfId="0" applyFont="1" applyBorder="1"/>
    <xf numFmtId="0" fontId="9" fillId="0" borderId="0" xfId="0" applyFont="1" applyBorder="1"/>
    <xf numFmtId="0" fontId="9" fillId="0" borderId="1" xfId="0" applyFont="1" applyBorder="1"/>
    <xf numFmtId="0" fontId="0" fillId="0" borderId="7" xfId="0" applyBorder="1"/>
    <xf numFmtId="0" fontId="0" fillId="0" borderId="6" xfId="0" applyBorder="1"/>
    <xf numFmtId="49" fontId="6" fillId="0" borderId="7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>
      <alignment horizontal="left" vertical="center"/>
    </xf>
    <xf numFmtId="0" fontId="6" fillId="2" borderId="9" xfId="0" applyFont="1" applyFill="1" applyBorder="1"/>
    <xf numFmtId="0" fontId="6" fillId="2" borderId="15" xfId="0" applyFont="1" applyFill="1" applyBorder="1" applyAlignment="1">
      <alignment horizontal="centerContinuous"/>
    </xf>
    <xf numFmtId="0" fontId="6" fillId="2" borderId="16" xfId="0" applyFont="1" applyFill="1" applyBorder="1" applyAlignment="1">
      <alignment horizontal="centerContinuous"/>
    </xf>
    <xf numFmtId="0" fontId="6" fillId="2" borderId="17" xfId="0" applyFont="1" applyFill="1" applyBorder="1" applyAlignment="1">
      <alignment horizontal="centerContinuous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0" xfId="0" applyFont="1" applyFill="1" applyBorder="1"/>
    <xf numFmtId="0" fontId="6" fillId="2" borderId="4" xfId="0" applyFont="1" applyFill="1" applyBorder="1" applyAlignment="1">
      <alignment horizontal="left"/>
    </xf>
    <xf numFmtId="10" fontId="9" fillId="0" borderId="9" xfId="0" applyNumberFormat="1" applyFont="1" applyBorder="1" applyAlignment="1"/>
    <xf numFmtId="0" fontId="6" fillId="2" borderId="8" xfId="0" applyFont="1" applyFill="1" applyBorder="1"/>
    <xf numFmtId="0" fontId="6" fillId="2" borderId="1" xfId="0" applyFont="1" applyFill="1" applyBorder="1"/>
    <xf numFmtId="38" fontId="9" fillId="0" borderId="9" xfId="0" applyNumberFormat="1" applyFont="1" applyFill="1" applyBorder="1" applyAlignment="1">
      <alignment horizontal="center"/>
    </xf>
    <xf numFmtId="166" fontId="9" fillId="0" borderId="9" xfId="0" applyNumberFormat="1" applyFont="1" applyFill="1" applyBorder="1" applyAlignment="1">
      <alignment horizontal="center"/>
    </xf>
    <xf numFmtId="14" fontId="9" fillId="0" borderId="9" xfId="0" applyNumberFormat="1" applyFont="1" applyFill="1" applyBorder="1" applyAlignment="1">
      <alignment horizontal="center"/>
    </xf>
    <xf numFmtId="38" fontId="6" fillId="0" borderId="8" xfId="0" applyNumberFormat="1" applyFont="1" applyBorder="1" applyAlignment="1">
      <alignment horizontal="centerContinuous"/>
    </xf>
    <xf numFmtId="38" fontId="0" fillId="0" borderId="1" xfId="0" applyNumberFormat="1" applyBorder="1" applyAlignment="1">
      <alignment horizontal="centerContinuous"/>
    </xf>
    <xf numFmtId="0" fontId="6" fillId="2" borderId="8" xfId="0" applyFont="1" applyFill="1" applyBorder="1" applyAlignment="1">
      <alignment horizontal="left"/>
    </xf>
    <xf numFmtId="38" fontId="9" fillId="0" borderId="10" xfId="0" applyNumberFormat="1" applyFont="1" applyFill="1" applyBorder="1" applyAlignment="1">
      <alignment horizontal="right"/>
    </xf>
    <xf numFmtId="38" fontId="9" fillId="0" borderId="10" xfId="0" applyNumberFormat="1" applyFont="1" applyFill="1" applyBorder="1" applyAlignment="1">
      <alignment horizontal="center"/>
    </xf>
    <xf numFmtId="166" fontId="9" fillId="0" borderId="10" xfId="0" applyNumberFormat="1" applyFont="1" applyFill="1" applyBorder="1" applyAlignment="1">
      <alignment horizontal="center"/>
    </xf>
    <xf numFmtId="14" fontId="9" fillId="0" borderId="10" xfId="0" applyNumberFormat="1" applyFont="1" applyFill="1" applyBorder="1" applyAlignment="1">
      <alignment horizontal="center"/>
    </xf>
    <xf numFmtId="0" fontId="6" fillId="2" borderId="11" xfId="0" applyFont="1" applyFill="1" applyBorder="1"/>
    <xf numFmtId="166" fontId="6" fillId="2" borderId="18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8" fontId="9" fillId="0" borderId="10" xfId="0" applyNumberFormat="1" applyFont="1" applyBorder="1"/>
    <xf numFmtId="166" fontId="0" fillId="0" borderId="9" xfId="0" applyNumberFormat="1" applyBorder="1" applyAlignment="1">
      <alignment horizontal="center"/>
    </xf>
    <xf numFmtId="38" fontId="9" fillId="0" borderId="9" xfId="1" applyNumberFormat="1" applyFont="1" applyBorder="1" applyAlignment="1"/>
    <xf numFmtId="0" fontId="6" fillId="2" borderId="7" xfId="0" applyFont="1" applyFill="1" applyBorder="1"/>
    <xf numFmtId="0" fontId="6" fillId="2" borderId="5" xfId="0" applyFont="1" applyFill="1" applyBorder="1"/>
    <xf numFmtId="38" fontId="9" fillId="0" borderId="11" xfId="0" applyNumberFormat="1" applyFont="1" applyFill="1" applyBorder="1" applyAlignment="1">
      <alignment horizontal="center"/>
    </xf>
    <xf numFmtId="166" fontId="0" fillId="0" borderId="11" xfId="0" applyNumberFormat="1" applyBorder="1" applyAlignment="1">
      <alignment horizontal="center"/>
    </xf>
    <xf numFmtId="38" fontId="9" fillId="0" borderId="11" xfId="1" applyNumberFormat="1" applyFont="1" applyBorder="1" applyAlignment="1"/>
    <xf numFmtId="0" fontId="26" fillId="2" borderId="9" xfId="0" applyFont="1" applyFill="1" applyBorder="1" applyAlignment="1">
      <alignment horizontal="centerContinuous" vertical="center"/>
    </xf>
    <xf numFmtId="0" fontId="6" fillId="2" borderId="15" xfId="0" applyFont="1" applyFill="1" applyBorder="1" applyAlignment="1">
      <alignment horizontal="centerContinuous" vertical="center"/>
    </xf>
    <xf numFmtId="0" fontId="6" fillId="2" borderId="16" xfId="0" applyFont="1" applyFill="1" applyBorder="1" applyAlignment="1">
      <alignment horizontal="centerContinuous" vertical="center"/>
    </xf>
    <xf numFmtId="0" fontId="6" fillId="2" borderId="17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left"/>
    </xf>
    <xf numFmtId="38" fontId="6" fillId="0" borderId="11" xfId="0" applyNumberFormat="1" applyFont="1" applyFill="1" applyBorder="1" applyAlignment="1">
      <alignment horizontal="right"/>
    </xf>
    <xf numFmtId="0" fontId="6" fillId="2" borderId="11" xfId="0" applyFont="1" applyFill="1" applyBorder="1" applyAlignment="1">
      <alignment horizontal="center"/>
    </xf>
    <xf numFmtId="38" fontId="9" fillId="2" borderId="17" xfId="0" applyNumberFormat="1" applyFont="1" applyFill="1" applyBorder="1" applyAlignment="1">
      <alignment horizontal="centerContinuous"/>
    </xf>
    <xf numFmtId="38" fontId="9" fillId="0" borderId="9" xfId="0" applyNumberFormat="1" applyFont="1" applyBorder="1"/>
    <xf numFmtId="38" fontId="9" fillId="0" borderId="9" xfId="0" applyNumberFormat="1" applyFont="1" applyFill="1" applyBorder="1" applyAlignment="1">
      <alignment horizontal="right"/>
    </xf>
    <xf numFmtId="0" fontId="6" fillId="2" borderId="9" xfId="0" applyFont="1" applyFill="1" applyBorder="1" applyAlignment="1">
      <alignment horizontal="left"/>
    </xf>
    <xf numFmtId="38" fontId="0" fillId="0" borderId="10" xfId="0" applyNumberFormat="1" applyBorder="1"/>
    <xf numFmtId="0" fontId="6" fillId="2" borderId="10" xfId="0" applyFont="1" applyFill="1" applyBorder="1" applyAlignment="1">
      <alignment horizontal="left"/>
    </xf>
    <xf numFmtId="167" fontId="6" fillId="0" borderId="10" xfId="0" applyNumberFormat="1" applyFont="1" applyBorder="1"/>
    <xf numFmtId="0" fontId="6" fillId="2" borderId="11" xfId="0" applyFont="1" applyFill="1" applyBorder="1" applyAlignment="1">
      <alignment horizontal="left"/>
    </xf>
    <xf numFmtId="167" fontId="9" fillId="0" borderId="11" xfId="0" applyNumberFormat="1" applyFont="1" applyBorder="1"/>
    <xf numFmtId="0" fontId="0" fillId="0" borderId="4" xfId="0" applyBorder="1"/>
    <xf numFmtId="38" fontId="6" fillId="0" borderId="2" xfId="0" applyNumberFormat="1" applyFont="1" applyBorder="1"/>
    <xf numFmtId="0" fontId="6" fillId="0" borderId="2" xfId="0" applyFont="1" applyBorder="1"/>
    <xf numFmtId="0" fontId="0" fillId="0" borderId="3" xfId="0" applyBorder="1"/>
    <xf numFmtId="0" fontId="9" fillId="0" borderId="9" xfId="0" applyFont="1" applyBorder="1"/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38" fontId="9" fillId="0" borderId="2" xfId="0" applyNumberFormat="1" applyFont="1" applyBorder="1"/>
    <xf numFmtId="0" fontId="9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0" xfId="0" applyFont="1" applyBorder="1"/>
    <xf numFmtId="0" fontId="9" fillId="0" borderId="8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38" fontId="9" fillId="0" borderId="0" xfId="0" applyNumberFormat="1" applyFont="1" applyBorder="1"/>
    <xf numFmtId="0" fontId="6" fillId="2" borderId="18" xfId="0" applyFont="1" applyFill="1" applyBorder="1" applyAlignment="1">
      <alignment horizontal="right"/>
    </xf>
    <xf numFmtId="41" fontId="6" fillId="2" borderId="18" xfId="0" applyNumberFormat="1" applyFont="1" applyFill="1" applyBorder="1"/>
    <xf numFmtId="0" fontId="6" fillId="0" borderId="4" xfId="0" applyFont="1" applyFill="1" applyBorder="1" applyAlignment="1">
      <alignment horizontal="right"/>
    </xf>
    <xf numFmtId="41" fontId="6" fillId="0" borderId="2" xfId="0" applyNumberFormat="1" applyFont="1" applyFill="1" applyBorder="1"/>
    <xf numFmtId="41" fontId="6" fillId="0" borderId="3" xfId="0" applyNumberFormat="1" applyFont="1" applyFill="1" applyBorder="1"/>
    <xf numFmtId="0" fontId="9" fillId="0" borderId="11" xfId="0" applyFont="1" applyBorder="1"/>
    <xf numFmtId="0" fontId="9" fillId="0" borderId="7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38" fontId="9" fillId="0" borderId="6" xfId="0" applyNumberFormat="1" applyFont="1" applyBorder="1"/>
    <xf numFmtId="38" fontId="9" fillId="0" borderId="11" xfId="0" applyNumberFormat="1" applyFont="1" applyFill="1" applyBorder="1" applyAlignment="1">
      <alignment horizontal="right"/>
    </xf>
    <xf numFmtId="0" fontId="6" fillId="2" borderId="15" xfId="0" applyFont="1" applyFill="1" applyBorder="1" applyAlignment="1">
      <alignment horizontal="right"/>
    </xf>
    <xf numFmtId="0" fontId="6" fillId="2" borderId="16" xfId="0" applyFont="1" applyFill="1" applyBorder="1" applyAlignment="1">
      <alignment horizontal="right"/>
    </xf>
    <xf numFmtId="38" fontId="6" fillId="2" borderId="18" xfId="0" applyNumberFormat="1" applyFont="1" applyFill="1" applyBorder="1" applyAlignment="1">
      <alignment horizontal="right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6" fillId="3" borderId="8" xfId="0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38" fontId="6" fillId="3" borderId="0" xfId="0" applyNumberFormat="1" applyFont="1" applyFill="1" applyBorder="1"/>
    <xf numFmtId="0" fontId="6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38" fontId="9" fillId="0" borderId="3" xfId="0" applyNumberFormat="1" applyFont="1" applyBorder="1"/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38" fontId="9" fillId="0" borderId="1" xfId="0" applyNumberFormat="1" applyFont="1" applyBorder="1"/>
    <xf numFmtId="38" fontId="9" fillId="0" borderId="5" xfId="0" applyNumberFormat="1" applyFont="1" applyBorder="1"/>
    <xf numFmtId="0" fontId="9" fillId="0" borderId="0" xfId="6" applyFont="1"/>
    <xf numFmtId="0" fontId="9" fillId="4" borderId="0" xfId="0" applyFont="1" applyFill="1" applyBorder="1" applyAlignment="1">
      <alignment horizontal="left"/>
    </xf>
    <xf numFmtId="0" fontId="5" fillId="0" borderId="0" xfId="0" applyFont="1"/>
    <xf numFmtId="3" fontId="6" fillId="0" borderId="2" xfId="0" applyNumberFormat="1" applyFont="1" applyBorder="1"/>
    <xf numFmtId="3" fontId="9" fillId="0" borderId="30" xfId="0" applyNumberFormat="1" applyFont="1" applyFill="1" applyBorder="1"/>
    <xf numFmtId="3" fontId="9" fillId="0" borderId="14" xfId="0" applyNumberFormat="1" applyFont="1" applyFill="1" applyBorder="1"/>
    <xf numFmtId="164" fontId="29" fillId="0" borderId="0" xfId="1" applyNumberFormat="1" applyFont="1" applyFill="1"/>
    <xf numFmtId="0" fontId="0" fillId="0" borderId="3" xfId="0" applyFill="1" applyBorder="1" applyAlignment="1">
      <alignment horizontal="center"/>
    </xf>
    <xf numFmtId="0" fontId="4" fillId="0" borderId="0" xfId="0" applyFont="1" applyFill="1"/>
    <xf numFmtId="164" fontId="15" fillId="0" borderId="0" xfId="1" applyNumberFormat="1" applyFont="1" applyBorder="1"/>
    <xf numFmtId="164" fontId="6" fillId="0" borderId="0" xfId="0" applyNumberFormat="1" applyFont="1" applyBorder="1" applyAlignment="1">
      <alignment horizontal="center"/>
    </xf>
    <xf numFmtId="164" fontId="15" fillId="0" borderId="26" xfId="1" applyNumberFormat="1" applyFont="1" applyBorder="1"/>
    <xf numFmtId="9" fontId="6" fillId="0" borderId="26" xfId="21" applyNumberFormat="1" applyFont="1" applyBorder="1"/>
    <xf numFmtId="164" fontId="0" fillId="0" borderId="26" xfId="0" applyNumberFormat="1" applyBorder="1"/>
    <xf numFmtId="164" fontId="6" fillId="0" borderId="22" xfId="0" applyNumberFormat="1" applyFont="1" applyBorder="1" applyAlignment="1">
      <alignment horizontal="center"/>
    </xf>
    <xf numFmtId="164" fontId="15" fillId="0" borderId="27" xfId="1" applyNumberFormat="1" applyFont="1" applyBorder="1"/>
    <xf numFmtId="164" fontId="12" fillId="0" borderId="0" xfId="1" applyNumberFormat="1" applyFont="1" applyBorder="1"/>
    <xf numFmtId="0" fontId="0" fillId="0" borderId="0" xfId="0" applyFill="1" applyBorder="1"/>
    <xf numFmtId="164" fontId="0" fillId="0" borderId="0" xfId="0" applyNumberFormat="1" applyFill="1" applyBorder="1"/>
    <xf numFmtId="0" fontId="31" fillId="0" borderId="19" xfId="0" applyFont="1" applyBorder="1" applyAlignment="1">
      <alignment horizontal="center"/>
    </xf>
    <xf numFmtId="0" fontId="0" fillId="0" borderId="9" xfId="0" applyBorder="1"/>
    <xf numFmtId="0" fontId="10" fillId="0" borderId="10" xfId="0" applyFont="1" applyBorder="1" applyAlignment="1">
      <alignment horizontal="left" indent="1"/>
    </xf>
    <xf numFmtId="0" fontId="10" fillId="0" borderId="11" xfId="0" applyFont="1" applyFill="1" applyBorder="1" applyAlignment="1">
      <alignment horizontal="left" indent="1"/>
    </xf>
    <xf numFmtId="0" fontId="6" fillId="0" borderId="18" xfId="0" applyFont="1" applyBorder="1" applyAlignment="1">
      <alignment horizontal="left" indent="3"/>
    </xf>
    <xf numFmtId="0" fontId="0" fillId="0" borderId="10" xfId="0" applyBorder="1" applyAlignment="1">
      <alignment horizontal="left" indent="3"/>
    </xf>
    <xf numFmtId="0" fontId="0" fillId="0" borderId="10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6" fillId="0" borderId="18" xfId="0" applyFont="1" applyBorder="1" applyAlignment="1">
      <alignment horizontal="left" indent="2"/>
    </xf>
    <xf numFmtId="0" fontId="0" fillId="0" borderId="10" xfId="0" applyBorder="1" applyAlignment="1">
      <alignment horizontal="left" indent="2"/>
    </xf>
    <xf numFmtId="0" fontId="0" fillId="0" borderId="11" xfId="0" applyBorder="1" applyAlignment="1">
      <alignment horizontal="left" indent="2"/>
    </xf>
    <xf numFmtId="0" fontId="6" fillId="0" borderId="11" xfId="0" applyFont="1" applyBorder="1"/>
    <xf numFmtId="0" fontId="6" fillId="0" borderId="10" xfId="0" applyFont="1" applyBorder="1"/>
    <xf numFmtId="0" fontId="0" fillId="0" borderId="10" xfId="0" applyFill="1" applyBorder="1"/>
    <xf numFmtId="0" fontId="0" fillId="0" borderId="11" xfId="0" applyBorder="1"/>
    <xf numFmtId="164" fontId="0" fillId="0" borderId="25" xfId="0" applyNumberFormat="1" applyFill="1" applyBorder="1"/>
    <xf numFmtId="3" fontId="9" fillId="0" borderId="8" xfId="0" applyNumberFormat="1" applyFont="1" applyFill="1" applyBorder="1"/>
    <xf numFmtId="38" fontId="0" fillId="0" borderId="0" xfId="0" applyNumberFormat="1"/>
    <xf numFmtId="3" fontId="9" fillId="0" borderId="0" xfId="0" applyNumberFormat="1" applyFont="1" applyBorder="1"/>
    <xf numFmtId="3" fontId="9" fillId="0" borderId="1" xfId="0" applyNumberFormat="1" applyFont="1" applyBorder="1"/>
    <xf numFmtId="3" fontId="9" fillId="0" borderId="16" xfId="0" applyNumberFormat="1" applyFont="1" applyBorder="1"/>
    <xf numFmtId="3" fontId="9" fillId="0" borderId="6" xfId="0" applyNumberFormat="1" applyFont="1" applyBorder="1"/>
    <xf numFmtId="14" fontId="32" fillId="0" borderId="0" xfId="0" applyNumberFormat="1" applyFont="1" applyAlignment="1">
      <alignment horizontal="left"/>
    </xf>
    <xf numFmtId="0" fontId="0" fillId="0" borderId="0" xfId="0" applyAlignment="1"/>
    <xf numFmtId="164" fontId="6" fillId="0" borderId="0" xfId="1" applyNumberFormat="1" applyFont="1" applyFill="1"/>
    <xf numFmtId="164" fontId="6" fillId="0" borderId="0" xfId="0" applyNumberFormat="1" applyFont="1" applyFill="1"/>
    <xf numFmtId="38" fontId="9" fillId="0" borderId="4" xfId="0" applyNumberFormat="1" applyFont="1" applyBorder="1"/>
    <xf numFmtId="3" fontId="9" fillId="0" borderId="8" xfId="0" applyNumberFormat="1" applyFont="1" applyBorder="1"/>
    <xf numFmtId="3" fontId="9" fillId="0" borderId="10" xfId="0" applyNumberFormat="1" applyFont="1" applyBorder="1"/>
    <xf numFmtId="3" fontId="9" fillId="0" borderId="7" xfId="0" applyNumberFormat="1" applyFont="1" applyBorder="1"/>
    <xf numFmtId="3" fontId="9" fillId="0" borderId="17" xfId="0" applyNumberFormat="1" applyFont="1" applyBorder="1"/>
    <xf numFmtId="3" fontId="9" fillId="6" borderId="0" xfId="0" applyNumberFormat="1" applyFont="1" applyFill="1" applyBorder="1" applyAlignment="1">
      <alignment horizontal="right"/>
    </xf>
    <xf numFmtId="3" fontId="9" fillId="6" borderId="10" xfId="0" applyNumberFormat="1" applyFont="1" applyFill="1" applyBorder="1"/>
    <xf numFmtId="0" fontId="10" fillId="6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 indent="1"/>
    </xf>
    <xf numFmtId="164" fontId="9" fillId="6" borderId="8" xfId="2" applyNumberFormat="1" applyFont="1" applyFill="1" applyBorder="1"/>
    <xf numFmtId="0" fontId="10" fillId="6" borderId="10" xfId="0" applyFont="1" applyFill="1" applyBorder="1"/>
    <xf numFmtId="3" fontId="9" fillId="6" borderId="0" xfId="0" applyNumberFormat="1" applyFont="1" applyFill="1" applyBorder="1"/>
    <xf numFmtId="3" fontId="9" fillId="6" borderId="1" xfId="0" applyNumberFormat="1" applyFont="1" applyFill="1" applyBorder="1"/>
    <xf numFmtId="0" fontId="9" fillId="6" borderId="10" xfId="0" applyFont="1" applyFill="1" applyBorder="1"/>
    <xf numFmtId="0" fontId="10" fillId="6" borderId="11" xfId="0" applyFont="1" applyFill="1" applyBorder="1" applyAlignment="1">
      <alignment horizontal="left" indent="1"/>
    </xf>
    <xf numFmtId="3" fontId="9" fillId="6" borderId="7" xfId="0" applyNumberFormat="1" applyFont="1" applyFill="1" applyBorder="1"/>
    <xf numFmtId="3" fontId="9" fillId="6" borderId="11" xfId="0" applyNumberFormat="1" applyFont="1" applyFill="1" applyBorder="1"/>
    <xf numFmtId="0" fontId="6" fillId="6" borderId="11" xfId="0" applyFont="1" applyFill="1" applyBorder="1"/>
    <xf numFmtId="3" fontId="6" fillId="6" borderId="12" xfId="0" applyNumberFormat="1" applyFont="1" applyFill="1" applyBorder="1"/>
    <xf numFmtId="3" fontId="6" fillId="6" borderId="13" xfId="0" applyNumberFormat="1" applyFont="1" applyFill="1" applyBorder="1"/>
    <xf numFmtId="3" fontId="6" fillId="6" borderId="14" xfId="0" applyNumberFormat="1" applyFont="1" applyFill="1" applyBorder="1"/>
    <xf numFmtId="3" fontId="6" fillId="0" borderId="12" xfId="0" applyNumberFormat="1" applyFont="1" applyFill="1" applyBorder="1"/>
    <xf numFmtId="3" fontId="6" fillId="0" borderId="13" xfId="0" applyNumberFormat="1" applyFont="1" applyFill="1" applyBorder="1"/>
    <xf numFmtId="3" fontId="6" fillId="0" borderId="14" xfId="0" applyNumberFormat="1" applyFont="1" applyFill="1" applyBorder="1"/>
    <xf numFmtId="3" fontId="6" fillId="0" borderId="29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9" fontId="6" fillId="0" borderId="0" xfId="21" applyNumberFormat="1" applyFont="1" applyFill="1" applyBorder="1"/>
    <xf numFmtId="9" fontId="6" fillId="0" borderId="26" xfId="21" applyNumberFormat="1" applyFont="1" applyFill="1" applyBorder="1"/>
    <xf numFmtId="164" fontId="15" fillId="0" borderId="0" xfId="1" applyNumberFormat="1" applyFont="1" applyFill="1" applyBorder="1"/>
    <xf numFmtId="164" fontId="2" fillId="0" borderId="0" xfId="1" applyNumberFormat="1" applyFill="1" applyBorder="1"/>
    <xf numFmtId="164" fontId="2" fillId="0" borderId="27" xfId="1" applyNumberFormat="1" applyFill="1" applyBorder="1"/>
    <xf numFmtId="9" fontId="6" fillId="0" borderId="26" xfId="21" applyFont="1" applyFill="1" applyBorder="1"/>
    <xf numFmtId="0" fontId="0" fillId="0" borderId="27" xfId="0" applyFill="1" applyBorder="1"/>
    <xf numFmtId="0" fontId="0" fillId="0" borderId="19" xfId="0" applyFill="1" applyBorder="1"/>
    <xf numFmtId="0" fontId="0" fillId="0" borderId="21" xfId="0" applyFill="1" applyBorder="1"/>
    <xf numFmtId="0" fontId="0" fillId="0" borderId="24" xfId="0" applyFill="1" applyBorder="1"/>
    <xf numFmtId="0" fontId="33" fillId="0" borderId="21" xfId="0" applyFont="1" applyFill="1" applyBorder="1"/>
    <xf numFmtId="168" fontId="0" fillId="0" borderId="0" xfId="0" applyNumberFormat="1"/>
    <xf numFmtId="41" fontId="0" fillId="0" borderId="0" xfId="0" applyNumberFormat="1"/>
    <xf numFmtId="0" fontId="6" fillId="0" borderId="19" xfId="0" applyFont="1" applyBorder="1" applyAlignment="1">
      <alignment horizontal="center"/>
    </xf>
    <xf numFmtId="9" fontId="0" fillId="0" borderId="26" xfId="21" applyFont="1" applyBorder="1"/>
    <xf numFmtId="164" fontId="0" fillId="0" borderId="26" xfId="1" applyNumberFormat="1" applyFont="1" applyBorder="1"/>
    <xf numFmtId="3" fontId="0" fillId="0" borderId="26" xfId="0" applyNumberFormat="1" applyBorder="1"/>
    <xf numFmtId="0" fontId="0" fillId="0" borderId="20" xfId="0" applyFill="1" applyBorder="1"/>
    <xf numFmtId="0" fontId="0" fillId="0" borderId="21" xfId="0" applyBorder="1" applyAlignment="1">
      <alignment horizontal="right" indent="1"/>
    </xf>
    <xf numFmtId="164" fontId="34" fillId="0" borderId="0" xfId="1" applyNumberFormat="1" applyFont="1" applyBorder="1"/>
    <xf numFmtId="164" fontId="34" fillId="0" borderId="0" xfId="0" applyNumberFormat="1" applyFont="1" applyBorder="1"/>
    <xf numFmtId="9" fontId="0" fillId="0" borderId="0" xfId="21" applyFont="1" applyBorder="1"/>
    <xf numFmtId="164" fontId="0" fillId="0" borderId="21" xfId="1" applyNumberFormat="1" applyFont="1" applyBorder="1"/>
    <xf numFmtId="164" fontId="2" fillId="0" borderId="22" xfId="1" applyNumberFormat="1" applyFill="1" applyBorder="1"/>
    <xf numFmtId="164" fontId="9" fillId="0" borderId="0" xfId="2" applyNumberFormat="1" applyBorder="1"/>
    <xf numFmtId="164" fontId="9" fillId="0" borderId="0" xfId="2" applyNumberFormat="1" applyBorder="1" applyAlignment="1">
      <alignment horizontal="center"/>
    </xf>
    <xf numFmtId="0" fontId="6" fillId="0" borderId="21" xfId="0" applyFont="1" applyBorder="1" applyAlignment="1">
      <alignment horizontal="left"/>
    </xf>
    <xf numFmtId="9" fontId="34" fillId="0" borderId="0" xfId="21" applyFont="1" applyBorder="1"/>
    <xf numFmtId="0" fontId="0" fillId="0" borderId="21" xfId="0" applyBorder="1" applyAlignment="1">
      <alignment horizontal="right"/>
    </xf>
    <xf numFmtId="0" fontId="0" fillId="0" borderId="0" xfId="0" applyBorder="1" applyAlignment="1">
      <alignment horizontal="center"/>
    </xf>
    <xf numFmtId="164" fontId="34" fillId="0" borderId="21" xfId="1" applyNumberFormat="1" applyFont="1" applyBorder="1"/>
    <xf numFmtId="164" fontId="0" fillId="0" borderId="0" xfId="1" applyNumberFormat="1" applyFont="1" applyBorder="1"/>
    <xf numFmtId="164" fontId="28" fillId="0" borderId="0" xfId="1" applyNumberFormat="1" applyFont="1" applyBorder="1"/>
    <xf numFmtId="9" fontId="34" fillId="0" borderId="21" xfId="21" applyFont="1" applyBorder="1"/>
    <xf numFmtId="9" fontId="0" fillId="0" borderId="0" xfId="21" applyFont="1" applyBorder="1" applyAlignment="1">
      <alignment horizontal="center"/>
    </xf>
    <xf numFmtId="164" fontId="6" fillId="0" borderId="0" xfId="0" applyNumberFormat="1" applyFont="1" applyBorder="1"/>
    <xf numFmtId="164" fontId="6" fillId="0" borderId="0" xfId="1" applyNumberFormat="1" applyFont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64" fontId="28" fillId="0" borderId="0" xfId="0" applyNumberFormat="1" applyFont="1" applyBorder="1"/>
    <xf numFmtId="0" fontId="0" fillId="0" borderId="21" xfId="0" applyFill="1" applyBorder="1" applyAlignment="1">
      <alignment horizontal="right"/>
    </xf>
    <xf numFmtId="9" fontId="0" fillId="0" borderId="22" xfId="21" applyFont="1" applyBorder="1"/>
    <xf numFmtId="164" fontId="29" fillId="0" borderId="24" xfId="1" applyNumberFormat="1" applyFont="1" applyFill="1" applyBorder="1" applyAlignment="1">
      <alignment horizontal="right"/>
    </xf>
    <xf numFmtId="164" fontId="29" fillId="0" borderId="27" xfId="21" applyNumberFormat="1" applyFont="1" applyFill="1" applyBorder="1"/>
    <xf numFmtId="169" fontId="0" fillId="0" borderId="21" xfId="1" applyNumberFormat="1" applyFont="1" applyFill="1" applyBorder="1" applyAlignment="1">
      <alignment horizontal="right"/>
    </xf>
    <xf numFmtId="164" fontId="9" fillId="0" borderId="0" xfId="0" applyNumberFormat="1" applyFont="1" applyBorder="1"/>
    <xf numFmtId="0" fontId="6" fillId="0" borderId="0" xfId="0" applyFont="1" applyFill="1" applyBorder="1"/>
    <xf numFmtId="0" fontId="30" fillId="0" borderId="0" xfId="23"/>
    <xf numFmtId="0" fontId="9" fillId="0" borderId="8" xfId="22" applyFont="1" applyBorder="1"/>
    <xf numFmtId="0" fontId="9" fillId="0" borderId="0" xfId="22" applyFont="1" applyBorder="1"/>
    <xf numFmtId="0" fontId="1" fillId="0" borderId="0" xfId="22"/>
    <xf numFmtId="0" fontId="9" fillId="0" borderId="1" xfId="22" applyFont="1" applyBorder="1"/>
    <xf numFmtId="0" fontId="1" fillId="0" borderId="7" xfId="22" applyBorder="1"/>
    <xf numFmtId="0" fontId="1" fillId="0" borderId="6" xfId="22" applyBorder="1"/>
    <xf numFmtId="49" fontId="6" fillId="0" borderId="7" xfId="22" applyNumberFormat="1" applyFont="1" applyFill="1" applyBorder="1" applyAlignment="1">
      <alignment horizontal="left" vertical="center"/>
    </xf>
    <xf numFmtId="49" fontId="6" fillId="0" borderId="6" xfId="22" applyNumberFormat="1" applyFont="1" applyFill="1" applyBorder="1" applyAlignment="1">
      <alignment horizontal="left" vertical="center"/>
    </xf>
    <xf numFmtId="49" fontId="6" fillId="0" borderId="5" xfId="22" applyNumberFormat="1" applyFont="1" applyFill="1" applyBorder="1" applyAlignment="1">
      <alignment horizontal="left" vertical="center"/>
    </xf>
    <xf numFmtId="0" fontId="6" fillId="2" borderId="9" xfId="22" applyFont="1" applyFill="1" applyBorder="1"/>
    <xf numFmtId="0" fontId="6" fillId="2" borderId="15" xfId="22" applyFont="1" applyFill="1" applyBorder="1" applyAlignment="1">
      <alignment horizontal="centerContinuous"/>
    </xf>
    <xf numFmtId="0" fontId="6" fillId="2" borderId="16" xfId="22" applyFont="1" applyFill="1" applyBorder="1" applyAlignment="1">
      <alignment horizontal="centerContinuous"/>
    </xf>
    <xf numFmtId="0" fontId="6" fillId="2" borderId="17" xfId="22" applyFont="1" applyFill="1" applyBorder="1" applyAlignment="1">
      <alignment horizontal="centerContinuous"/>
    </xf>
    <xf numFmtId="0" fontId="6" fillId="2" borderId="17" xfId="22" applyFont="1" applyFill="1" applyBorder="1" applyAlignment="1">
      <alignment horizontal="center"/>
    </xf>
    <xf numFmtId="0" fontId="6" fillId="2" borderId="18" xfId="22" applyFont="1" applyFill="1" applyBorder="1" applyAlignment="1">
      <alignment horizontal="center"/>
    </xf>
    <xf numFmtId="0" fontId="6" fillId="2" borderId="10" xfId="22" applyFont="1" applyFill="1" applyBorder="1"/>
    <xf numFmtId="0" fontId="6" fillId="2" borderId="4" xfId="22" applyFont="1" applyFill="1" applyBorder="1" applyAlignment="1">
      <alignment horizontal="left"/>
    </xf>
    <xf numFmtId="10" fontId="9" fillId="0" borderId="9" xfId="22" applyNumberFormat="1" applyFont="1" applyBorder="1" applyAlignment="1"/>
    <xf numFmtId="0" fontId="6" fillId="2" borderId="8" xfId="22" applyFont="1" applyFill="1" applyBorder="1"/>
    <xf numFmtId="0" fontId="6" fillId="2" borderId="1" xfId="22" applyFont="1" applyFill="1" applyBorder="1"/>
    <xf numFmtId="38" fontId="9" fillId="0" borderId="9" xfId="22" applyNumberFormat="1" applyFont="1" applyFill="1" applyBorder="1" applyAlignment="1">
      <alignment horizontal="center"/>
    </xf>
    <xf numFmtId="166" fontId="9" fillId="0" borderId="9" xfId="22" applyNumberFormat="1" applyFont="1" applyFill="1" applyBorder="1" applyAlignment="1">
      <alignment horizontal="center"/>
    </xf>
    <xf numFmtId="14" fontId="9" fillId="0" borderId="9" xfId="22" applyNumberFormat="1" applyFont="1" applyFill="1" applyBorder="1" applyAlignment="1">
      <alignment horizontal="center"/>
    </xf>
    <xf numFmtId="38" fontId="6" fillId="0" borderId="8" xfId="22" applyNumberFormat="1" applyFont="1" applyBorder="1" applyAlignment="1">
      <alignment horizontal="centerContinuous"/>
    </xf>
    <xf numFmtId="38" fontId="1" fillId="0" borderId="1" xfId="22" applyNumberFormat="1" applyBorder="1" applyAlignment="1">
      <alignment horizontal="centerContinuous"/>
    </xf>
    <xf numFmtId="0" fontId="6" fillId="2" borderId="8" xfId="22" applyFont="1" applyFill="1" applyBorder="1" applyAlignment="1">
      <alignment horizontal="left"/>
    </xf>
    <xf numFmtId="38" fontId="9" fillId="0" borderId="10" xfId="22" applyNumberFormat="1" applyFont="1" applyFill="1" applyBorder="1" applyAlignment="1">
      <alignment horizontal="right"/>
    </xf>
    <xf numFmtId="38" fontId="9" fillId="0" borderId="10" xfId="22" applyNumberFormat="1" applyFont="1" applyFill="1" applyBorder="1" applyAlignment="1">
      <alignment horizontal="center"/>
    </xf>
    <xf numFmtId="166" fontId="9" fillId="0" borderId="10" xfId="22" applyNumberFormat="1" applyFont="1" applyFill="1" applyBorder="1" applyAlignment="1">
      <alignment horizontal="center"/>
    </xf>
    <xf numFmtId="14" fontId="9" fillId="0" borderId="10" xfId="22" applyNumberFormat="1" applyFont="1" applyFill="1" applyBorder="1" applyAlignment="1">
      <alignment horizontal="center"/>
    </xf>
    <xf numFmtId="0" fontId="6" fillId="2" borderId="11" xfId="22" applyFont="1" applyFill="1" applyBorder="1"/>
    <xf numFmtId="166" fontId="6" fillId="2" borderId="18" xfId="22" applyNumberFormat="1" applyFont="1" applyFill="1" applyBorder="1" applyAlignment="1">
      <alignment horizontal="center"/>
    </xf>
    <xf numFmtId="0" fontId="5" fillId="0" borderId="8" xfId="22" applyFont="1" applyFill="1" applyBorder="1" applyAlignment="1">
      <alignment horizontal="center"/>
    </xf>
    <xf numFmtId="0" fontId="5" fillId="0" borderId="0" xfId="22" applyFont="1" applyFill="1" applyBorder="1" applyAlignment="1">
      <alignment horizontal="center"/>
    </xf>
    <xf numFmtId="0" fontId="5" fillId="0" borderId="1" xfId="22" applyFont="1" applyFill="1" applyBorder="1" applyAlignment="1">
      <alignment horizontal="center"/>
    </xf>
    <xf numFmtId="38" fontId="9" fillId="0" borderId="10" xfId="22" applyNumberFormat="1" applyFont="1" applyBorder="1"/>
    <xf numFmtId="166" fontId="1" fillId="0" borderId="9" xfId="22" applyNumberFormat="1" applyBorder="1" applyAlignment="1">
      <alignment horizontal="center"/>
    </xf>
    <xf numFmtId="38" fontId="9" fillId="0" borderId="9" xfId="24" applyNumberFormat="1" applyFont="1" applyBorder="1" applyAlignment="1"/>
    <xf numFmtId="0" fontId="6" fillId="2" borderId="7" xfId="22" applyFont="1" applyFill="1" applyBorder="1"/>
    <xf numFmtId="0" fontId="6" fillId="2" borderId="5" xfId="22" applyFont="1" applyFill="1" applyBorder="1"/>
    <xf numFmtId="38" fontId="9" fillId="0" borderId="11" xfId="22" applyNumberFormat="1" applyFont="1" applyFill="1" applyBorder="1" applyAlignment="1">
      <alignment horizontal="center"/>
    </xf>
    <xf numFmtId="166" fontId="1" fillId="0" borderId="11" xfId="22" applyNumberFormat="1" applyBorder="1" applyAlignment="1">
      <alignment horizontal="center"/>
    </xf>
    <xf numFmtId="38" fontId="9" fillId="0" borderId="11" xfId="24" applyNumberFormat="1" applyFont="1" applyBorder="1" applyAlignment="1"/>
    <xf numFmtId="0" fontId="26" fillId="2" borderId="9" xfId="22" applyFont="1" applyFill="1" applyBorder="1" applyAlignment="1">
      <alignment horizontal="centerContinuous" vertical="center"/>
    </xf>
    <xf numFmtId="0" fontId="6" fillId="2" borderId="15" xfId="22" applyFont="1" applyFill="1" applyBorder="1" applyAlignment="1">
      <alignment horizontal="centerContinuous" vertical="center"/>
    </xf>
    <xf numFmtId="0" fontId="6" fillId="2" borderId="16" xfId="22" applyFont="1" applyFill="1" applyBorder="1" applyAlignment="1">
      <alignment horizontal="centerContinuous" vertical="center"/>
    </xf>
    <xf numFmtId="0" fontId="6" fillId="2" borderId="17" xfId="22" applyFont="1" applyFill="1" applyBorder="1" applyAlignment="1">
      <alignment horizontal="centerContinuous" vertical="center"/>
    </xf>
    <xf numFmtId="0" fontId="6" fillId="2" borderId="0" xfId="22" applyFont="1" applyFill="1" applyBorder="1" applyAlignment="1">
      <alignment horizontal="left"/>
    </xf>
    <xf numFmtId="38" fontId="6" fillId="0" borderId="11" xfId="22" applyNumberFormat="1" applyFont="1" applyFill="1" applyBorder="1" applyAlignment="1">
      <alignment horizontal="right"/>
    </xf>
    <xf numFmtId="0" fontId="6" fillId="2" borderId="11" xfId="22" applyFont="1" applyFill="1" applyBorder="1" applyAlignment="1">
      <alignment horizontal="center"/>
    </xf>
    <xf numFmtId="38" fontId="9" fillId="2" borderId="17" xfId="22" applyNumberFormat="1" applyFont="1" applyFill="1" applyBorder="1" applyAlignment="1">
      <alignment horizontal="centerContinuous"/>
    </xf>
    <xf numFmtId="38" fontId="1" fillId="0" borderId="9" xfId="22" applyNumberFormat="1" applyBorder="1"/>
    <xf numFmtId="38" fontId="9" fillId="0" borderId="9" xfId="22" applyNumberFormat="1" applyFont="1" applyBorder="1"/>
    <xf numFmtId="38" fontId="9" fillId="0" borderId="9" xfId="22" applyNumberFormat="1" applyFont="1" applyFill="1" applyBorder="1" applyAlignment="1">
      <alignment horizontal="right"/>
    </xf>
    <xf numFmtId="0" fontId="6" fillId="2" borderId="9" xfId="22" applyFont="1" applyFill="1" applyBorder="1" applyAlignment="1">
      <alignment horizontal="left"/>
    </xf>
    <xf numFmtId="38" fontId="1" fillId="0" borderId="10" xfId="22" applyNumberFormat="1" applyBorder="1"/>
    <xf numFmtId="0" fontId="6" fillId="2" borderId="10" xfId="22" applyFont="1" applyFill="1" applyBorder="1" applyAlignment="1">
      <alignment horizontal="left"/>
    </xf>
    <xf numFmtId="167" fontId="6" fillId="0" borderId="10" xfId="22" applyNumberFormat="1" applyFont="1" applyBorder="1"/>
    <xf numFmtId="0" fontId="6" fillId="2" borderId="11" xfId="22" applyFont="1" applyFill="1" applyBorder="1" applyAlignment="1">
      <alignment horizontal="left"/>
    </xf>
    <xf numFmtId="167" fontId="9" fillId="0" borderId="11" xfId="22" applyNumberFormat="1" applyFont="1" applyBorder="1"/>
    <xf numFmtId="0" fontId="1" fillId="0" borderId="4" xfId="22" applyBorder="1"/>
    <xf numFmtId="0" fontId="1" fillId="0" borderId="2" xfId="22" applyBorder="1"/>
    <xf numFmtId="38" fontId="6" fillId="0" borderId="2" xfId="22" applyNumberFormat="1" applyFont="1" applyBorder="1"/>
    <xf numFmtId="0" fontId="6" fillId="0" borderId="2" xfId="22" applyFont="1" applyBorder="1"/>
    <xf numFmtId="0" fontId="1" fillId="0" borderId="3" xfId="22" applyBorder="1"/>
    <xf numFmtId="0" fontId="9" fillId="0" borderId="9" xfId="22" applyFont="1" applyFill="1" applyBorder="1"/>
    <xf numFmtId="0" fontId="9" fillId="0" borderId="4" xfId="22" applyFont="1" applyFill="1" applyBorder="1" applyAlignment="1">
      <alignment horizontal="left"/>
    </xf>
    <xf numFmtId="0" fontId="9" fillId="0" borderId="2" xfId="22" applyFont="1" applyFill="1" applyBorder="1" applyAlignment="1">
      <alignment horizontal="left"/>
    </xf>
    <xf numFmtId="38" fontId="9" fillId="0" borderId="2" xfId="22" applyNumberFormat="1" applyFont="1" applyFill="1" applyBorder="1"/>
    <xf numFmtId="0" fontId="9" fillId="0" borderId="0" xfId="22" applyFont="1" applyFill="1" applyBorder="1" applyAlignment="1">
      <alignment horizontal="left"/>
    </xf>
    <xf numFmtId="0" fontId="9" fillId="0" borderId="1" xfId="22" applyFont="1" applyFill="1" applyBorder="1" applyAlignment="1">
      <alignment horizontal="left"/>
    </xf>
    <xf numFmtId="0" fontId="9" fillId="0" borderId="10" xfId="22" applyFont="1" applyFill="1" applyBorder="1"/>
    <xf numFmtId="0" fontId="9" fillId="0" borderId="8" xfId="22" applyFont="1" applyFill="1" applyBorder="1" applyAlignment="1">
      <alignment horizontal="left"/>
    </xf>
    <xf numFmtId="38" fontId="9" fillId="0" borderId="0" xfId="22" applyNumberFormat="1" applyFont="1" applyFill="1" applyBorder="1"/>
    <xf numFmtId="0" fontId="9" fillId="4" borderId="10" xfId="22" applyFont="1" applyFill="1" applyBorder="1"/>
    <xf numFmtId="0" fontId="9" fillId="4" borderId="8" xfId="22" applyFont="1" applyFill="1" applyBorder="1" applyAlignment="1">
      <alignment horizontal="left"/>
    </xf>
    <xf numFmtId="0" fontId="9" fillId="4" borderId="0" xfId="22" applyFont="1" applyFill="1" applyBorder="1" applyAlignment="1">
      <alignment horizontal="left"/>
    </xf>
    <xf numFmtId="38" fontId="9" fillId="4" borderId="0" xfId="22" applyNumberFormat="1" applyFont="1" applyFill="1" applyBorder="1"/>
    <xf numFmtId="38" fontId="9" fillId="4" borderId="10" xfId="22" applyNumberFormat="1" applyFont="1" applyFill="1" applyBorder="1" applyAlignment="1">
      <alignment horizontal="right"/>
    </xf>
    <xf numFmtId="0" fontId="9" fillId="4" borderId="1" xfId="22" applyFont="1" applyFill="1" applyBorder="1" applyAlignment="1">
      <alignment horizontal="left"/>
    </xf>
    <xf numFmtId="0" fontId="9" fillId="0" borderId="10" xfId="22" applyFont="1" applyBorder="1"/>
    <xf numFmtId="0" fontId="9" fillId="0" borderId="8" xfId="22" applyFont="1" applyBorder="1" applyAlignment="1">
      <alignment horizontal="left"/>
    </xf>
    <xf numFmtId="0" fontId="9" fillId="0" borderId="0" xfId="22" applyFont="1" applyBorder="1" applyAlignment="1">
      <alignment horizontal="left"/>
    </xf>
    <xf numFmtId="38" fontId="9" fillId="0" borderId="0" xfId="22" applyNumberFormat="1" applyFont="1" applyBorder="1"/>
    <xf numFmtId="0" fontId="6" fillId="2" borderId="18" xfId="22" applyFont="1" applyFill="1" applyBorder="1" applyAlignment="1">
      <alignment horizontal="right"/>
    </xf>
    <xf numFmtId="41" fontId="6" fillId="2" borderId="18" xfId="22" applyNumberFormat="1" applyFont="1" applyFill="1" applyBorder="1"/>
    <xf numFmtId="0" fontId="6" fillId="0" borderId="4" xfId="22" applyFont="1" applyFill="1" applyBorder="1" applyAlignment="1">
      <alignment horizontal="right"/>
    </xf>
    <xf numFmtId="41" fontId="6" fillId="0" borderId="2" xfId="22" applyNumberFormat="1" applyFont="1" applyFill="1" applyBorder="1"/>
    <xf numFmtId="41" fontId="6" fillId="0" borderId="3" xfId="22" applyNumberFormat="1" applyFont="1" applyFill="1" applyBorder="1"/>
    <xf numFmtId="0" fontId="9" fillId="0" borderId="11" xfId="22" applyFont="1" applyBorder="1"/>
    <xf numFmtId="0" fontId="9" fillId="0" borderId="7" xfId="22" applyFont="1" applyBorder="1" applyAlignment="1">
      <alignment horizontal="left"/>
    </xf>
    <xf numFmtId="0" fontId="9" fillId="0" borderId="6" xfId="22" applyFont="1" applyBorder="1" applyAlignment="1">
      <alignment horizontal="left"/>
    </xf>
    <xf numFmtId="38" fontId="9" fillId="0" borderId="6" xfId="22" applyNumberFormat="1" applyFont="1" applyBorder="1"/>
    <xf numFmtId="38" fontId="9" fillId="0" borderId="11" xfId="22" applyNumberFormat="1" applyFont="1" applyFill="1" applyBorder="1" applyAlignment="1">
      <alignment horizontal="right"/>
    </xf>
    <xf numFmtId="0" fontId="6" fillId="2" borderId="15" xfId="22" applyFont="1" applyFill="1" applyBorder="1" applyAlignment="1">
      <alignment horizontal="right"/>
    </xf>
    <xf numFmtId="0" fontId="6" fillId="2" borderId="16" xfId="22" applyFont="1" applyFill="1" applyBorder="1" applyAlignment="1">
      <alignment horizontal="right"/>
    </xf>
    <xf numFmtId="38" fontId="6" fillId="2" borderId="18" xfId="22" applyNumberFormat="1" applyFont="1" applyFill="1" applyBorder="1" applyAlignment="1">
      <alignment horizontal="right"/>
    </xf>
    <xf numFmtId="0" fontId="1" fillId="2" borderId="16" xfId="22" applyFill="1" applyBorder="1" applyAlignment="1">
      <alignment horizontal="center"/>
    </xf>
    <xf numFmtId="0" fontId="1" fillId="2" borderId="17" xfId="22" applyFill="1" applyBorder="1" applyAlignment="1">
      <alignment horizontal="center"/>
    </xf>
    <xf numFmtId="0" fontId="6" fillId="3" borderId="8" xfId="22" applyFont="1" applyFill="1" applyBorder="1" applyAlignment="1">
      <alignment horizontal="right"/>
    </xf>
    <xf numFmtId="0" fontId="6" fillId="3" borderId="0" xfId="22" applyFont="1" applyFill="1" applyBorder="1" applyAlignment="1">
      <alignment horizontal="right"/>
    </xf>
    <xf numFmtId="38" fontId="6" fillId="3" borderId="0" xfId="22" applyNumberFormat="1" applyFont="1" applyFill="1" applyBorder="1"/>
    <xf numFmtId="0" fontId="6" fillId="3" borderId="0" xfId="22" applyFont="1" applyFill="1" applyBorder="1" applyAlignment="1">
      <alignment horizontal="center"/>
    </xf>
    <xf numFmtId="0" fontId="1" fillId="3" borderId="0" xfId="22" applyFill="1" applyBorder="1" applyAlignment="1">
      <alignment horizontal="center"/>
    </xf>
    <xf numFmtId="0" fontId="1" fillId="3" borderId="1" xfId="22" applyFill="1" applyBorder="1" applyAlignment="1">
      <alignment horizontal="center"/>
    </xf>
    <xf numFmtId="0" fontId="9" fillId="0" borderId="9" xfId="22" applyFont="1" applyBorder="1"/>
    <xf numFmtId="0" fontId="9" fillId="0" borderId="4" xfId="22" applyFont="1" applyBorder="1" applyAlignment="1">
      <alignment horizontal="left"/>
    </xf>
    <xf numFmtId="0" fontId="9" fillId="0" borderId="2" xfId="22" applyFont="1" applyBorder="1" applyAlignment="1">
      <alignment horizontal="left"/>
    </xf>
    <xf numFmtId="38" fontId="9" fillId="0" borderId="3" xfId="22" applyNumberFormat="1" applyFont="1" applyBorder="1"/>
    <xf numFmtId="0" fontId="9" fillId="0" borderId="3" xfId="22" applyFont="1" applyFill="1" applyBorder="1" applyAlignment="1">
      <alignment horizontal="left"/>
    </xf>
    <xf numFmtId="38" fontId="9" fillId="0" borderId="1" xfId="22" applyNumberFormat="1" applyFont="1" applyBorder="1"/>
    <xf numFmtId="38" fontId="9" fillId="0" borderId="5" xfId="22" applyNumberFormat="1" applyFont="1" applyBorder="1"/>
    <xf numFmtId="0" fontId="9" fillId="0" borderId="0" xfId="23" applyFont="1"/>
    <xf numFmtId="38" fontId="9" fillId="0" borderId="2" xfId="22" applyNumberFormat="1" applyFont="1" applyBorder="1"/>
    <xf numFmtId="0" fontId="6" fillId="0" borderId="0" xfId="0" applyFont="1" applyAlignment="1">
      <alignment horizontal="center"/>
    </xf>
    <xf numFmtId="3" fontId="35" fillId="0" borderId="0" xfId="0" applyNumberFormat="1" applyFont="1" applyBorder="1"/>
    <xf numFmtId="0" fontId="0" fillId="0" borderId="0" xfId="0" applyFill="1" applyAlignment="1">
      <alignment horizontal="right"/>
    </xf>
    <xf numFmtId="0" fontId="9" fillId="4" borderId="21" xfId="0" applyFont="1" applyFill="1" applyBorder="1"/>
    <xf numFmtId="164" fontId="34" fillId="0" borderId="0" xfId="1" applyNumberFormat="1" applyFont="1"/>
    <xf numFmtId="164" fontId="0" fillId="4" borderId="0" xfId="0" applyNumberFormat="1" applyFill="1" applyBorder="1"/>
    <xf numFmtId="9" fontId="0" fillId="0" borderId="0" xfId="0" applyNumberFormat="1" applyFill="1"/>
    <xf numFmtId="1" fontId="0" fillId="0" borderId="0" xfId="0" applyNumberFormat="1"/>
    <xf numFmtId="0" fontId="0" fillId="0" borderId="0" xfId="0" applyAlignment="1">
      <alignment horizontal="right"/>
    </xf>
    <xf numFmtId="164" fontId="0" fillId="0" borderId="22" xfId="0" applyNumberFormat="1" applyFill="1" applyBorder="1"/>
    <xf numFmtId="164" fontId="0" fillId="4" borderId="27" xfId="0" applyNumberFormat="1" applyFill="1" applyBorder="1"/>
    <xf numFmtId="164" fontId="0" fillId="0" borderId="27" xfId="0" applyNumberFormat="1" applyFill="1" applyBorder="1"/>
    <xf numFmtId="3" fontId="0" fillId="0" borderId="27" xfId="0" applyNumberFormat="1" applyFill="1" applyBorder="1"/>
    <xf numFmtId="164" fontId="15" fillId="0" borderId="27" xfId="1" applyNumberFormat="1" applyFont="1" applyFill="1" applyBorder="1"/>
    <xf numFmtId="38" fontId="9" fillId="0" borderId="0" xfId="23" applyNumberFormat="1" applyFont="1"/>
    <xf numFmtId="38" fontId="30" fillId="0" borderId="0" xfId="23" applyNumberFormat="1"/>
    <xf numFmtId="164" fontId="9" fillId="0" borderId="0" xfId="1" applyNumberFormat="1" applyFont="1"/>
    <xf numFmtId="43" fontId="0" fillId="0" borderId="27" xfId="0" applyNumberFormat="1" applyFill="1" applyBorder="1"/>
    <xf numFmtId="14" fontId="38" fillId="0" borderId="0" xfId="0" applyNumberFormat="1" applyFont="1" applyAlignment="1">
      <alignment horizontal="left"/>
    </xf>
    <xf numFmtId="3" fontId="37" fillId="0" borderId="1" xfId="0" applyNumberFormat="1" applyFont="1" applyBorder="1"/>
    <xf numFmtId="17" fontId="0" fillId="0" borderId="8" xfId="0" applyNumberFormat="1" applyBorder="1" applyAlignment="1">
      <alignment horizontal="center"/>
    </xf>
    <xf numFmtId="17" fontId="0" fillId="0" borderId="1" xfId="0" applyNumberForma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6" fillId="2" borderId="15" xfId="22" applyFont="1" applyFill="1" applyBorder="1" applyAlignment="1">
      <alignment horizontal="center"/>
    </xf>
    <xf numFmtId="0" fontId="1" fillId="0" borderId="16" xfId="22" applyBorder="1" applyAlignment="1">
      <alignment horizontal="center"/>
    </xf>
    <xf numFmtId="0" fontId="1" fillId="0" borderId="17" xfId="22" applyBorder="1" applyAlignment="1">
      <alignment horizontal="center"/>
    </xf>
    <xf numFmtId="0" fontId="6" fillId="2" borderId="16" xfId="22" applyFont="1" applyFill="1" applyBorder="1" applyAlignment="1">
      <alignment horizontal="center"/>
    </xf>
    <xf numFmtId="0" fontId="6" fillId="0" borderId="16" xfId="22" applyFont="1" applyBorder="1" applyAlignment="1">
      <alignment horizontal="center"/>
    </xf>
    <xf numFmtId="0" fontId="6" fillId="0" borderId="17" xfId="22" applyFont="1" applyBorder="1" applyAlignment="1">
      <alignment horizontal="center"/>
    </xf>
    <xf numFmtId="0" fontId="25" fillId="5" borderId="0" xfId="22" applyFont="1" applyFill="1" applyBorder="1" applyAlignment="1">
      <alignment horizontal="center" vertical="center"/>
    </xf>
    <xf numFmtId="0" fontId="25" fillId="5" borderId="1" xfId="22" applyFont="1" applyFill="1" applyBorder="1" applyAlignment="1">
      <alignment horizontal="center" vertical="center"/>
    </xf>
    <xf numFmtId="0" fontId="5" fillId="0" borderId="7" xfId="22" applyFont="1" applyFill="1" applyBorder="1" applyAlignment="1">
      <alignment horizontal="center" vertical="center"/>
    </xf>
    <xf numFmtId="0" fontId="5" fillId="0" borderId="6" xfId="22" applyFont="1" applyFill="1" applyBorder="1" applyAlignment="1">
      <alignment horizontal="center" vertical="center"/>
    </xf>
    <xf numFmtId="0" fontId="5" fillId="0" borderId="5" xfId="22" applyFont="1" applyFill="1" applyBorder="1" applyAlignment="1">
      <alignment horizontal="center" vertical="center"/>
    </xf>
    <xf numFmtId="0" fontId="6" fillId="0" borderId="0" xfId="22" applyFont="1" applyBorder="1" applyAlignment="1">
      <alignment horizontal="center" vertical="center"/>
    </xf>
    <xf numFmtId="0" fontId="6" fillId="0" borderId="1" xfId="22" applyFont="1" applyBorder="1" applyAlignment="1">
      <alignment horizontal="center" vertical="center"/>
    </xf>
    <xf numFmtId="0" fontId="6" fillId="0" borderId="4" xfId="22" applyFont="1" applyFill="1" applyBorder="1" applyAlignment="1">
      <alignment vertical="top" wrapText="1"/>
    </xf>
    <xf numFmtId="0" fontId="1" fillId="0" borderId="2" xfId="22" applyBorder="1" applyAlignment="1">
      <alignment vertical="top" wrapText="1"/>
    </xf>
    <xf numFmtId="0" fontId="1" fillId="0" borderId="3" xfId="22" applyBorder="1" applyAlignment="1">
      <alignment vertical="top" wrapText="1"/>
    </xf>
    <xf numFmtId="0" fontId="1" fillId="0" borderId="8" xfId="22" applyBorder="1" applyAlignment="1">
      <alignment vertical="top" wrapText="1"/>
    </xf>
    <xf numFmtId="0" fontId="1" fillId="0" borderId="0" xfId="22" applyBorder="1" applyAlignment="1">
      <alignment vertical="top" wrapText="1"/>
    </xf>
    <xf numFmtId="0" fontId="1" fillId="0" borderId="1" xfId="22" applyBorder="1" applyAlignment="1">
      <alignment vertical="top" wrapText="1"/>
    </xf>
    <xf numFmtId="0" fontId="1" fillId="0" borderId="7" xfId="22" applyBorder="1" applyAlignment="1">
      <alignment vertical="top" wrapText="1"/>
    </xf>
    <xf numFmtId="0" fontId="1" fillId="0" borderId="6" xfId="22" applyBorder="1" applyAlignment="1">
      <alignment vertical="top" wrapText="1"/>
    </xf>
    <xf numFmtId="0" fontId="1" fillId="0" borderId="5" xfId="22" applyBorder="1" applyAlignment="1">
      <alignment vertical="top" wrapText="1"/>
    </xf>
    <xf numFmtId="0" fontId="6" fillId="0" borderId="4" xfId="22" applyFont="1" applyBorder="1" applyAlignment="1">
      <alignment vertical="top" wrapText="1"/>
    </xf>
    <xf numFmtId="0" fontId="5" fillId="0" borderId="7" xfId="22" applyFont="1" applyFill="1" applyBorder="1" applyAlignment="1">
      <alignment horizontal="center"/>
    </xf>
    <xf numFmtId="0" fontId="5" fillId="0" borderId="6" xfId="22" applyFont="1" applyFill="1" applyBorder="1" applyAlignment="1">
      <alignment horizontal="center"/>
    </xf>
    <xf numFmtId="0" fontId="5" fillId="0" borderId="5" xfId="22" applyFont="1" applyFill="1" applyBorder="1" applyAlignment="1">
      <alignment horizontal="center"/>
    </xf>
    <xf numFmtId="0" fontId="6" fillId="0" borderId="6" xfId="22" applyFont="1" applyBorder="1" applyAlignment="1" applyProtection="1">
      <alignment horizontal="center"/>
    </xf>
    <xf numFmtId="0" fontId="6" fillId="0" borderId="5" xfId="22" applyFont="1" applyBorder="1" applyAlignment="1" applyProtection="1">
      <alignment horizontal="center"/>
    </xf>
    <xf numFmtId="0" fontId="6" fillId="0" borderId="4" xfId="22" applyFont="1" applyFill="1" applyBorder="1" applyAlignment="1">
      <alignment horizontal="center" vertical="center"/>
    </xf>
    <xf numFmtId="0" fontId="6" fillId="0" borderId="3" xfId="22" applyFont="1" applyFill="1" applyBorder="1" applyAlignment="1">
      <alignment horizontal="center" vertical="center"/>
    </xf>
    <xf numFmtId="0" fontId="6" fillId="0" borderId="4" xfId="22" applyFont="1" applyBorder="1" applyAlignment="1">
      <alignment horizontal="center" vertical="center"/>
    </xf>
    <xf numFmtId="0" fontId="6" fillId="0" borderId="3" xfId="22" applyFont="1" applyBorder="1" applyAlignment="1">
      <alignment horizontal="center" vertical="center"/>
    </xf>
    <xf numFmtId="38" fontId="6" fillId="0" borderId="4" xfId="22" applyNumberFormat="1" applyFont="1" applyBorder="1" applyAlignment="1">
      <alignment vertical="top" wrapText="1"/>
    </xf>
    <xf numFmtId="0" fontId="6" fillId="0" borderId="2" xfId="22" applyFont="1" applyBorder="1" applyAlignment="1">
      <alignment vertical="top" wrapText="1"/>
    </xf>
    <xf numFmtId="0" fontId="6" fillId="0" borderId="3" xfId="22" applyFont="1" applyBorder="1" applyAlignment="1">
      <alignment vertical="top" wrapText="1"/>
    </xf>
    <xf numFmtId="0" fontId="6" fillId="0" borderId="8" xfId="22" applyFont="1" applyBorder="1" applyAlignment="1">
      <alignment vertical="top" wrapText="1"/>
    </xf>
    <xf numFmtId="0" fontId="6" fillId="0" borderId="0" xfId="22" applyFont="1" applyBorder="1" applyAlignment="1">
      <alignment vertical="top" wrapText="1"/>
    </xf>
    <xf numFmtId="0" fontId="6" fillId="0" borderId="1" xfId="22" applyFont="1" applyBorder="1" applyAlignment="1">
      <alignment vertical="top" wrapText="1"/>
    </xf>
    <xf numFmtId="0" fontId="6" fillId="0" borderId="7" xfId="22" applyFont="1" applyBorder="1" applyAlignment="1">
      <alignment vertical="top" wrapText="1"/>
    </xf>
    <xf numFmtId="0" fontId="6" fillId="0" borderId="6" xfId="22" applyFont="1" applyBorder="1" applyAlignment="1">
      <alignment vertical="top" wrapText="1"/>
    </xf>
    <xf numFmtId="0" fontId="6" fillId="0" borderId="5" xfId="22" applyFont="1" applyBorder="1" applyAlignment="1">
      <alignment vertical="top" wrapText="1"/>
    </xf>
    <xf numFmtId="0" fontId="6" fillId="0" borderId="8" xfId="22" applyFont="1" applyFill="1" applyBorder="1" applyAlignment="1">
      <alignment horizontal="center" vertical="center"/>
    </xf>
    <xf numFmtId="0" fontId="6" fillId="0" borderId="1" xfId="22" applyFont="1" applyFill="1" applyBorder="1" applyAlignment="1">
      <alignment horizontal="center" vertical="center"/>
    </xf>
    <xf numFmtId="0" fontId="6" fillId="0" borderId="8" xfId="22" applyFont="1" applyBorder="1" applyAlignment="1">
      <alignment horizontal="center" vertical="center"/>
    </xf>
    <xf numFmtId="0" fontId="6" fillId="0" borderId="7" xfId="22" applyFont="1" applyBorder="1" applyAlignment="1">
      <alignment horizontal="center" vertical="center"/>
    </xf>
    <xf numFmtId="0" fontId="6" fillId="0" borderId="5" xfId="22" applyFont="1" applyBorder="1" applyAlignment="1">
      <alignment horizontal="center" vertical="center"/>
    </xf>
    <xf numFmtId="0" fontId="3" fillId="0" borderId="4" xfId="22" applyFont="1" applyFill="1" applyBorder="1" applyAlignment="1">
      <alignment horizontal="center" vertical="center"/>
    </xf>
    <xf numFmtId="0" fontId="4" fillId="0" borderId="2" xfId="22" applyFont="1" applyBorder="1" applyAlignment="1">
      <alignment horizontal="center" vertical="center"/>
    </xf>
    <xf numFmtId="0" fontId="4" fillId="0" borderId="3" xfId="22" applyFont="1" applyBorder="1" applyAlignment="1">
      <alignment horizontal="center" vertical="center"/>
    </xf>
    <xf numFmtId="0" fontId="3" fillId="0" borderId="8" xfId="22" applyFont="1" applyFill="1" applyBorder="1" applyAlignment="1">
      <alignment horizontal="center" vertical="center"/>
    </xf>
    <xf numFmtId="0" fontId="3" fillId="0" borderId="0" xfId="22" applyFont="1" applyFill="1" applyBorder="1" applyAlignment="1">
      <alignment horizontal="center" vertical="center"/>
    </xf>
    <xf numFmtId="0" fontId="3" fillId="0" borderId="1" xfId="22" applyFont="1" applyFill="1" applyBorder="1" applyAlignment="1">
      <alignment horizontal="center" vertical="center"/>
    </xf>
    <xf numFmtId="0" fontId="6" fillId="0" borderId="0" xfId="22" applyFont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6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6" fillId="0" borderId="4" xfId="0" applyNumberFormat="1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3" fontId="9" fillId="6" borderId="1" xfId="0" applyNumberFormat="1" applyFont="1" applyFill="1" applyBorder="1" applyAlignment="1">
      <alignment horizontal="right"/>
    </xf>
    <xf numFmtId="3" fontId="9" fillId="6" borderId="8" xfId="0" applyNumberFormat="1" applyFont="1" applyFill="1" applyBorder="1"/>
  </cellXfs>
  <cellStyles count="25">
    <cellStyle name="Comma" xfId="1" builtinId="3"/>
    <cellStyle name="Comma 2" xfId="2"/>
    <cellStyle name="Comma 3" xfId="3"/>
    <cellStyle name="Comma 4" xfId="24"/>
    <cellStyle name="ContentsHyperlink" xfId="4"/>
    <cellStyle name="Normal" xfId="0" builtinId="0"/>
    <cellStyle name="Normal - Style1" xfId="5"/>
    <cellStyle name="Normal 2" xfId="6"/>
    <cellStyle name="Normal 2 2" xfId="23"/>
    <cellStyle name="Normal 24" xfId="7"/>
    <cellStyle name="Normal 25" xfId="8"/>
    <cellStyle name="Normal 3" xfId="9"/>
    <cellStyle name="Normal 31" xfId="10"/>
    <cellStyle name="Normal 32" xfId="11"/>
    <cellStyle name="Normal 34" xfId="12"/>
    <cellStyle name="Normal 35" xfId="13"/>
    <cellStyle name="Normal 38" xfId="14"/>
    <cellStyle name="Normal 39" xfId="15"/>
    <cellStyle name="Normal 4" xfId="16"/>
    <cellStyle name="Normal 5" xfId="17"/>
    <cellStyle name="Normal 6" xfId="18"/>
    <cellStyle name="Normal 7" xfId="19"/>
    <cellStyle name="Normal 8" xfId="20"/>
    <cellStyle name="Normal 9" xfId="22"/>
    <cellStyle name="Percent" xfId="21" builtinId="5"/>
  </cellStyles>
  <dxfs count="36"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0000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New%20Orleans\Davidson\Final%20Load%20Studies\Final%20Load%20Studies\2014-2015%20Load%20Studies\Tennessee%20Virginia\2014-2015%20Blacksburg,%20VA%20(LA%20stability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\Data\2016\East%20Region\Kentucky\2016-2017%20Tex%20Gas%20Zone%203%20North,%20K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OLK2D\Columbus%20RFP%20&amp;%20Load%20Study%20for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Date Range"/>
      <sheetName val="Summer Date Range"/>
      <sheetName val="Winter Date Range"/>
      <sheetName val="Design Day Wind"/>
      <sheetName val="Weather Station Information"/>
      <sheetName val="RFP Firm Daily Calculations"/>
      <sheetName val="RFP Int Sales Daily Calc"/>
      <sheetName val="For Matt's Normals file"/>
      <sheetName val="Paste Data here uncorrected"/>
      <sheetName val="Paste Data here to begin Eviews"/>
      <sheetName val="Output Summary"/>
      <sheetName val="Stability Test"/>
      <sheetName val="Eviews Results"/>
      <sheetName val="All Data"/>
      <sheetName val="Stability"/>
      <sheetName val="3 Year Minimum"/>
      <sheetName val="Design Day Forecast Calculation"/>
      <sheetName val="Forecast vs Actual Comparison"/>
      <sheetName val="Annual DTH"/>
      <sheetName val="% of Normal"/>
      <sheetName val="Actual vs Normals Comparis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C3" t="str">
            <v>BV Correctional, CO</v>
          </cell>
          <cell r="D3" t="str">
            <v>GUC</v>
          </cell>
          <cell r="E3" t="str">
            <v>GUC - Gunnison, CO</v>
          </cell>
          <cell r="F3">
            <v>0</v>
          </cell>
          <cell r="G3" t="str">
            <v>Colorado Kansas</v>
          </cell>
        </row>
        <row r="4">
          <cell r="C4" t="str">
            <v>CIG Canon City, CO</v>
          </cell>
          <cell r="D4" t="str">
            <v>PUB</v>
          </cell>
          <cell r="E4" t="str">
            <v>PUB - Pueblo, CO</v>
          </cell>
          <cell r="F4">
            <v>0</v>
          </cell>
          <cell r="G4" t="str">
            <v>Colorado Kansas</v>
          </cell>
        </row>
        <row r="5">
          <cell r="C5" t="str">
            <v>CIG Lamar, CO</v>
          </cell>
          <cell r="D5" t="str">
            <v>LAA</v>
          </cell>
          <cell r="E5" t="str">
            <v>LAA - Lamar, CO</v>
          </cell>
          <cell r="F5">
            <v>0</v>
          </cell>
          <cell r="G5" t="str">
            <v>Colorado Kansas</v>
          </cell>
        </row>
        <row r="6">
          <cell r="C6" t="str">
            <v>Craig PSCO Questar, CO</v>
          </cell>
          <cell r="D6" t="str">
            <v>CAG</v>
          </cell>
          <cell r="E6" t="str">
            <v>CAG - Craig, CO</v>
          </cell>
          <cell r="F6">
            <v>0</v>
          </cell>
          <cell r="G6" t="str">
            <v>Colorado Kansas</v>
          </cell>
        </row>
        <row r="7">
          <cell r="C7" t="str">
            <v>KMIGT, CO</v>
          </cell>
          <cell r="D7" t="str">
            <v>GXY</v>
          </cell>
          <cell r="E7" t="str">
            <v>GXY - Greely, CO</v>
          </cell>
          <cell r="F7">
            <v>0</v>
          </cell>
          <cell r="G7" t="str">
            <v>Colorado Kansas</v>
          </cell>
        </row>
        <row r="8">
          <cell r="C8" t="str">
            <v>NWPL, CO</v>
          </cell>
          <cell r="D8" t="str">
            <v>DRO</v>
          </cell>
          <cell r="E8" t="str">
            <v>DRO - Durango, CO</v>
          </cell>
          <cell r="F8">
            <v>0</v>
          </cell>
          <cell r="G8" t="str">
            <v>Colorado Kansas</v>
          </cell>
        </row>
        <row r="9">
          <cell r="C9" t="str">
            <v>PSCO Front Range, CO</v>
          </cell>
          <cell r="D9" t="str">
            <v>GXY</v>
          </cell>
          <cell r="E9" t="str">
            <v>GXY - Greely, CO</v>
          </cell>
          <cell r="F9">
            <v>0</v>
          </cell>
          <cell r="G9" t="str">
            <v>Colorado Kansas</v>
          </cell>
        </row>
        <row r="10">
          <cell r="C10" t="str">
            <v>PSCO Southern Range, CO</v>
          </cell>
          <cell r="D10" t="str">
            <v>GUC</v>
          </cell>
          <cell r="E10" t="str">
            <v>GUC - Gunnison, CO</v>
          </cell>
          <cell r="F10">
            <v>0</v>
          </cell>
          <cell r="G10" t="str">
            <v>Colorado Kansas</v>
          </cell>
        </row>
        <row r="11">
          <cell r="C11" t="str">
            <v>PSCO Western Range, CO</v>
          </cell>
          <cell r="D11" t="str">
            <v>CAG</v>
          </cell>
          <cell r="E11" t="str">
            <v>CAG - Craig, CO</v>
          </cell>
          <cell r="F11">
            <v>0</v>
          </cell>
          <cell r="G11" t="str">
            <v>Colorado Kansas</v>
          </cell>
        </row>
        <row r="12">
          <cell r="C12" t="str">
            <v>Caldwell, KS</v>
          </cell>
          <cell r="D12" t="str">
            <v>CNU</v>
          </cell>
          <cell r="E12" t="str">
            <v>CNU - Chanute, KS</v>
          </cell>
          <cell r="F12">
            <v>0</v>
          </cell>
          <cell r="G12" t="str">
            <v>Colorado Kansas</v>
          </cell>
        </row>
        <row r="13">
          <cell r="C13" t="str">
            <v>Hazelton, KS</v>
          </cell>
          <cell r="D13" t="str">
            <v>CNU</v>
          </cell>
          <cell r="E13" t="str">
            <v>CNU - Chanute, KS</v>
          </cell>
          <cell r="F13">
            <v>0</v>
          </cell>
          <cell r="G13" t="str">
            <v>Colorado Kansas</v>
          </cell>
        </row>
        <row r="14">
          <cell r="C14" t="str">
            <v>KGS Marion County, KS</v>
          </cell>
          <cell r="D14" t="str">
            <v>MHK</v>
          </cell>
          <cell r="E14" t="str">
            <v>MHK - Manhattan, KS</v>
          </cell>
          <cell r="F14">
            <v>0</v>
          </cell>
          <cell r="G14" t="str">
            <v>Colorado Kansas</v>
          </cell>
        </row>
        <row r="15">
          <cell r="C15" t="str">
            <v>KGS Seaboard Morton County, KS</v>
          </cell>
          <cell r="D15" t="str">
            <v>HYS</v>
          </cell>
          <cell r="E15" t="str">
            <v>HYS - Hayes, KS</v>
          </cell>
          <cell r="F15">
            <v>0</v>
          </cell>
          <cell r="G15" t="str">
            <v>Colorado Kansas</v>
          </cell>
        </row>
        <row r="16">
          <cell r="C16" t="str">
            <v>KMIGT, KS</v>
          </cell>
          <cell r="D16" t="str">
            <v>HYS</v>
          </cell>
          <cell r="E16" t="str">
            <v>HYS - Hayes, KS</v>
          </cell>
          <cell r="F16">
            <v>0</v>
          </cell>
          <cell r="G16" t="str">
            <v>Colorado Kansas</v>
          </cell>
        </row>
        <row r="17">
          <cell r="C17" t="str">
            <v>New Strawn, KS</v>
          </cell>
          <cell r="D17" t="str">
            <v>CNU</v>
          </cell>
          <cell r="E17" t="str">
            <v>CNU - Chanute, KS</v>
          </cell>
          <cell r="F17">
            <v>0</v>
          </cell>
          <cell r="G17" t="str">
            <v>Colorado Kansas</v>
          </cell>
        </row>
        <row r="18">
          <cell r="C18" t="str">
            <v>SS-Central Kansas, Marion County, KS</v>
          </cell>
          <cell r="D18" t="str">
            <v>MHK</v>
          </cell>
          <cell r="E18" t="str">
            <v>MHK - Manhattan, KS</v>
          </cell>
          <cell r="F18">
            <v>0</v>
          </cell>
          <cell r="G18" t="str">
            <v>Colorado Kansas</v>
          </cell>
        </row>
        <row r="19">
          <cell r="C19" t="str">
            <v>SS-Lower Central, Anthony, KS</v>
          </cell>
          <cell r="D19" t="str">
            <v>CNU</v>
          </cell>
          <cell r="E19" t="str">
            <v>CNU - Chanute, KS</v>
          </cell>
          <cell r="F19">
            <v>0</v>
          </cell>
          <cell r="G19" t="str">
            <v>Colorado Kansas</v>
          </cell>
        </row>
        <row r="20">
          <cell r="C20" t="str">
            <v>SS-Northeast, KS</v>
          </cell>
          <cell r="D20" t="str">
            <v>MCI</v>
          </cell>
          <cell r="E20" t="str">
            <v>MCI - Kansas City, MO</v>
          </cell>
          <cell r="F20">
            <v>0</v>
          </cell>
          <cell r="G20" t="str">
            <v>Colorado Kansas</v>
          </cell>
        </row>
        <row r="21">
          <cell r="C21" t="str">
            <v>SS-Southeast, KS</v>
          </cell>
          <cell r="D21" t="str">
            <v>CNU</v>
          </cell>
          <cell r="E21" t="str">
            <v>CNU - Chanute, KS</v>
          </cell>
          <cell r="F21">
            <v>0</v>
          </cell>
          <cell r="G21" t="str">
            <v>Colorado Kansas</v>
          </cell>
        </row>
        <row r="22">
          <cell r="C22" t="str">
            <v>SW Kansas Lamar Area, KS</v>
          </cell>
          <cell r="D22" t="str">
            <v>LAA</v>
          </cell>
          <cell r="E22" t="str">
            <v>LAA - Lamar, CO</v>
          </cell>
          <cell r="F22">
            <v>0</v>
          </cell>
          <cell r="G22" t="str">
            <v>Colorado Kansas</v>
          </cell>
        </row>
        <row r="23">
          <cell r="C23" t="str">
            <v>Livermore, KY</v>
          </cell>
          <cell r="D23" t="str">
            <v>EVV</v>
          </cell>
          <cell r="E23" t="str">
            <v>EVV - Evansville, KY</v>
          </cell>
          <cell r="F23">
            <v>0</v>
          </cell>
          <cell r="G23" t="str">
            <v>Kentucky Mid-States</v>
          </cell>
        </row>
        <row r="24">
          <cell r="C24" t="str">
            <v>Tex Gas Zone 2, KY</v>
          </cell>
          <cell r="D24" t="str">
            <v>PAH</v>
          </cell>
          <cell r="E24" t="str">
            <v>PAH - Paducah, KY</v>
          </cell>
          <cell r="F24">
            <v>0</v>
          </cell>
          <cell r="G24" t="str">
            <v>Kentucky Mid-States</v>
          </cell>
        </row>
        <row r="25">
          <cell r="C25" t="str">
            <v>Tex Gas Zone 3 North, KY</v>
          </cell>
          <cell r="D25" t="str">
            <v>EVV</v>
          </cell>
          <cell r="E25" t="str">
            <v>EVV - Evansville, KY</v>
          </cell>
          <cell r="F25">
            <v>0</v>
          </cell>
          <cell r="G25" t="str">
            <v>Kentucky Mid-States</v>
          </cell>
        </row>
        <row r="26">
          <cell r="C26" t="str">
            <v>Tex Gas Zone 3 South, KY</v>
          </cell>
          <cell r="D26" t="str">
            <v>BWG</v>
          </cell>
          <cell r="E26" t="str">
            <v>BWG - Bowling Green, KY</v>
          </cell>
          <cell r="F26">
            <v>0</v>
          </cell>
          <cell r="G26" t="str">
            <v>Kentucky Mid-States</v>
          </cell>
        </row>
        <row r="27">
          <cell r="C27" t="str">
            <v>Tex Gas Zone 4, KY</v>
          </cell>
          <cell r="D27" t="str">
            <v>SDF</v>
          </cell>
          <cell r="E27" t="str">
            <v>SDF - Louisville, KY</v>
          </cell>
          <cell r="F27">
            <v>0</v>
          </cell>
          <cell r="G27" t="str">
            <v>Kentucky Mid-States</v>
          </cell>
        </row>
        <row r="28">
          <cell r="C28" t="str">
            <v>Tn Gas G-2, KY</v>
          </cell>
          <cell r="D28" t="str">
            <v>LEX</v>
          </cell>
          <cell r="E28" t="str">
            <v>LEX - Lexington, KY</v>
          </cell>
          <cell r="F28">
            <v>0</v>
          </cell>
          <cell r="G28" t="str">
            <v>Kentucky Mid-States</v>
          </cell>
        </row>
        <row r="29">
          <cell r="C29" t="str">
            <v>Tn Gas GS-2, KY</v>
          </cell>
          <cell r="D29" t="str">
            <v>LEX</v>
          </cell>
          <cell r="E29" t="str">
            <v>LEX - Lexington, KY</v>
          </cell>
          <cell r="F29">
            <v>0</v>
          </cell>
          <cell r="G29" t="str">
            <v>Kentucky Mid-States</v>
          </cell>
        </row>
        <row r="30">
          <cell r="C30" t="str">
            <v>Tennessee Gas, KY</v>
          </cell>
          <cell r="D30" t="str">
            <v>LEX</v>
          </cell>
          <cell r="E30" t="str">
            <v>LEX - Lexington, KY</v>
          </cell>
          <cell r="F30">
            <v>0</v>
          </cell>
          <cell r="G30" t="str">
            <v>Kentucky Mid-States</v>
          </cell>
        </row>
        <row r="31">
          <cell r="C31" t="str">
            <v>Bowling Green, MO</v>
          </cell>
          <cell r="D31" t="str">
            <v>UIN</v>
          </cell>
          <cell r="E31" t="str">
            <v>UIN - Quincy, IL</v>
          </cell>
          <cell r="F31">
            <v>0</v>
          </cell>
          <cell r="G31" t="str">
            <v>Kentucky Mid-States</v>
          </cell>
        </row>
        <row r="32">
          <cell r="C32" t="str">
            <v>Butler, MO</v>
          </cell>
          <cell r="D32" t="str">
            <v>MCI</v>
          </cell>
          <cell r="E32" t="str">
            <v>MCI - Kansas City, MO</v>
          </cell>
          <cell r="F32">
            <v>0</v>
          </cell>
          <cell r="G32" t="str">
            <v>Kentucky Mid-States</v>
          </cell>
        </row>
        <row r="33">
          <cell r="C33" t="str">
            <v>Hannibal, MO</v>
          </cell>
          <cell r="D33" t="str">
            <v>UIN</v>
          </cell>
          <cell r="E33" t="str">
            <v>UIN - Quincy, IL</v>
          </cell>
          <cell r="F33">
            <v>0</v>
          </cell>
          <cell r="G33" t="str">
            <v>Kentucky Mid-States</v>
          </cell>
        </row>
        <row r="34">
          <cell r="C34" t="str">
            <v>Jackson, MO</v>
          </cell>
          <cell r="D34" t="str">
            <v>POF</v>
          </cell>
          <cell r="E34" t="str">
            <v>POF - Poplar Bluff, MO</v>
          </cell>
          <cell r="F34">
            <v>0</v>
          </cell>
          <cell r="G34" t="str">
            <v>Kentucky Mid-States</v>
          </cell>
        </row>
        <row r="35">
          <cell r="C35" t="str">
            <v>Kirksville, MO</v>
          </cell>
          <cell r="D35" t="str">
            <v>IRK</v>
          </cell>
          <cell r="E35" t="str">
            <v>IRK - Kirksville, MO</v>
          </cell>
          <cell r="F35">
            <v>0</v>
          </cell>
          <cell r="G35" t="str">
            <v>Kentucky Mid-States</v>
          </cell>
        </row>
        <row r="36">
          <cell r="C36" t="str">
            <v>KS-MO Stateline, MO</v>
          </cell>
          <cell r="D36" t="str">
            <v>MCI</v>
          </cell>
          <cell r="E36" t="str">
            <v>MCI - Kansas City, MO</v>
          </cell>
          <cell r="F36">
            <v>0</v>
          </cell>
          <cell r="G36" t="str">
            <v>Kentucky Mid-States</v>
          </cell>
        </row>
        <row r="37">
          <cell r="C37" t="str">
            <v>Piedmont Arcadia, MO</v>
          </cell>
          <cell r="D37" t="str">
            <v>POF</v>
          </cell>
          <cell r="E37" t="str">
            <v>POF - Poplar Bluff, MO</v>
          </cell>
          <cell r="F37">
            <v>0</v>
          </cell>
          <cell r="G37" t="str">
            <v>Kentucky Mid-States</v>
          </cell>
        </row>
        <row r="38">
          <cell r="C38" t="str">
            <v>SEMO, MO</v>
          </cell>
          <cell r="D38" t="str">
            <v>PAH</v>
          </cell>
          <cell r="E38" t="str">
            <v>PAH - Paducah, KY</v>
          </cell>
          <cell r="F38">
            <v>0</v>
          </cell>
          <cell r="G38" t="str">
            <v>Kentucky Mid-States</v>
          </cell>
        </row>
        <row r="39">
          <cell r="C39" t="str">
            <v>Tetco Neelyville, MO</v>
          </cell>
          <cell r="D39" t="str">
            <v>POF</v>
          </cell>
          <cell r="E39" t="str">
            <v>POF - Poplar Bluff, MO</v>
          </cell>
          <cell r="F39">
            <v>0</v>
          </cell>
          <cell r="G39" t="str">
            <v>Kentucky Mid-States</v>
          </cell>
        </row>
        <row r="40">
          <cell r="C40" t="str">
            <v>Amory Line w Columbus, MS</v>
          </cell>
          <cell r="D40" t="str">
            <v>GTR</v>
          </cell>
          <cell r="E40" t="str">
            <v>GTR - Columbus, MS</v>
          </cell>
          <cell r="F40">
            <v>5476</v>
          </cell>
          <cell r="G40" t="str">
            <v>Mississippi</v>
          </cell>
        </row>
        <row r="41">
          <cell r="C41" t="str">
            <v>Carthage, MS</v>
          </cell>
          <cell r="D41" t="str">
            <v>GWO</v>
          </cell>
          <cell r="E41" t="str">
            <v>GWO - Greenwood, MS</v>
          </cell>
          <cell r="F41">
            <v>200</v>
          </cell>
          <cell r="G41" t="str">
            <v>Mississippi</v>
          </cell>
        </row>
        <row r="42">
          <cell r="C42" t="str">
            <v>Crenshaw, MS</v>
          </cell>
          <cell r="D42" t="str">
            <v>MEM</v>
          </cell>
          <cell r="E42" t="str">
            <v>MEM - Memphis(Southaven), MS</v>
          </cell>
          <cell r="F42">
            <v>0</v>
          </cell>
          <cell r="G42" t="str">
            <v>Mississippi</v>
          </cell>
        </row>
        <row r="43">
          <cell r="C43" t="str">
            <v>Deer Creek, MS</v>
          </cell>
          <cell r="D43" t="str">
            <v>GWO</v>
          </cell>
          <cell r="E43" t="str">
            <v>GWO - Greenwood, MS</v>
          </cell>
          <cell r="F43">
            <v>0</v>
          </cell>
          <cell r="G43" t="str">
            <v>Mississippi</v>
          </cell>
        </row>
        <row r="44">
          <cell r="C44" t="str">
            <v>Dekalb, MS</v>
          </cell>
          <cell r="D44" t="str">
            <v>MEI</v>
          </cell>
          <cell r="E44" t="str">
            <v>MEI - Meridian, MS</v>
          </cell>
          <cell r="F44">
            <v>0</v>
          </cell>
          <cell r="G44" t="str">
            <v>Mississippi</v>
          </cell>
        </row>
        <row r="45">
          <cell r="C45" t="str">
            <v>Gville, Greenwd-Grenada, MS</v>
          </cell>
          <cell r="D45" t="str">
            <v>GWO</v>
          </cell>
          <cell r="E45" t="str">
            <v>GWO - Greenwood, MS</v>
          </cell>
          <cell r="F45">
            <v>1730</v>
          </cell>
          <cell r="G45" t="str">
            <v>Mississippi</v>
          </cell>
        </row>
        <row r="46">
          <cell r="C46" t="str">
            <v>TGP Holcomb, MS</v>
          </cell>
          <cell r="D46" t="str">
            <v>GWO</v>
          </cell>
          <cell r="E46" t="str">
            <v>GWO - Greenwood, MS</v>
          </cell>
          <cell r="F46">
            <v>0</v>
          </cell>
          <cell r="G46" t="str">
            <v>Mississippi</v>
          </cell>
        </row>
        <row r="47">
          <cell r="C47" t="str">
            <v>Jackson Area, MS</v>
          </cell>
          <cell r="D47" t="str">
            <v>JAN</v>
          </cell>
          <cell r="E47" t="str">
            <v>JAN - Jackson, MS</v>
          </cell>
          <cell r="F47">
            <v>7387</v>
          </cell>
          <cell r="G47" t="str">
            <v>Mississippi</v>
          </cell>
        </row>
        <row r="48">
          <cell r="C48" t="str">
            <v>Kosciusko Area, MS</v>
          </cell>
          <cell r="D48" t="str">
            <v>GWO</v>
          </cell>
          <cell r="E48" t="str">
            <v>GWO - Greenwood, MS</v>
          </cell>
          <cell r="F48">
            <v>350</v>
          </cell>
          <cell r="G48" t="str">
            <v>Mississippi</v>
          </cell>
        </row>
        <row r="49">
          <cell r="C49" t="str">
            <v>Kosciusko, MS</v>
          </cell>
          <cell r="D49" t="str">
            <v>GWO</v>
          </cell>
          <cell r="E49" t="str">
            <v>GWO - Greenwood, MS</v>
          </cell>
          <cell r="F49">
            <v>150</v>
          </cell>
          <cell r="G49" t="str">
            <v>Mississippi</v>
          </cell>
        </row>
        <row r="50">
          <cell r="C50" t="str">
            <v>Lucedale, MS</v>
          </cell>
          <cell r="D50" t="str">
            <v>ASD</v>
          </cell>
          <cell r="E50" t="str">
            <v>ASD - Slidell, LA</v>
          </cell>
          <cell r="F50">
            <v>0</v>
          </cell>
          <cell r="G50" t="str">
            <v>Mississippi</v>
          </cell>
        </row>
        <row r="51">
          <cell r="C51" t="str">
            <v>Macon, MS</v>
          </cell>
          <cell r="D51" t="str">
            <v>GTR</v>
          </cell>
          <cell r="E51" t="str">
            <v>GTR - Columbus, MS</v>
          </cell>
          <cell r="F51">
            <v>0</v>
          </cell>
          <cell r="G51" t="str">
            <v>Mississippi</v>
          </cell>
        </row>
        <row r="52">
          <cell r="C52" t="str">
            <v>Meridian, MS</v>
          </cell>
          <cell r="D52" t="str">
            <v>MEI</v>
          </cell>
          <cell r="E52" t="str">
            <v>MEI - Meridian, MS</v>
          </cell>
          <cell r="F52">
            <v>2074</v>
          </cell>
          <cell r="G52" t="str">
            <v>Mississippi</v>
          </cell>
        </row>
        <row r="53">
          <cell r="C53" t="str">
            <v>Natchez, MS</v>
          </cell>
          <cell r="D53" t="str">
            <v>HEZ</v>
          </cell>
          <cell r="E53" t="str">
            <v>HEZ - Natchez, MS</v>
          </cell>
          <cell r="F53">
            <v>480</v>
          </cell>
          <cell r="G53" t="str">
            <v>Mississippi</v>
          </cell>
        </row>
        <row r="54">
          <cell r="C54" t="str">
            <v>North Central Gas Dist., MS</v>
          </cell>
          <cell r="D54" t="str">
            <v>GTR</v>
          </cell>
          <cell r="E54" t="str">
            <v>GTR - Columbus, MS</v>
          </cell>
          <cell r="F54">
            <v>705</v>
          </cell>
          <cell r="G54" t="str">
            <v>Mississippi</v>
          </cell>
        </row>
        <row r="55">
          <cell r="C55" t="str">
            <v>NorthWest, MS</v>
          </cell>
          <cell r="D55" t="str">
            <v>MEM</v>
          </cell>
          <cell r="E55" t="str">
            <v>MEM - Memphis(Southaven), MS</v>
          </cell>
          <cell r="F55">
            <v>1903</v>
          </cell>
          <cell r="G55" t="str">
            <v>Mississippi</v>
          </cell>
        </row>
        <row r="56">
          <cell r="C56" t="str">
            <v>Roxie, MS</v>
          </cell>
          <cell r="D56" t="str">
            <v>HEZ</v>
          </cell>
          <cell r="E56" t="str">
            <v>HEZ - Natchez, MS</v>
          </cell>
          <cell r="F56">
            <v>0</v>
          </cell>
          <cell r="G56" t="str">
            <v>Mississippi</v>
          </cell>
        </row>
        <row r="57">
          <cell r="C57" t="str">
            <v>Starkville, MS</v>
          </cell>
          <cell r="D57" t="str">
            <v>GTR</v>
          </cell>
          <cell r="E57" t="str">
            <v>GTR - Columbus, MS</v>
          </cell>
          <cell r="F57">
            <v>970</v>
          </cell>
          <cell r="G57" t="str">
            <v>Mississippi</v>
          </cell>
        </row>
        <row r="58">
          <cell r="C58" t="str">
            <v>Tetco Excl Maben Amory, MS</v>
          </cell>
          <cell r="D58" t="str">
            <v>JAN</v>
          </cell>
          <cell r="E58" t="str">
            <v>JAN - Jackson, MS</v>
          </cell>
          <cell r="F58">
            <v>0</v>
          </cell>
          <cell r="G58" t="str">
            <v>Mississippi</v>
          </cell>
        </row>
        <row r="59">
          <cell r="C59" t="str">
            <v>U.S.N.A.S., MS</v>
          </cell>
          <cell r="D59" t="str">
            <v>MEI</v>
          </cell>
          <cell r="E59" t="str">
            <v>MEI - Meridian, MS</v>
          </cell>
          <cell r="F59">
            <v>0</v>
          </cell>
          <cell r="G59" t="str">
            <v>Mississippi</v>
          </cell>
        </row>
        <row r="60">
          <cell r="C60" t="str">
            <v>Williamsville, MS</v>
          </cell>
          <cell r="D60" t="str">
            <v>GWO</v>
          </cell>
          <cell r="E60" t="str">
            <v>GWO - Greenwood, MS</v>
          </cell>
          <cell r="F60">
            <v>0</v>
          </cell>
          <cell r="G60" t="str">
            <v>Mississippi</v>
          </cell>
        </row>
        <row r="61">
          <cell r="C61" t="str">
            <v>Blacksburg, VA</v>
          </cell>
          <cell r="D61" t="str">
            <v>BCB</v>
          </cell>
          <cell r="E61" t="str">
            <v>BCB - Blacksburg, VA</v>
          </cell>
          <cell r="F61">
            <v>0</v>
          </cell>
          <cell r="G61" t="str">
            <v>Kentucky Mid-States</v>
          </cell>
        </row>
        <row r="62">
          <cell r="C62" t="str">
            <v>Bristol Abingdon, TN VA</v>
          </cell>
          <cell r="D62" t="str">
            <v>TRI</v>
          </cell>
          <cell r="E62" t="str">
            <v>TRI - Tri-City Airport, TN</v>
          </cell>
          <cell r="F62">
            <v>0</v>
          </cell>
          <cell r="G62" t="str">
            <v>Kentucky Mid-States</v>
          </cell>
        </row>
        <row r="63">
          <cell r="C63" t="str">
            <v>Columbia Franklin Mboro, TN</v>
          </cell>
          <cell r="D63" t="str">
            <v>BNA</v>
          </cell>
          <cell r="E63" t="str">
            <v>BNA - Nashville, TN</v>
          </cell>
          <cell r="F63">
            <v>0</v>
          </cell>
          <cell r="G63" t="str">
            <v>Kentucky Mid-States</v>
          </cell>
        </row>
        <row r="64">
          <cell r="C64" t="str">
            <v>Greeneville, TN</v>
          </cell>
          <cell r="D64" t="str">
            <v>TRI</v>
          </cell>
          <cell r="E64" t="str">
            <v>TRI - Tri-City Airport, TN</v>
          </cell>
          <cell r="F64">
            <v>0</v>
          </cell>
          <cell r="G64" t="str">
            <v>Kentucky Mid-States</v>
          </cell>
        </row>
        <row r="65">
          <cell r="C65" t="str">
            <v>Johnson City, TN</v>
          </cell>
          <cell r="D65" t="str">
            <v>TRI</v>
          </cell>
          <cell r="E65" t="str">
            <v>TRI - Tri-City Airport, TN</v>
          </cell>
          <cell r="F65">
            <v>0</v>
          </cell>
          <cell r="G65" t="str">
            <v>Kentucky Mid-States</v>
          </cell>
        </row>
        <row r="66">
          <cell r="C66" t="str">
            <v>Kingsport, TN</v>
          </cell>
          <cell r="D66" t="str">
            <v>TRI</v>
          </cell>
          <cell r="E66" t="str">
            <v>TRI - Tri-City Airport, TN</v>
          </cell>
          <cell r="F66">
            <v>0</v>
          </cell>
          <cell r="G66" t="str">
            <v>Kentucky Mid-States</v>
          </cell>
        </row>
        <row r="67">
          <cell r="C67" t="str">
            <v>Marion, VA</v>
          </cell>
          <cell r="D67" t="str">
            <v>BCB</v>
          </cell>
          <cell r="E67" t="str">
            <v>BCB - Blacksburg, VA</v>
          </cell>
          <cell r="F67">
            <v>0</v>
          </cell>
          <cell r="G67" t="str">
            <v>Kentucky Mid-States</v>
          </cell>
        </row>
        <row r="68">
          <cell r="C68" t="str">
            <v>Maryville, TN</v>
          </cell>
          <cell r="D68" t="str">
            <v>TYS</v>
          </cell>
          <cell r="E68" t="str">
            <v>TYS - Knoxville (McGhee Tyson), TN</v>
          </cell>
          <cell r="F68">
            <v>0</v>
          </cell>
          <cell r="G68" t="str">
            <v>Kentucky Mid-States</v>
          </cell>
        </row>
        <row r="69">
          <cell r="C69" t="str">
            <v>Morristown, TN</v>
          </cell>
          <cell r="D69" t="str">
            <v>TRI</v>
          </cell>
          <cell r="E69" t="str">
            <v>TRI - Tri-City Airport, TN</v>
          </cell>
          <cell r="F69">
            <v>0</v>
          </cell>
          <cell r="G69" t="str">
            <v>Kentucky Mid-States</v>
          </cell>
        </row>
        <row r="70">
          <cell r="C70" t="str">
            <v>Pulaski Dublin, VA</v>
          </cell>
          <cell r="D70" t="str">
            <v>BCB</v>
          </cell>
          <cell r="E70" t="str">
            <v>BCB - Blacksburg, VA</v>
          </cell>
          <cell r="F70">
            <v>0</v>
          </cell>
          <cell r="G70" t="str">
            <v>Kentucky Mid-States</v>
          </cell>
        </row>
        <row r="71">
          <cell r="C71" t="str">
            <v>Radford, VA</v>
          </cell>
          <cell r="D71" t="str">
            <v>BCB</v>
          </cell>
          <cell r="E71" t="str">
            <v>BCB - Blacksburg, VA</v>
          </cell>
          <cell r="F71">
            <v>0</v>
          </cell>
          <cell r="G71" t="str">
            <v>Kentucky Mid-States</v>
          </cell>
        </row>
        <row r="72">
          <cell r="C72" t="str">
            <v>Shelbyville, TN</v>
          </cell>
          <cell r="D72" t="str">
            <v>BNA</v>
          </cell>
          <cell r="E72" t="str">
            <v>BNA - Nashville, TN</v>
          </cell>
          <cell r="F72">
            <v>0</v>
          </cell>
          <cell r="G72" t="str">
            <v>Kentucky Mid-States</v>
          </cell>
        </row>
        <row r="73">
          <cell r="C73" t="str">
            <v>Union City, TN</v>
          </cell>
          <cell r="D73" t="str">
            <v>DYR</v>
          </cell>
          <cell r="E73" t="str">
            <v>DYR - Dyersburg, TN</v>
          </cell>
          <cell r="F73">
            <v>0</v>
          </cell>
          <cell r="G73" t="str">
            <v>Kentucky Mid-States</v>
          </cell>
        </row>
        <row r="74">
          <cell r="C74" t="str">
            <v>Wythville, VA</v>
          </cell>
          <cell r="D74" t="str">
            <v>BCB</v>
          </cell>
          <cell r="E74" t="str">
            <v>BCB - Blacksburg, VA</v>
          </cell>
          <cell r="F74">
            <v>0</v>
          </cell>
          <cell r="G74" t="str">
            <v>Kentucky Mid-States</v>
          </cell>
        </row>
        <row r="75">
          <cell r="C75" t="str">
            <v>LGS-Acadian</v>
          </cell>
          <cell r="D75" t="str">
            <v>MSY</v>
          </cell>
          <cell r="E75" t="str">
            <v>MSY - New Orleans, LA</v>
          </cell>
          <cell r="F75">
            <v>0</v>
          </cell>
          <cell r="G75" t="str">
            <v>Louisiana</v>
          </cell>
        </row>
        <row r="76">
          <cell r="C76" t="str">
            <v>LGS-American Midstream-Ferriday</v>
          </cell>
          <cell r="D76" t="str">
            <v>HEZ</v>
          </cell>
          <cell r="E76" t="str">
            <v>HEZ - Natchez, MS</v>
          </cell>
          <cell r="F76">
            <v>0</v>
          </cell>
          <cell r="G76" t="str">
            <v>Louisiana</v>
          </cell>
        </row>
        <row r="77">
          <cell r="C77" t="str">
            <v>LGS-American Midstream-NonFerriday</v>
          </cell>
          <cell r="D77" t="str">
            <v>AEX</v>
          </cell>
          <cell r="E77" t="str">
            <v>AEX - Pineville, LA</v>
          </cell>
          <cell r="F77">
            <v>0</v>
          </cell>
          <cell r="G77" t="str">
            <v>Louisiana</v>
          </cell>
        </row>
        <row r="78">
          <cell r="C78" t="str">
            <v>LGS-GulfSouth Area 1</v>
          </cell>
          <cell r="D78" t="str">
            <v>ASD</v>
          </cell>
          <cell r="E78" t="str">
            <v>ASD - Slidell, LA</v>
          </cell>
          <cell r="F78">
            <v>0</v>
          </cell>
          <cell r="G78" t="str">
            <v>Louisiana</v>
          </cell>
        </row>
        <row r="79">
          <cell r="C79" t="str">
            <v>LGS-GulfSouth Area 2</v>
          </cell>
          <cell r="D79" t="str">
            <v>ASD</v>
          </cell>
          <cell r="E79" t="str">
            <v>ASD - Slidell, LA</v>
          </cell>
          <cell r="F79">
            <v>0</v>
          </cell>
          <cell r="G79" t="str">
            <v>Louisiana</v>
          </cell>
        </row>
        <row r="80">
          <cell r="C80" t="str">
            <v>LGS-GulfSouth Area 3</v>
          </cell>
          <cell r="D80" t="str">
            <v>MSY</v>
          </cell>
          <cell r="E80" t="str">
            <v>MSY - New Orleans, LA</v>
          </cell>
          <cell r="F80">
            <v>0</v>
          </cell>
          <cell r="G80" t="str">
            <v>Louisiana</v>
          </cell>
        </row>
        <row r="81">
          <cell r="C81" t="str">
            <v>LGS-GulfSouth Area 4</v>
          </cell>
          <cell r="D81" t="str">
            <v>ASD</v>
          </cell>
          <cell r="E81" t="str">
            <v>ASD - Slidell, LA</v>
          </cell>
          <cell r="F81">
            <v>0</v>
          </cell>
          <cell r="G81" t="str">
            <v>Louisiana</v>
          </cell>
        </row>
        <row r="82">
          <cell r="C82" t="str">
            <v>LGS-GulfSouth Area 7</v>
          </cell>
          <cell r="D82" t="str">
            <v>MLU</v>
          </cell>
          <cell r="E82" t="str">
            <v>MLU - Monroe, LA</v>
          </cell>
          <cell r="F82">
            <v>0</v>
          </cell>
          <cell r="G82" t="str">
            <v>Louisiana</v>
          </cell>
        </row>
        <row r="83">
          <cell r="C83" t="str">
            <v>LGS-Monroe</v>
          </cell>
          <cell r="D83" t="str">
            <v>MLU</v>
          </cell>
          <cell r="E83" t="str">
            <v>MLU - Monroe, LA</v>
          </cell>
          <cell r="F83">
            <v>0</v>
          </cell>
          <cell r="G83" t="str">
            <v>Louisiana</v>
          </cell>
        </row>
        <row r="84">
          <cell r="C84" t="str">
            <v>LGS-SONAT</v>
          </cell>
          <cell r="D84" t="str">
            <v>MSY</v>
          </cell>
          <cell r="E84" t="str">
            <v>MSY - New Orleans, LA</v>
          </cell>
          <cell r="F84">
            <v>0</v>
          </cell>
          <cell r="G84" t="str">
            <v>Louisiana</v>
          </cell>
        </row>
        <row r="85">
          <cell r="C85" t="str">
            <v>LGS-Tennessee</v>
          </cell>
          <cell r="D85" t="str">
            <v>MLU</v>
          </cell>
          <cell r="E85" t="str">
            <v>MLU - Monroe, LA</v>
          </cell>
          <cell r="F85">
            <v>0</v>
          </cell>
          <cell r="G85" t="str">
            <v>Louisiana</v>
          </cell>
        </row>
        <row r="86">
          <cell r="C86" t="str">
            <v>LGS-Texas Gas</v>
          </cell>
          <cell r="D86" t="str">
            <v>MLU</v>
          </cell>
          <cell r="E86" t="str">
            <v>MLU - Monroe, LA</v>
          </cell>
          <cell r="F86">
            <v>0</v>
          </cell>
          <cell r="G86" t="str">
            <v>Louisiana</v>
          </cell>
        </row>
        <row r="87">
          <cell r="C87" t="str">
            <v>LGS-TLGP</v>
          </cell>
          <cell r="D87" t="str">
            <v>MSY</v>
          </cell>
          <cell r="E87" t="str">
            <v>MSY - New Orleans, LA</v>
          </cell>
          <cell r="F87">
            <v>0</v>
          </cell>
          <cell r="G87" t="str">
            <v>Louisiana</v>
          </cell>
        </row>
        <row r="88">
          <cell r="C88" t="str">
            <v>LGS-Trunkline</v>
          </cell>
          <cell r="D88" t="str">
            <v>MLU</v>
          </cell>
          <cell r="E88" t="str">
            <v>MLU - Monroe, LA</v>
          </cell>
          <cell r="F88">
            <v>0</v>
          </cell>
          <cell r="G88" t="str">
            <v>Louisiana</v>
          </cell>
        </row>
        <row r="89">
          <cell r="C89" t="str">
            <v>TransLA-Acadian</v>
          </cell>
          <cell r="D89" t="str">
            <v>MSY</v>
          </cell>
          <cell r="E89" t="str">
            <v>MSY - New Orleans, LA</v>
          </cell>
          <cell r="F89">
            <v>0</v>
          </cell>
          <cell r="G89" t="str">
            <v>Louisiana</v>
          </cell>
        </row>
        <row r="90">
          <cell r="C90" t="str">
            <v>TransLA-CrossTex</v>
          </cell>
          <cell r="D90" t="str">
            <v>LFT</v>
          </cell>
          <cell r="E90" t="str">
            <v>LFT - Lafayette, LA</v>
          </cell>
          <cell r="F90">
            <v>0</v>
          </cell>
          <cell r="G90" t="str">
            <v>Louisiana</v>
          </cell>
        </row>
        <row r="91">
          <cell r="C91" t="str">
            <v>TransLA-American Midstream</v>
          </cell>
          <cell r="D91" t="str">
            <v>AEX</v>
          </cell>
          <cell r="E91" t="str">
            <v>AEX - Pineville, LA</v>
          </cell>
          <cell r="F91">
            <v>0</v>
          </cell>
          <cell r="G91" t="str">
            <v>Louisiana</v>
          </cell>
        </row>
        <row r="92">
          <cell r="C92" t="str">
            <v>TransLA-GulfSouth-noMany</v>
          </cell>
          <cell r="D92" t="str">
            <v>LFT</v>
          </cell>
          <cell r="E92" t="str">
            <v>LFT - Lafayette, LA</v>
          </cell>
          <cell r="F92">
            <v>0</v>
          </cell>
          <cell r="G92" t="str">
            <v>Louisiana</v>
          </cell>
        </row>
        <row r="93">
          <cell r="C93" t="str">
            <v>TransLA-GulfSouth-Sabine</v>
          </cell>
          <cell r="D93" t="str">
            <v>POE</v>
          </cell>
          <cell r="E93" t="str">
            <v>POE - Natchitoches, LA</v>
          </cell>
          <cell r="F93">
            <v>0</v>
          </cell>
          <cell r="G93" t="str">
            <v>Louisiana</v>
          </cell>
        </row>
        <row r="94">
          <cell r="C94" t="str">
            <v>TransLA-SONAT</v>
          </cell>
          <cell r="D94" t="str">
            <v>LFT</v>
          </cell>
          <cell r="E94" t="str">
            <v>LFT - Lafayette, LA</v>
          </cell>
          <cell r="F94">
            <v>0</v>
          </cell>
          <cell r="G94" t="str">
            <v>Louisiana</v>
          </cell>
        </row>
        <row r="95">
          <cell r="C95" t="str">
            <v>TransLA-Tennessee-ZoneL</v>
          </cell>
          <cell r="D95" t="str">
            <v>AEX</v>
          </cell>
          <cell r="E95" t="str">
            <v>AEX - Pineville, LA</v>
          </cell>
          <cell r="F95">
            <v>0</v>
          </cell>
          <cell r="G95" t="str">
            <v>Louisiana</v>
          </cell>
        </row>
        <row r="96">
          <cell r="C96" t="str">
            <v>TransLA-Tennessee-ZoneO</v>
          </cell>
          <cell r="D96" t="str">
            <v>POE</v>
          </cell>
          <cell r="E96" t="str">
            <v>POE - Natchitoches, LA</v>
          </cell>
          <cell r="F96">
            <v>0</v>
          </cell>
          <cell r="G96" t="str">
            <v>Louisiana</v>
          </cell>
        </row>
        <row r="97">
          <cell r="C97" t="str">
            <v>TransLA-TexasGas</v>
          </cell>
          <cell r="D97" t="str">
            <v>MSY</v>
          </cell>
          <cell r="E97" t="str">
            <v>MSY - New Orleans, LA</v>
          </cell>
          <cell r="F97">
            <v>0</v>
          </cell>
          <cell r="G97" t="str">
            <v>Louisiana</v>
          </cell>
        </row>
        <row r="98">
          <cell r="C98" t="str">
            <v>Mid-Tex</v>
          </cell>
          <cell r="D98" t="str">
            <v>DFW</v>
          </cell>
          <cell r="E98" t="str">
            <v>DFW - Dallas, TX</v>
          </cell>
          <cell r="F98">
            <v>0</v>
          </cell>
          <cell r="G98" t="str">
            <v>Mid-Tex</v>
          </cell>
        </row>
        <row r="99">
          <cell r="C99" t="str">
            <v>Amarillo - Excl Sales, TX</v>
          </cell>
          <cell r="D99" t="str">
            <v>AMA</v>
          </cell>
          <cell r="E99" t="str">
            <v>AMA - Amarillo, TX</v>
          </cell>
          <cell r="F99">
            <v>0</v>
          </cell>
          <cell r="G99" t="str">
            <v>West Texas</v>
          </cell>
        </row>
        <row r="100">
          <cell r="C100" t="str">
            <v>Amarillo - Incl Sales, TX</v>
          </cell>
          <cell r="D100" t="str">
            <v>AMA</v>
          </cell>
          <cell r="E100" t="str">
            <v>AMA - Amarillo, TX</v>
          </cell>
          <cell r="F100">
            <v>0</v>
          </cell>
          <cell r="G100" t="str">
            <v>West Texas</v>
          </cell>
        </row>
        <row r="101">
          <cell r="C101" t="str">
            <v>City of Odessa, TX</v>
          </cell>
          <cell r="D101" t="str">
            <v>MAF</v>
          </cell>
          <cell r="E101" t="str">
            <v>MAF - Midland, TX</v>
          </cell>
          <cell r="F101">
            <v>0</v>
          </cell>
          <cell r="G101" t="str">
            <v>West Texas</v>
          </cell>
        </row>
        <row r="102">
          <cell r="C102" t="str">
            <v>El Paso Non Tri Non Bushland, TX</v>
          </cell>
          <cell r="D102" t="str">
            <v>LBB</v>
          </cell>
          <cell r="E102" t="str">
            <v>LBB - Lubbock, TX</v>
          </cell>
          <cell r="F102">
            <v>0</v>
          </cell>
          <cell r="G102" t="str">
            <v>West Texas</v>
          </cell>
        </row>
        <row r="103">
          <cell r="C103" t="str">
            <v>Lubbock - Excl Sales, TX</v>
          </cell>
          <cell r="D103" t="str">
            <v>LBB</v>
          </cell>
          <cell r="E103" t="str">
            <v>LBB - Lubbock, TX</v>
          </cell>
          <cell r="F103">
            <v>0</v>
          </cell>
          <cell r="G103" t="str">
            <v>West Texas</v>
          </cell>
        </row>
        <row r="104">
          <cell r="C104" t="str">
            <v>Lubbock - Incl Sales, TX</v>
          </cell>
          <cell r="D104" t="str">
            <v>LBB</v>
          </cell>
          <cell r="E104" t="str">
            <v>LBB - Lubbock, TX</v>
          </cell>
          <cell r="F104">
            <v>0</v>
          </cell>
          <cell r="G104" t="str">
            <v>West Texas</v>
          </cell>
        </row>
        <row r="105">
          <cell r="C105" t="str">
            <v>Midland, TX</v>
          </cell>
          <cell r="D105" t="str">
            <v>MAF</v>
          </cell>
          <cell r="E105" t="str">
            <v>MAF - Midland, TX</v>
          </cell>
          <cell r="F105">
            <v>0</v>
          </cell>
          <cell r="G105" t="str">
            <v>West Texas</v>
          </cell>
        </row>
        <row r="106">
          <cell r="C106" t="str">
            <v>Northern Natural, TX</v>
          </cell>
          <cell r="D106" t="str">
            <v>LBB</v>
          </cell>
          <cell r="E106" t="str">
            <v>LBB - Lubbock, TX</v>
          </cell>
          <cell r="F106">
            <v>0</v>
          </cell>
          <cell r="G106" t="str">
            <v>West Texas</v>
          </cell>
        </row>
        <row r="107">
          <cell r="C107" t="str">
            <v>NT Amarillo, TX</v>
          </cell>
          <cell r="D107" t="str">
            <v>AMA</v>
          </cell>
          <cell r="E107" t="str">
            <v>AMA - Amarillo, TX</v>
          </cell>
          <cell r="F107">
            <v>0</v>
          </cell>
          <cell r="G107" t="str">
            <v>West Texas</v>
          </cell>
        </row>
        <row r="108">
          <cell r="C108" t="str">
            <v>NT Lubbock, TX</v>
          </cell>
          <cell r="D108" t="str">
            <v>LBB</v>
          </cell>
          <cell r="E108" t="str">
            <v>LBB - Lubbock, TX</v>
          </cell>
          <cell r="F108">
            <v>0</v>
          </cell>
          <cell r="G108" t="str">
            <v>West Texas</v>
          </cell>
        </row>
        <row r="109">
          <cell r="C109" t="str">
            <v>NT Midland, TX</v>
          </cell>
          <cell r="D109" t="str">
            <v>MAF</v>
          </cell>
          <cell r="E109" t="str">
            <v>MAF - Midland, TX</v>
          </cell>
          <cell r="F109">
            <v>0</v>
          </cell>
          <cell r="G109" t="str">
            <v>West Texas</v>
          </cell>
        </row>
        <row r="110">
          <cell r="C110" t="str">
            <v>Triangle - Excl Sales, TX</v>
          </cell>
          <cell r="D110" t="str">
            <v>LBB</v>
          </cell>
          <cell r="E110" t="str">
            <v>LBB - Lubbock, TX</v>
          </cell>
          <cell r="F110">
            <v>0</v>
          </cell>
          <cell r="G110" t="str">
            <v>West Texas</v>
          </cell>
        </row>
        <row r="111">
          <cell r="C111" t="str">
            <v>Triangle - Incl Sales, TX</v>
          </cell>
          <cell r="D111" t="str">
            <v>LBB</v>
          </cell>
          <cell r="E111" t="str">
            <v>LBB - Lubbock, TX</v>
          </cell>
          <cell r="F111">
            <v>0</v>
          </cell>
          <cell r="G111" t="str">
            <v>West Texas</v>
          </cell>
        </row>
      </sheetData>
      <sheetData sheetId="5"/>
      <sheetData sheetId="6"/>
      <sheetData sheetId="7" refreshError="1"/>
      <sheetData sheetId="8" refreshError="1"/>
      <sheetData sheetId="9"/>
      <sheetData sheetId="10">
        <row r="3">
          <cell r="AG3" t="str">
            <v>ANR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Date Range"/>
      <sheetName val="Summer Date Range"/>
      <sheetName val="Winter Date Range"/>
      <sheetName val="Design Day Wind"/>
      <sheetName val="Weather Station Information"/>
      <sheetName val="1N30 Weather Information"/>
      <sheetName val="RFP Firm Daily Calculations"/>
      <sheetName val="RFP Int Sales Daily Calc"/>
      <sheetName val="For Matt's Normals file"/>
      <sheetName val="Paste Data here uncorrected"/>
      <sheetName val="Paste Data here to begin Eviews"/>
      <sheetName val="Output Summary"/>
      <sheetName val="Design Day Forecast Calculation"/>
      <sheetName val="Design Day Forecast No HDDX"/>
      <sheetName val="Stability Test"/>
      <sheetName val="Stability Test No HDDX"/>
      <sheetName val="HDDX Selection"/>
      <sheetName val="HDDX Script"/>
      <sheetName val="Eviews Results"/>
      <sheetName val="All Data"/>
      <sheetName val="Stability"/>
      <sheetName val="3 Year Minimum"/>
      <sheetName val="STF Website Regressions Winter"/>
      <sheetName val="STF Website Regressions Summer"/>
      <sheetName val="Forecast vs Actual Comparison"/>
      <sheetName val="Coldest 100 Day Check"/>
      <sheetName val="Annual DTH"/>
      <sheetName val="% of Normal"/>
      <sheetName val="Actual vs Normals Compari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  <sheetData sheetId="10"/>
      <sheetData sheetId="11">
        <row r="3">
          <cell r="AG3" t="str">
            <v>ANR</v>
          </cell>
        </row>
        <row r="4">
          <cell r="AG4" t="str">
            <v>Atmos</v>
          </cell>
        </row>
        <row r="5">
          <cell r="AG5" t="str">
            <v>Centerpoint</v>
          </cell>
        </row>
        <row r="6">
          <cell r="AG6" t="str">
            <v>CIG</v>
          </cell>
        </row>
        <row r="7">
          <cell r="AG7" t="str">
            <v>Col Gulf</v>
          </cell>
        </row>
        <row r="8">
          <cell r="AG8" t="str">
            <v>Crosstex Louisiana</v>
          </cell>
        </row>
        <row r="9">
          <cell r="AG9" t="str">
            <v>East Tenn</v>
          </cell>
        </row>
        <row r="10">
          <cell r="AG10" t="str">
            <v>Enbridge(KPC)</v>
          </cell>
        </row>
        <row r="11">
          <cell r="AG11" t="str">
            <v>Enbridge(MidLA)</v>
          </cell>
        </row>
        <row r="12">
          <cell r="AG12" t="str">
            <v>Gulf South</v>
          </cell>
        </row>
        <row r="13">
          <cell r="AG13" t="str">
            <v>KGS</v>
          </cell>
        </row>
        <row r="14">
          <cell r="AG14" t="str">
            <v>Kinder Morgan</v>
          </cell>
        </row>
        <row r="15">
          <cell r="AG15" t="str">
            <v>MRT</v>
          </cell>
        </row>
        <row r="16">
          <cell r="AG16" t="str">
            <v>NGPL</v>
          </cell>
        </row>
        <row r="17">
          <cell r="AG17" t="str">
            <v>NWPL</v>
          </cell>
        </row>
        <row r="18">
          <cell r="AG18" t="str">
            <v>OneOk</v>
          </cell>
        </row>
        <row r="19">
          <cell r="AG19" t="str">
            <v>Other</v>
          </cell>
        </row>
        <row r="20">
          <cell r="AG20" t="str">
            <v>Ozark</v>
          </cell>
        </row>
        <row r="21">
          <cell r="AG21" t="str">
            <v>PEPL</v>
          </cell>
        </row>
        <row r="22">
          <cell r="AG22" t="str">
            <v>PSCO</v>
          </cell>
        </row>
        <row r="23">
          <cell r="AG23" t="str">
            <v>Sonat</v>
          </cell>
        </row>
        <row r="24">
          <cell r="AG24" t="str">
            <v>Southern Star</v>
          </cell>
        </row>
        <row r="25">
          <cell r="AG25" t="str">
            <v>Tenn Gas</v>
          </cell>
        </row>
        <row r="26">
          <cell r="AG26" t="str">
            <v>Tetco</v>
          </cell>
        </row>
        <row r="27">
          <cell r="AG27" t="str">
            <v>Texas Gas</v>
          </cell>
        </row>
        <row r="28">
          <cell r="AG28" t="str">
            <v>TLGP</v>
          </cell>
        </row>
        <row r="29">
          <cell r="AG29" t="str">
            <v>Transco</v>
          </cell>
        </row>
        <row r="30">
          <cell r="AG30" t="str">
            <v>Trunkline</v>
          </cell>
        </row>
        <row r="31">
          <cell r="AG31" t="str">
            <v>VA Gas</v>
          </cell>
        </row>
      </sheetData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up Banner History"/>
      <sheetName val="NOTES"/>
      <sheetName val="Interruptible Sales Summary"/>
      <sheetName val="Interruptible Transport Summary"/>
      <sheetName val="Firm Transport Summary"/>
      <sheetName val="EFM Daily Reads"/>
      <sheetName val="School Transport History"/>
      <sheetName val="Database Volumes"/>
      <sheetName val="Weather Database"/>
      <sheetName val="RFP Pivot Data"/>
      <sheetName val="RFP Calculation"/>
      <sheetName val="Georgia Master"/>
      <sheetName val="Load Study Master"/>
      <sheetName val="Design Day Master"/>
      <sheetName val="Reserve Margin"/>
      <sheetName val="Design Day Forecast"/>
      <sheetName val="Polynomial"/>
      <sheetName val="FT Benning Me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5">
          <cell r="B5" t="str">
            <v>Month</v>
          </cell>
          <cell r="C5" t="str">
            <v>Week</v>
          </cell>
          <cell r="D5" t="str">
            <v>Date</v>
          </cell>
          <cell r="E5" t="str">
            <v>HDD</v>
          </cell>
          <cell r="F5" t="str">
            <v>EDD</v>
          </cell>
          <cell r="G5" t="str">
            <v>DTH</v>
          </cell>
          <cell r="H5" t="str">
            <v>BTU Factor</v>
          </cell>
          <cell r="I5" t="str">
            <v>MCF</v>
          </cell>
        </row>
        <row r="6">
          <cell r="B6">
            <v>37561</v>
          </cell>
          <cell r="C6" t="str">
            <v>Fri</v>
          </cell>
          <cell r="D6">
            <v>37561.416666666664</v>
          </cell>
          <cell r="E6">
            <v>11</v>
          </cell>
          <cell r="F6">
            <v>12</v>
          </cell>
          <cell r="G6">
            <v>19572</v>
          </cell>
          <cell r="H6">
            <v>1.02525</v>
          </cell>
          <cell r="I6">
            <v>19090</v>
          </cell>
        </row>
        <row r="7">
          <cell r="B7">
            <v>37561</v>
          </cell>
          <cell r="C7" t="str">
            <v>Sat</v>
          </cell>
          <cell r="D7">
            <v>37562.416666666664</v>
          </cell>
          <cell r="E7">
            <v>10</v>
          </cell>
          <cell r="F7">
            <v>10</v>
          </cell>
          <cell r="G7">
            <v>17861</v>
          </cell>
          <cell r="H7">
            <v>1.0237499999999999</v>
          </cell>
          <cell r="I7">
            <v>17447</v>
          </cell>
        </row>
        <row r="8">
          <cell r="B8">
            <v>37561</v>
          </cell>
          <cell r="C8" t="str">
            <v>Sun</v>
          </cell>
          <cell r="D8">
            <v>37563.416666666664</v>
          </cell>
          <cell r="E8">
            <v>9</v>
          </cell>
          <cell r="F8">
            <v>9</v>
          </cell>
          <cell r="G8">
            <v>18834</v>
          </cell>
          <cell r="H8">
            <v>1.02475</v>
          </cell>
          <cell r="I8">
            <v>18379</v>
          </cell>
        </row>
        <row r="9">
          <cell r="B9">
            <v>37561</v>
          </cell>
          <cell r="C9" t="str">
            <v>Mon</v>
          </cell>
          <cell r="D9">
            <v>37564.416666666664</v>
          </cell>
          <cell r="E9">
            <v>7</v>
          </cell>
          <cell r="F9">
            <v>8</v>
          </cell>
          <cell r="G9">
            <v>20103</v>
          </cell>
          <cell r="H9">
            <v>1.0249999999999999</v>
          </cell>
          <cell r="I9">
            <v>19613</v>
          </cell>
        </row>
        <row r="10">
          <cell r="B10">
            <v>37561</v>
          </cell>
          <cell r="C10" t="str">
            <v>Tue</v>
          </cell>
          <cell r="D10">
            <v>37565.416666666664</v>
          </cell>
          <cell r="E10">
            <v>1</v>
          </cell>
          <cell r="F10">
            <v>1</v>
          </cell>
          <cell r="G10">
            <v>17493</v>
          </cell>
          <cell r="H10">
            <v>1.0255000000000001</v>
          </cell>
          <cell r="I10">
            <v>17058</v>
          </cell>
        </row>
        <row r="11">
          <cell r="B11">
            <v>37561</v>
          </cell>
          <cell r="C11" t="str">
            <v>Wed</v>
          </cell>
          <cell r="D11">
            <v>37566.416666666664</v>
          </cell>
          <cell r="E11">
            <v>14</v>
          </cell>
          <cell r="F11">
            <v>15</v>
          </cell>
          <cell r="G11">
            <v>24947</v>
          </cell>
          <cell r="H11">
            <v>1.0249999999999999</v>
          </cell>
          <cell r="I11">
            <v>24339</v>
          </cell>
        </row>
        <row r="12">
          <cell r="B12">
            <v>37561</v>
          </cell>
          <cell r="C12" t="str">
            <v>Thu</v>
          </cell>
          <cell r="D12">
            <v>37567.416666666664</v>
          </cell>
          <cell r="E12">
            <v>14</v>
          </cell>
          <cell r="F12">
            <v>14</v>
          </cell>
          <cell r="G12">
            <v>26610</v>
          </cell>
          <cell r="H12">
            <v>1.024</v>
          </cell>
          <cell r="I12">
            <v>25986</v>
          </cell>
        </row>
        <row r="13">
          <cell r="B13">
            <v>37561</v>
          </cell>
          <cell r="C13" t="str">
            <v>Fri</v>
          </cell>
          <cell r="D13">
            <v>37568.416666666664</v>
          </cell>
          <cell r="E13">
            <v>9</v>
          </cell>
          <cell r="F13">
            <v>9</v>
          </cell>
          <cell r="G13">
            <v>21585</v>
          </cell>
          <cell r="H13">
            <v>1.0249999999999999</v>
          </cell>
          <cell r="I13">
            <v>21059</v>
          </cell>
        </row>
        <row r="14">
          <cell r="B14">
            <v>37561</v>
          </cell>
          <cell r="C14" t="str">
            <v>Sat</v>
          </cell>
          <cell r="D14">
            <v>37569.416666666664</v>
          </cell>
          <cell r="E14">
            <v>0</v>
          </cell>
          <cell r="F14">
            <v>0</v>
          </cell>
          <cell r="G14">
            <v>12157</v>
          </cell>
          <cell r="H14">
            <v>1.0269999999999999</v>
          </cell>
          <cell r="I14">
            <v>11837</v>
          </cell>
        </row>
        <row r="15">
          <cell r="B15">
            <v>37561</v>
          </cell>
          <cell r="C15" t="str">
            <v>Sun</v>
          </cell>
          <cell r="D15">
            <v>37570.416666666664</v>
          </cell>
          <cell r="E15">
            <v>0</v>
          </cell>
          <cell r="F15">
            <v>0</v>
          </cell>
          <cell r="G15">
            <v>11418</v>
          </cell>
          <cell r="H15">
            <v>1.02475</v>
          </cell>
          <cell r="I15">
            <v>11142</v>
          </cell>
        </row>
        <row r="16">
          <cell r="B16">
            <v>37561</v>
          </cell>
          <cell r="C16" t="str">
            <v>Mon</v>
          </cell>
          <cell r="D16">
            <v>37571.416666666664</v>
          </cell>
          <cell r="E16">
            <v>1</v>
          </cell>
          <cell r="F16">
            <v>1</v>
          </cell>
          <cell r="G16">
            <v>14698</v>
          </cell>
          <cell r="H16">
            <v>1.0747499999999999</v>
          </cell>
          <cell r="I16">
            <v>13676</v>
          </cell>
        </row>
        <row r="17">
          <cell r="B17">
            <v>37561</v>
          </cell>
          <cell r="C17" t="str">
            <v>Tue</v>
          </cell>
          <cell r="D17">
            <v>37572.416666666664</v>
          </cell>
          <cell r="E17">
            <v>10</v>
          </cell>
          <cell r="F17">
            <v>11</v>
          </cell>
          <cell r="G17">
            <v>21044</v>
          </cell>
          <cell r="H17">
            <v>1.0234999999999999</v>
          </cell>
          <cell r="I17">
            <v>20561</v>
          </cell>
        </row>
        <row r="18">
          <cell r="B18">
            <v>37561</v>
          </cell>
          <cell r="C18" t="str">
            <v>Wed</v>
          </cell>
          <cell r="D18">
            <v>37573.416666666664</v>
          </cell>
          <cell r="E18">
            <v>16</v>
          </cell>
          <cell r="F18">
            <v>17</v>
          </cell>
          <cell r="G18">
            <v>28716</v>
          </cell>
          <cell r="H18">
            <v>1.024</v>
          </cell>
          <cell r="I18">
            <v>28043</v>
          </cell>
        </row>
        <row r="19">
          <cell r="B19">
            <v>37561</v>
          </cell>
          <cell r="C19" t="str">
            <v>Thu</v>
          </cell>
          <cell r="D19">
            <v>37574.416666666664</v>
          </cell>
          <cell r="E19">
            <v>14</v>
          </cell>
          <cell r="F19">
            <v>14</v>
          </cell>
          <cell r="G19">
            <v>27552</v>
          </cell>
          <cell r="H19">
            <v>1.0249999999999999</v>
          </cell>
          <cell r="I19">
            <v>26880</v>
          </cell>
        </row>
        <row r="20">
          <cell r="B20">
            <v>37561</v>
          </cell>
          <cell r="C20" t="str">
            <v>Fri</v>
          </cell>
          <cell r="D20">
            <v>37575.416666666664</v>
          </cell>
          <cell r="E20">
            <v>5</v>
          </cell>
          <cell r="F20">
            <v>5</v>
          </cell>
          <cell r="G20">
            <v>19172</v>
          </cell>
          <cell r="H20">
            <v>1.0242499999999999</v>
          </cell>
          <cell r="I20">
            <v>18718</v>
          </cell>
        </row>
        <row r="21">
          <cell r="B21">
            <v>37561</v>
          </cell>
          <cell r="C21" t="str">
            <v>Sat</v>
          </cell>
          <cell r="D21">
            <v>37576.416666666664</v>
          </cell>
          <cell r="E21">
            <v>16</v>
          </cell>
          <cell r="F21">
            <v>17</v>
          </cell>
          <cell r="G21">
            <v>25009</v>
          </cell>
          <cell r="H21">
            <v>1.0242499999999999</v>
          </cell>
          <cell r="I21">
            <v>24417</v>
          </cell>
        </row>
        <row r="22">
          <cell r="B22">
            <v>37561</v>
          </cell>
          <cell r="C22" t="str">
            <v>Sun</v>
          </cell>
          <cell r="D22">
            <v>37577.416666666664</v>
          </cell>
          <cell r="E22">
            <v>23</v>
          </cell>
          <cell r="F22">
            <v>24</v>
          </cell>
          <cell r="G22">
            <v>37116</v>
          </cell>
          <cell r="H22">
            <v>1.02475</v>
          </cell>
          <cell r="I22">
            <v>36220</v>
          </cell>
        </row>
        <row r="23">
          <cell r="B23">
            <v>37561</v>
          </cell>
          <cell r="C23" t="str">
            <v>Mon</v>
          </cell>
          <cell r="D23">
            <v>37578.416666666664</v>
          </cell>
          <cell r="E23">
            <v>16</v>
          </cell>
          <cell r="F23">
            <v>16</v>
          </cell>
          <cell r="G23">
            <v>33280</v>
          </cell>
          <cell r="H23">
            <v>1.0245</v>
          </cell>
          <cell r="I23">
            <v>32484</v>
          </cell>
        </row>
        <row r="24">
          <cell r="B24">
            <v>37561</v>
          </cell>
          <cell r="C24" t="str">
            <v>Tue</v>
          </cell>
          <cell r="D24">
            <v>37579.416666666664</v>
          </cell>
          <cell r="E24">
            <v>9</v>
          </cell>
          <cell r="F24">
            <v>9</v>
          </cell>
          <cell r="G24">
            <v>27283</v>
          </cell>
          <cell r="H24">
            <v>1.0249999999999999</v>
          </cell>
          <cell r="I24">
            <v>26618</v>
          </cell>
        </row>
        <row r="25">
          <cell r="B25">
            <v>37561</v>
          </cell>
          <cell r="C25" t="str">
            <v>Wed</v>
          </cell>
          <cell r="D25">
            <v>37580.416666666664</v>
          </cell>
          <cell r="E25">
            <v>7</v>
          </cell>
          <cell r="F25">
            <v>7</v>
          </cell>
          <cell r="G25">
            <v>22131</v>
          </cell>
          <cell r="H25">
            <v>1.024</v>
          </cell>
          <cell r="I25">
            <v>21612</v>
          </cell>
        </row>
        <row r="26">
          <cell r="B26">
            <v>37561</v>
          </cell>
          <cell r="C26" t="str">
            <v>Thu</v>
          </cell>
          <cell r="D26">
            <v>37581.416666666664</v>
          </cell>
          <cell r="E26">
            <v>10</v>
          </cell>
          <cell r="F26">
            <v>10</v>
          </cell>
          <cell r="G26">
            <v>24643</v>
          </cell>
          <cell r="H26">
            <v>1.0245</v>
          </cell>
          <cell r="I26">
            <v>24054</v>
          </cell>
        </row>
        <row r="27">
          <cell r="B27">
            <v>37561</v>
          </cell>
          <cell r="C27" t="str">
            <v>Fri</v>
          </cell>
          <cell r="D27">
            <v>37582.416666666664</v>
          </cell>
          <cell r="E27">
            <v>22</v>
          </cell>
          <cell r="F27">
            <v>24</v>
          </cell>
          <cell r="G27">
            <v>37211</v>
          </cell>
          <cell r="H27">
            <v>1.0229999999999999</v>
          </cell>
          <cell r="I27">
            <v>36374</v>
          </cell>
        </row>
        <row r="28">
          <cell r="B28">
            <v>37561</v>
          </cell>
          <cell r="C28" t="str">
            <v>Sat</v>
          </cell>
          <cell r="D28">
            <v>37583.416666666664</v>
          </cell>
          <cell r="E28">
            <v>21</v>
          </cell>
          <cell r="F28">
            <v>22</v>
          </cell>
          <cell r="G28">
            <v>35400</v>
          </cell>
          <cell r="H28">
            <v>1.026</v>
          </cell>
          <cell r="I28">
            <v>34503</v>
          </cell>
        </row>
        <row r="29">
          <cell r="B29">
            <v>37561</v>
          </cell>
          <cell r="C29" t="str">
            <v>Sun</v>
          </cell>
          <cell r="D29">
            <v>37584.416666666664</v>
          </cell>
          <cell r="E29">
            <v>18</v>
          </cell>
          <cell r="F29">
            <v>18</v>
          </cell>
          <cell r="G29">
            <v>31972</v>
          </cell>
          <cell r="H29">
            <v>1.0242499999999999</v>
          </cell>
          <cell r="I29">
            <v>31215</v>
          </cell>
        </row>
        <row r="30">
          <cell r="B30">
            <v>37561</v>
          </cell>
          <cell r="C30" t="str">
            <v>Mon</v>
          </cell>
          <cell r="D30">
            <v>37585.416666666664</v>
          </cell>
          <cell r="E30">
            <v>17</v>
          </cell>
          <cell r="F30">
            <v>17</v>
          </cell>
          <cell r="G30">
            <v>32137</v>
          </cell>
          <cell r="H30">
            <v>1.0237499999999999</v>
          </cell>
          <cell r="I30">
            <v>31391</v>
          </cell>
        </row>
        <row r="31">
          <cell r="B31">
            <v>37561</v>
          </cell>
          <cell r="C31" t="str">
            <v>Tue</v>
          </cell>
          <cell r="D31">
            <v>37586.416666666664</v>
          </cell>
          <cell r="E31">
            <v>8</v>
          </cell>
          <cell r="F31">
            <v>9</v>
          </cell>
          <cell r="G31">
            <v>26062</v>
          </cell>
          <cell r="H31">
            <v>1.024</v>
          </cell>
          <cell r="I31">
            <v>25451</v>
          </cell>
        </row>
        <row r="32">
          <cell r="B32">
            <v>37561</v>
          </cell>
          <cell r="C32" t="str">
            <v>Wed</v>
          </cell>
          <cell r="D32">
            <v>37587.416666666664</v>
          </cell>
          <cell r="E32">
            <v>24</v>
          </cell>
          <cell r="F32">
            <v>25</v>
          </cell>
          <cell r="G32">
            <v>35060</v>
          </cell>
          <cell r="H32">
            <v>1.0242499999999999</v>
          </cell>
          <cell r="I32">
            <v>34230</v>
          </cell>
        </row>
        <row r="33">
          <cell r="B33">
            <v>37561</v>
          </cell>
          <cell r="C33" t="str">
            <v>Thu</v>
          </cell>
          <cell r="D33">
            <v>37588.416666666664</v>
          </cell>
          <cell r="E33">
            <v>26</v>
          </cell>
          <cell r="F33">
            <v>27</v>
          </cell>
          <cell r="G33">
            <v>35828</v>
          </cell>
          <cell r="H33">
            <v>1.026</v>
          </cell>
          <cell r="I33">
            <v>34920</v>
          </cell>
        </row>
        <row r="34">
          <cell r="B34">
            <v>37561</v>
          </cell>
          <cell r="C34" t="str">
            <v>Fri</v>
          </cell>
          <cell r="D34">
            <v>37589.416666666664</v>
          </cell>
          <cell r="E34">
            <v>16</v>
          </cell>
          <cell r="F34">
            <v>17</v>
          </cell>
          <cell r="G34">
            <v>29591</v>
          </cell>
          <cell r="H34">
            <v>1.026</v>
          </cell>
          <cell r="I34">
            <v>28841</v>
          </cell>
        </row>
        <row r="35">
          <cell r="B35">
            <v>37561</v>
          </cell>
          <cell r="C35" t="str">
            <v>Sat</v>
          </cell>
          <cell r="D35">
            <v>37590.416666666664</v>
          </cell>
          <cell r="E35">
            <v>16</v>
          </cell>
          <cell r="F35">
            <v>17</v>
          </cell>
          <cell r="G35">
            <v>29826</v>
          </cell>
          <cell r="H35">
            <v>1.02325</v>
          </cell>
          <cell r="I35">
            <v>29148</v>
          </cell>
        </row>
        <row r="36">
          <cell r="B36">
            <v>37591</v>
          </cell>
          <cell r="C36" t="str">
            <v>Sun</v>
          </cell>
          <cell r="D36">
            <v>37591.416666666664</v>
          </cell>
          <cell r="E36">
            <v>27</v>
          </cell>
          <cell r="F36">
            <v>28</v>
          </cell>
          <cell r="G36">
            <v>43190</v>
          </cell>
          <cell r="H36">
            <v>1.0229999999999999</v>
          </cell>
          <cell r="I36">
            <v>42219</v>
          </cell>
        </row>
        <row r="37">
          <cell r="B37">
            <v>37591</v>
          </cell>
          <cell r="C37" t="str">
            <v>Mon</v>
          </cell>
          <cell r="D37">
            <v>37592.416666666664</v>
          </cell>
          <cell r="E37">
            <v>21</v>
          </cell>
          <cell r="F37">
            <v>21</v>
          </cell>
          <cell r="G37">
            <v>39513</v>
          </cell>
          <cell r="H37">
            <v>1.02475</v>
          </cell>
          <cell r="I37">
            <v>38559</v>
          </cell>
        </row>
        <row r="38">
          <cell r="B38">
            <v>37591</v>
          </cell>
          <cell r="C38" t="str">
            <v>Tue</v>
          </cell>
          <cell r="D38">
            <v>37593.416666666664</v>
          </cell>
          <cell r="E38">
            <v>10</v>
          </cell>
          <cell r="F38">
            <v>10</v>
          </cell>
          <cell r="G38">
            <v>30061</v>
          </cell>
          <cell r="H38">
            <v>1.0249999999999999</v>
          </cell>
          <cell r="I38">
            <v>29328</v>
          </cell>
        </row>
        <row r="39">
          <cell r="B39">
            <v>37591</v>
          </cell>
          <cell r="C39" t="str">
            <v>Wed</v>
          </cell>
          <cell r="D39">
            <v>37594.416666666664</v>
          </cell>
          <cell r="E39">
            <v>24</v>
          </cell>
          <cell r="F39">
            <v>26</v>
          </cell>
          <cell r="G39">
            <v>42231</v>
          </cell>
          <cell r="H39">
            <v>1.024</v>
          </cell>
          <cell r="I39">
            <v>41241</v>
          </cell>
        </row>
        <row r="40">
          <cell r="B40">
            <v>37591</v>
          </cell>
          <cell r="C40" t="str">
            <v>Thu</v>
          </cell>
          <cell r="D40">
            <v>37595.416666666664</v>
          </cell>
          <cell r="E40">
            <v>24</v>
          </cell>
          <cell r="F40">
            <v>25</v>
          </cell>
          <cell r="G40">
            <v>43444</v>
          </cell>
          <cell r="H40">
            <v>1.0257499999999999</v>
          </cell>
          <cell r="I40">
            <v>42353</v>
          </cell>
        </row>
        <row r="41">
          <cell r="B41">
            <v>37591</v>
          </cell>
          <cell r="C41" t="str">
            <v>Fri</v>
          </cell>
          <cell r="D41">
            <v>37596.416666666664</v>
          </cell>
          <cell r="E41">
            <v>26</v>
          </cell>
          <cell r="F41">
            <v>27</v>
          </cell>
          <cell r="G41">
            <v>45780</v>
          </cell>
          <cell r="H41">
            <v>1.0252499999999998</v>
          </cell>
          <cell r="I41">
            <v>44653</v>
          </cell>
        </row>
        <row r="42">
          <cell r="B42">
            <v>37591</v>
          </cell>
          <cell r="C42" t="str">
            <v>Sat</v>
          </cell>
          <cell r="D42">
            <v>37597.416666666664</v>
          </cell>
          <cell r="E42">
            <v>24</v>
          </cell>
          <cell r="F42">
            <v>24</v>
          </cell>
          <cell r="G42">
            <v>42162</v>
          </cell>
          <cell r="H42">
            <v>1.0255000000000001</v>
          </cell>
          <cell r="I42">
            <v>41114</v>
          </cell>
        </row>
        <row r="43">
          <cell r="B43">
            <v>37591</v>
          </cell>
          <cell r="C43" t="str">
            <v>Sun</v>
          </cell>
          <cell r="D43">
            <v>37598.416666666664</v>
          </cell>
          <cell r="E43">
            <v>17</v>
          </cell>
          <cell r="F43">
            <v>18</v>
          </cell>
          <cell r="G43">
            <v>38462</v>
          </cell>
          <cell r="H43">
            <v>1.0249999999999999</v>
          </cell>
          <cell r="I43">
            <v>37524</v>
          </cell>
        </row>
        <row r="44">
          <cell r="B44">
            <v>37591</v>
          </cell>
          <cell r="C44" t="str">
            <v>Mon</v>
          </cell>
          <cell r="D44">
            <v>37599.416666666664</v>
          </cell>
          <cell r="E44">
            <v>17</v>
          </cell>
          <cell r="F44">
            <v>19</v>
          </cell>
          <cell r="G44">
            <v>39498</v>
          </cell>
          <cell r="H44">
            <v>1.0242499999999999</v>
          </cell>
          <cell r="I44">
            <v>38563</v>
          </cell>
        </row>
        <row r="45">
          <cell r="B45">
            <v>37591</v>
          </cell>
          <cell r="C45" t="str">
            <v>Tue</v>
          </cell>
          <cell r="D45">
            <v>37600.416666666664</v>
          </cell>
          <cell r="E45">
            <v>20</v>
          </cell>
          <cell r="F45">
            <v>21</v>
          </cell>
          <cell r="G45">
            <v>39707</v>
          </cell>
          <cell r="H45">
            <v>1.0242499999999999</v>
          </cell>
          <cell r="I45">
            <v>38767</v>
          </cell>
        </row>
        <row r="46">
          <cell r="B46">
            <v>37591</v>
          </cell>
          <cell r="C46" t="str">
            <v>Wed</v>
          </cell>
          <cell r="D46">
            <v>37601.416666666664</v>
          </cell>
          <cell r="E46">
            <v>21</v>
          </cell>
          <cell r="F46">
            <v>22</v>
          </cell>
          <cell r="G46">
            <v>41231</v>
          </cell>
          <cell r="H46">
            <v>1.02525</v>
          </cell>
          <cell r="I46">
            <v>40216</v>
          </cell>
        </row>
        <row r="47">
          <cell r="B47">
            <v>37591</v>
          </cell>
          <cell r="C47" t="str">
            <v>Thu</v>
          </cell>
          <cell r="D47">
            <v>37602.416666666664</v>
          </cell>
          <cell r="E47">
            <v>19</v>
          </cell>
          <cell r="F47">
            <v>20</v>
          </cell>
          <cell r="G47">
            <v>40610</v>
          </cell>
          <cell r="H47">
            <v>1.0242499999999999</v>
          </cell>
          <cell r="I47">
            <v>39649</v>
          </cell>
        </row>
        <row r="48">
          <cell r="B48">
            <v>37591</v>
          </cell>
          <cell r="C48" t="str">
            <v>Fri</v>
          </cell>
          <cell r="D48">
            <v>37603.416666666664</v>
          </cell>
          <cell r="E48">
            <v>19</v>
          </cell>
          <cell r="F48">
            <v>21</v>
          </cell>
          <cell r="G48">
            <v>41140</v>
          </cell>
          <cell r="H48">
            <v>1.0975000000000001</v>
          </cell>
          <cell r="I48">
            <v>37485</v>
          </cell>
        </row>
        <row r="49">
          <cell r="B49">
            <v>37591</v>
          </cell>
          <cell r="C49" t="str">
            <v>Sat</v>
          </cell>
          <cell r="D49">
            <v>37604.416666666664</v>
          </cell>
          <cell r="E49">
            <v>27</v>
          </cell>
          <cell r="F49">
            <v>29</v>
          </cell>
          <cell r="G49">
            <v>47956</v>
          </cell>
          <cell r="H49">
            <v>1.032</v>
          </cell>
          <cell r="I49">
            <v>46469</v>
          </cell>
        </row>
        <row r="50">
          <cell r="B50">
            <v>37591</v>
          </cell>
          <cell r="C50" t="str">
            <v>Sun</v>
          </cell>
          <cell r="D50">
            <v>37605.416666666664</v>
          </cell>
          <cell r="E50">
            <v>22</v>
          </cell>
          <cell r="F50">
            <v>22</v>
          </cell>
          <cell r="G50">
            <v>41947</v>
          </cell>
          <cell r="H50">
            <v>1.0314999999999999</v>
          </cell>
          <cell r="I50">
            <v>40666</v>
          </cell>
        </row>
        <row r="51">
          <cell r="B51">
            <v>37591</v>
          </cell>
          <cell r="C51" t="str">
            <v>Mon</v>
          </cell>
          <cell r="D51">
            <v>37606.416666666664</v>
          </cell>
          <cell r="E51">
            <v>16</v>
          </cell>
          <cell r="F51">
            <v>16</v>
          </cell>
          <cell r="G51">
            <v>36682</v>
          </cell>
          <cell r="H51">
            <v>1.0309999999999999</v>
          </cell>
          <cell r="I51">
            <v>35579</v>
          </cell>
        </row>
        <row r="52">
          <cell r="B52">
            <v>37591</v>
          </cell>
          <cell r="C52" t="str">
            <v>Tue</v>
          </cell>
          <cell r="D52">
            <v>37607.416666666664</v>
          </cell>
          <cell r="E52">
            <v>13</v>
          </cell>
          <cell r="F52">
            <v>14</v>
          </cell>
          <cell r="G52">
            <v>33701</v>
          </cell>
          <cell r="H52">
            <v>1.032</v>
          </cell>
          <cell r="I52">
            <v>32656</v>
          </cell>
        </row>
        <row r="53">
          <cell r="B53">
            <v>37591</v>
          </cell>
          <cell r="C53" t="str">
            <v>Wed</v>
          </cell>
          <cell r="D53">
            <v>37608.416666666664</v>
          </cell>
          <cell r="E53">
            <v>11</v>
          </cell>
          <cell r="F53">
            <v>12</v>
          </cell>
          <cell r="G53">
            <v>29654</v>
          </cell>
          <cell r="H53">
            <v>1.0337499999999999</v>
          </cell>
          <cell r="I53">
            <v>28686</v>
          </cell>
        </row>
        <row r="54">
          <cell r="B54">
            <v>37591</v>
          </cell>
          <cell r="C54" t="str">
            <v>Thu</v>
          </cell>
          <cell r="D54">
            <v>37609.416666666664</v>
          </cell>
          <cell r="E54">
            <v>6</v>
          </cell>
          <cell r="F54">
            <v>7</v>
          </cell>
          <cell r="G54">
            <v>23429</v>
          </cell>
          <cell r="H54">
            <v>1.03525</v>
          </cell>
          <cell r="I54">
            <v>22631</v>
          </cell>
        </row>
        <row r="55">
          <cell r="B55">
            <v>37591</v>
          </cell>
          <cell r="C55" t="str">
            <v>Fri</v>
          </cell>
          <cell r="D55">
            <v>37610.416666666664</v>
          </cell>
          <cell r="E55">
            <v>20</v>
          </cell>
          <cell r="F55">
            <v>21</v>
          </cell>
          <cell r="G55">
            <v>35601</v>
          </cell>
          <cell r="H55">
            <v>1.0349999999999999</v>
          </cell>
          <cell r="I55">
            <v>34397</v>
          </cell>
        </row>
        <row r="56">
          <cell r="B56">
            <v>37591</v>
          </cell>
          <cell r="C56" t="str">
            <v>Sat</v>
          </cell>
          <cell r="D56">
            <v>37611.416666666664</v>
          </cell>
          <cell r="E56">
            <v>16</v>
          </cell>
          <cell r="F56">
            <v>17</v>
          </cell>
          <cell r="G56">
            <v>32739</v>
          </cell>
          <cell r="H56">
            <v>1.0347499999999998</v>
          </cell>
          <cell r="I56">
            <v>31640</v>
          </cell>
        </row>
        <row r="57">
          <cell r="B57">
            <v>37591</v>
          </cell>
          <cell r="C57" t="str">
            <v>Sun</v>
          </cell>
          <cell r="D57">
            <v>37612.416666666664</v>
          </cell>
          <cell r="E57">
            <v>11</v>
          </cell>
          <cell r="F57">
            <v>12</v>
          </cell>
          <cell r="G57">
            <v>24539</v>
          </cell>
          <cell r="H57">
            <v>1.0354999999999999</v>
          </cell>
          <cell r="I57">
            <v>23698</v>
          </cell>
        </row>
        <row r="58">
          <cell r="B58">
            <v>37591</v>
          </cell>
          <cell r="C58" t="str">
            <v>Mon</v>
          </cell>
          <cell r="D58">
            <v>37613.416666666664</v>
          </cell>
          <cell r="E58">
            <v>6</v>
          </cell>
          <cell r="F58">
            <v>7</v>
          </cell>
          <cell r="G58">
            <v>19297</v>
          </cell>
          <cell r="H58">
            <v>1.0357499999999999</v>
          </cell>
          <cell r="I58">
            <v>18631</v>
          </cell>
        </row>
        <row r="59">
          <cell r="B59">
            <v>37591</v>
          </cell>
          <cell r="C59" t="str">
            <v>Tue</v>
          </cell>
          <cell r="D59">
            <v>37614.416666666664</v>
          </cell>
          <cell r="E59">
            <v>10</v>
          </cell>
          <cell r="F59">
            <v>11</v>
          </cell>
          <cell r="G59">
            <v>17799</v>
          </cell>
          <cell r="H59">
            <v>1.038</v>
          </cell>
          <cell r="I59">
            <v>17147</v>
          </cell>
        </row>
        <row r="60">
          <cell r="B60">
            <v>37591</v>
          </cell>
          <cell r="C60" t="str">
            <v>Wed</v>
          </cell>
          <cell r="D60">
            <v>37615.416666666664</v>
          </cell>
          <cell r="E60">
            <v>29</v>
          </cell>
          <cell r="F60">
            <v>31</v>
          </cell>
          <cell r="G60">
            <v>39084</v>
          </cell>
          <cell r="H60">
            <v>1.0375000000000001</v>
          </cell>
          <cell r="I60">
            <v>37671</v>
          </cell>
        </row>
        <row r="61">
          <cell r="B61">
            <v>37591</v>
          </cell>
          <cell r="C61" t="str">
            <v>Thu</v>
          </cell>
          <cell r="D61">
            <v>37616.416666666664</v>
          </cell>
          <cell r="E61">
            <v>30</v>
          </cell>
          <cell r="F61">
            <v>30</v>
          </cell>
          <cell r="G61">
            <v>47519</v>
          </cell>
          <cell r="H61">
            <v>1.0365</v>
          </cell>
          <cell r="I61">
            <v>45846</v>
          </cell>
        </row>
        <row r="62">
          <cell r="B62">
            <v>37591</v>
          </cell>
          <cell r="C62" t="str">
            <v>Fri</v>
          </cell>
          <cell r="D62">
            <v>37617.416666666664</v>
          </cell>
          <cell r="E62">
            <v>25</v>
          </cell>
          <cell r="F62">
            <v>26</v>
          </cell>
          <cell r="G62">
            <v>43261</v>
          </cell>
          <cell r="H62">
            <v>1.0349999999999999</v>
          </cell>
          <cell r="I62">
            <v>41798</v>
          </cell>
        </row>
        <row r="63">
          <cell r="B63">
            <v>37591</v>
          </cell>
          <cell r="C63" t="str">
            <v>Sat</v>
          </cell>
          <cell r="D63">
            <v>37618.416666666664</v>
          </cell>
          <cell r="E63">
            <v>22</v>
          </cell>
          <cell r="F63">
            <v>23</v>
          </cell>
          <cell r="G63">
            <v>38600</v>
          </cell>
          <cell r="H63">
            <v>1.0345</v>
          </cell>
          <cell r="I63">
            <v>37313</v>
          </cell>
        </row>
        <row r="64">
          <cell r="B64">
            <v>37591</v>
          </cell>
          <cell r="C64" t="str">
            <v>Sun</v>
          </cell>
          <cell r="D64">
            <v>37619.416666666664</v>
          </cell>
          <cell r="E64">
            <v>19</v>
          </cell>
          <cell r="F64">
            <v>19</v>
          </cell>
          <cell r="G64">
            <v>36102</v>
          </cell>
          <cell r="H64">
            <v>1.03525</v>
          </cell>
          <cell r="I64">
            <v>34873</v>
          </cell>
        </row>
        <row r="65">
          <cell r="B65">
            <v>37591</v>
          </cell>
          <cell r="C65" t="str">
            <v>Mon</v>
          </cell>
          <cell r="D65">
            <v>37620.416666666664</v>
          </cell>
          <cell r="E65">
            <v>12</v>
          </cell>
          <cell r="F65">
            <v>13</v>
          </cell>
          <cell r="G65">
            <v>32012</v>
          </cell>
          <cell r="H65">
            <v>1.0349999999999999</v>
          </cell>
          <cell r="I65">
            <v>30929</v>
          </cell>
        </row>
        <row r="66">
          <cell r="B66">
            <v>37591</v>
          </cell>
          <cell r="C66" t="str">
            <v>Tue</v>
          </cell>
          <cell r="D66">
            <v>37621.416666666664</v>
          </cell>
          <cell r="E66">
            <v>7</v>
          </cell>
          <cell r="F66">
            <v>8</v>
          </cell>
          <cell r="G66">
            <v>22069</v>
          </cell>
          <cell r="H66">
            <v>1.034</v>
          </cell>
          <cell r="I66">
            <v>21343</v>
          </cell>
        </row>
        <row r="67">
          <cell r="B67">
            <v>37622</v>
          </cell>
          <cell r="C67" t="str">
            <v>Wed</v>
          </cell>
          <cell r="D67">
            <v>37622.416666666664</v>
          </cell>
          <cell r="E67">
            <v>13</v>
          </cell>
          <cell r="F67">
            <v>14</v>
          </cell>
          <cell r="G67">
            <v>25602</v>
          </cell>
          <cell r="H67">
            <v>1.0357499999999999</v>
          </cell>
          <cell r="I67">
            <v>24718</v>
          </cell>
        </row>
        <row r="68">
          <cell r="B68">
            <v>37622</v>
          </cell>
          <cell r="C68" t="str">
            <v>Thu</v>
          </cell>
          <cell r="D68">
            <v>37623.416666666664</v>
          </cell>
          <cell r="E68">
            <v>15</v>
          </cell>
          <cell r="F68">
            <v>17</v>
          </cell>
          <cell r="G68">
            <v>31790</v>
          </cell>
          <cell r="H68">
            <v>1.0314999999999999</v>
          </cell>
          <cell r="I68">
            <v>30819</v>
          </cell>
        </row>
        <row r="69">
          <cell r="B69">
            <v>37622</v>
          </cell>
          <cell r="C69" t="str">
            <v>Fri</v>
          </cell>
          <cell r="D69">
            <v>37624.416666666664</v>
          </cell>
          <cell r="E69">
            <v>30</v>
          </cell>
          <cell r="F69">
            <v>33</v>
          </cell>
          <cell r="G69">
            <v>52942</v>
          </cell>
          <cell r="H69">
            <v>1.0325</v>
          </cell>
          <cell r="I69">
            <v>51276</v>
          </cell>
        </row>
        <row r="70">
          <cell r="B70">
            <v>37622</v>
          </cell>
          <cell r="C70" t="str">
            <v>Sat</v>
          </cell>
          <cell r="D70">
            <v>37625.416666666664</v>
          </cell>
          <cell r="E70">
            <v>26</v>
          </cell>
          <cell r="F70">
            <v>27</v>
          </cell>
          <cell r="G70">
            <v>44655</v>
          </cell>
          <cell r="H70">
            <v>1.034</v>
          </cell>
          <cell r="I70">
            <v>43187</v>
          </cell>
        </row>
        <row r="71">
          <cell r="B71">
            <v>37622</v>
          </cell>
          <cell r="C71" t="str">
            <v>Sun</v>
          </cell>
          <cell r="D71">
            <v>37626.416666666664</v>
          </cell>
          <cell r="E71">
            <v>17</v>
          </cell>
          <cell r="F71">
            <v>18</v>
          </cell>
          <cell r="G71">
            <v>36972</v>
          </cell>
          <cell r="H71">
            <v>1.0335000000000001</v>
          </cell>
          <cell r="I71">
            <v>35774</v>
          </cell>
        </row>
        <row r="72">
          <cell r="B72">
            <v>37622</v>
          </cell>
          <cell r="C72" t="str">
            <v>Mon</v>
          </cell>
          <cell r="D72">
            <v>37627.416666666664</v>
          </cell>
          <cell r="E72">
            <v>24</v>
          </cell>
          <cell r="F72">
            <v>25</v>
          </cell>
          <cell r="G72">
            <v>46000</v>
          </cell>
          <cell r="H72">
            <v>1.0337499999999999</v>
          </cell>
          <cell r="I72">
            <v>44498</v>
          </cell>
        </row>
        <row r="73">
          <cell r="B73">
            <v>37622</v>
          </cell>
          <cell r="C73" t="str">
            <v>Tue</v>
          </cell>
          <cell r="D73">
            <v>37628.416666666664</v>
          </cell>
          <cell r="E73">
            <v>24</v>
          </cell>
          <cell r="F73">
            <v>24</v>
          </cell>
          <cell r="G73">
            <v>46110</v>
          </cell>
          <cell r="H73">
            <v>1.0339999999999998</v>
          </cell>
          <cell r="I73">
            <v>44594</v>
          </cell>
        </row>
        <row r="74">
          <cell r="B74">
            <v>37622</v>
          </cell>
          <cell r="C74" t="str">
            <v>Wed</v>
          </cell>
          <cell r="D74">
            <v>37629.416666666664</v>
          </cell>
          <cell r="E74">
            <v>15</v>
          </cell>
          <cell r="F74">
            <v>15</v>
          </cell>
          <cell r="G74">
            <v>37731</v>
          </cell>
          <cell r="H74">
            <v>1.0334999999999999</v>
          </cell>
          <cell r="I74">
            <v>36508</v>
          </cell>
        </row>
        <row r="75">
          <cell r="B75">
            <v>37622</v>
          </cell>
          <cell r="C75" t="str">
            <v>Thu</v>
          </cell>
          <cell r="D75">
            <v>37630.416666666664</v>
          </cell>
          <cell r="E75">
            <v>4</v>
          </cell>
          <cell r="F75">
            <v>4</v>
          </cell>
          <cell r="G75">
            <v>24522</v>
          </cell>
          <cell r="H75">
            <v>1.0339999999999998</v>
          </cell>
          <cell r="I75">
            <v>23716</v>
          </cell>
        </row>
        <row r="76">
          <cell r="B76">
            <v>37622</v>
          </cell>
          <cell r="C76" t="str">
            <v>Fri</v>
          </cell>
          <cell r="D76">
            <v>37631.416666666664</v>
          </cell>
          <cell r="E76">
            <v>21</v>
          </cell>
          <cell r="F76">
            <v>23</v>
          </cell>
          <cell r="G76">
            <v>36211</v>
          </cell>
          <cell r="H76">
            <v>1.034</v>
          </cell>
          <cell r="I76">
            <v>35020</v>
          </cell>
        </row>
        <row r="77">
          <cell r="B77">
            <v>37622</v>
          </cell>
          <cell r="C77" t="str">
            <v>Sat</v>
          </cell>
          <cell r="D77">
            <v>37632.416666666664</v>
          </cell>
          <cell r="E77">
            <v>26</v>
          </cell>
          <cell r="F77">
            <v>28</v>
          </cell>
          <cell r="G77">
            <v>42386</v>
          </cell>
          <cell r="H77">
            <v>1.0347500000000001</v>
          </cell>
          <cell r="I77">
            <v>40963</v>
          </cell>
        </row>
        <row r="78">
          <cell r="B78">
            <v>37622</v>
          </cell>
          <cell r="C78" t="str">
            <v>Sun</v>
          </cell>
          <cell r="D78">
            <v>37633.416666666664</v>
          </cell>
          <cell r="E78">
            <v>28</v>
          </cell>
          <cell r="F78">
            <v>29</v>
          </cell>
          <cell r="G78">
            <v>48697</v>
          </cell>
          <cell r="H78">
            <v>1.0335000000000001</v>
          </cell>
          <cell r="I78">
            <v>47119</v>
          </cell>
        </row>
        <row r="79">
          <cell r="B79">
            <v>37622</v>
          </cell>
          <cell r="C79" t="str">
            <v>Mon</v>
          </cell>
          <cell r="D79">
            <v>37634.416666666664</v>
          </cell>
          <cell r="E79">
            <v>25</v>
          </cell>
          <cell r="F79">
            <v>26</v>
          </cell>
          <cell r="G79">
            <v>49629</v>
          </cell>
          <cell r="H79">
            <v>1.0327500000000001</v>
          </cell>
          <cell r="I79">
            <v>48055</v>
          </cell>
        </row>
        <row r="80">
          <cell r="B80">
            <v>37622</v>
          </cell>
          <cell r="C80" t="str">
            <v>Tue</v>
          </cell>
          <cell r="D80">
            <v>37635.416666666664</v>
          </cell>
          <cell r="E80">
            <v>20</v>
          </cell>
          <cell r="F80">
            <v>22</v>
          </cell>
          <cell r="G80">
            <v>43003</v>
          </cell>
          <cell r="H80">
            <v>1.032</v>
          </cell>
          <cell r="I80">
            <v>41670</v>
          </cell>
        </row>
        <row r="81">
          <cell r="B81">
            <v>37622</v>
          </cell>
          <cell r="C81" t="str">
            <v>Wed</v>
          </cell>
          <cell r="D81">
            <v>37636.416666666664</v>
          </cell>
          <cell r="E81">
            <v>26</v>
          </cell>
          <cell r="F81">
            <v>27</v>
          </cell>
          <cell r="G81">
            <v>49269</v>
          </cell>
          <cell r="H81">
            <v>1.0322499999999999</v>
          </cell>
          <cell r="I81">
            <v>47730</v>
          </cell>
        </row>
        <row r="82">
          <cell r="B82">
            <v>37622</v>
          </cell>
          <cell r="C82" t="str">
            <v>Thu</v>
          </cell>
          <cell r="D82">
            <v>37637.416666666664</v>
          </cell>
          <cell r="E82">
            <v>23</v>
          </cell>
          <cell r="F82">
            <v>26</v>
          </cell>
          <cell r="G82">
            <v>48745</v>
          </cell>
          <cell r="H82">
            <v>1.0325</v>
          </cell>
          <cell r="I82">
            <v>47211</v>
          </cell>
        </row>
        <row r="83">
          <cell r="B83">
            <v>37622</v>
          </cell>
          <cell r="C83" t="str">
            <v>Fri</v>
          </cell>
          <cell r="D83">
            <v>37638.416666666664</v>
          </cell>
          <cell r="E83">
            <v>34</v>
          </cell>
          <cell r="F83">
            <v>37</v>
          </cell>
          <cell r="G83">
            <v>57017</v>
          </cell>
          <cell r="H83">
            <v>1.0329999999999999</v>
          </cell>
          <cell r="I83">
            <v>55196</v>
          </cell>
        </row>
        <row r="84">
          <cell r="B84">
            <v>37622</v>
          </cell>
          <cell r="C84" t="str">
            <v>Sat</v>
          </cell>
          <cell r="D84">
            <v>37639.416666666664</v>
          </cell>
          <cell r="E84">
            <v>34</v>
          </cell>
          <cell r="F84">
            <v>36</v>
          </cell>
          <cell r="G84">
            <v>56559</v>
          </cell>
          <cell r="H84">
            <v>1.0325</v>
          </cell>
          <cell r="I84">
            <v>54779</v>
          </cell>
        </row>
        <row r="85">
          <cell r="B85">
            <v>37622</v>
          </cell>
          <cell r="C85" t="str">
            <v>Sun</v>
          </cell>
          <cell r="D85">
            <v>37640.416666666664</v>
          </cell>
          <cell r="E85">
            <v>28</v>
          </cell>
          <cell r="F85">
            <v>29</v>
          </cell>
          <cell r="G85">
            <v>50800</v>
          </cell>
          <cell r="H85">
            <v>1.0325</v>
          </cell>
          <cell r="I85">
            <v>49201</v>
          </cell>
        </row>
        <row r="86">
          <cell r="B86">
            <v>37622</v>
          </cell>
          <cell r="C86" t="str">
            <v>Mon</v>
          </cell>
          <cell r="D86">
            <v>37641.416666666664</v>
          </cell>
          <cell r="E86">
            <v>9</v>
          </cell>
          <cell r="F86">
            <v>10</v>
          </cell>
          <cell r="G86">
            <v>34379</v>
          </cell>
          <cell r="H86">
            <v>1.032</v>
          </cell>
          <cell r="I86">
            <v>33313</v>
          </cell>
        </row>
        <row r="87">
          <cell r="B87">
            <v>37622</v>
          </cell>
          <cell r="C87" t="str">
            <v>Tue</v>
          </cell>
          <cell r="D87">
            <v>37642.416666666664</v>
          </cell>
          <cell r="E87">
            <v>6</v>
          </cell>
          <cell r="F87">
            <v>7</v>
          </cell>
          <cell r="G87">
            <v>25543</v>
          </cell>
          <cell r="H87">
            <v>1.0317499999999999</v>
          </cell>
          <cell r="I87">
            <v>24757</v>
          </cell>
        </row>
        <row r="88">
          <cell r="B88">
            <v>37622</v>
          </cell>
          <cell r="C88" t="str">
            <v>Wed</v>
          </cell>
          <cell r="D88">
            <v>37643.416666666664</v>
          </cell>
          <cell r="E88">
            <v>23</v>
          </cell>
          <cell r="F88">
            <v>25</v>
          </cell>
          <cell r="G88">
            <v>43093</v>
          </cell>
          <cell r="H88">
            <v>1.0307500000000001</v>
          </cell>
          <cell r="I88">
            <v>41807</v>
          </cell>
        </row>
        <row r="89">
          <cell r="B89">
            <v>37622</v>
          </cell>
          <cell r="C89" t="str">
            <v>Thu</v>
          </cell>
          <cell r="D89">
            <v>37644.416666666664</v>
          </cell>
          <cell r="E89">
            <v>43</v>
          </cell>
          <cell r="F89">
            <v>48</v>
          </cell>
          <cell r="G89">
            <v>65460</v>
          </cell>
          <cell r="H89">
            <v>1.0302499999999999</v>
          </cell>
          <cell r="I89">
            <v>63538</v>
          </cell>
        </row>
        <row r="90">
          <cell r="B90">
            <v>37622</v>
          </cell>
          <cell r="C90" t="str">
            <v>Fri</v>
          </cell>
          <cell r="D90">
            <v>37645.416666666664</v>
          </cell>
          <cell r="E90">
            <v>36</v>
          </cell>
          <cell r="F90">
            <v>36</v>
          </cell>
          <cell r="G90">
            <v>56564</v>
          </cell>
          <cell r="H90">
            <v>1.0312499999999998</v>
          </cell>
          <cell r="I90">
            <v>54850</v>
          </cell>
        </row>
        <row r="91">
          <cell r="B91">
            <v>37622</v>
          </cell>
          <cell r="C91" t="str">
            <v>Sat</v>
          </cell>
          <cell r="D91">
            <v>37646.416666666664</v>
          </cell>
          <cell r="E91">
            <v>27</v>
          </cell>
          <cell r="F91">
            <v>28</v>
          </cell>
          <cell r="G91">
            <v>49256</v>
          </cell>
          <cell r="H91">
            <v>1.0325</v>
          </cell>
          <cell r="I91">
            <v>47706</v>
          </cell>
        </row>
        <row r="92">
          <cell r="B92">
            <v>37622</v>
          </cell>
          <cell r="C92" t="str">
            <v>Sun</v>
          </cell>
          <cell r="D92">
            <v>37647.416666666664</v>
          </cell>
          <cell r="E92">
            <v>24</v>
          </cell>
          <cell r="F92">
            <v>26</v>
          </cell>
          <cell r="G92">
            <v>44256</v>
          </cell>
          <cell r="H92">
            <v>1.032</v>
          </cell>
          <cell r="I92">
            <v>42884</v>
          </cell>
        </row>
        <row r="93">
          <cell r="B93">
            <v>37622</v>
          </cell>
          <cell r="C93" t="str">
            <v>Mon</v>
          </cell>
          <cell r="D93">
            <v>37648.416666666664</v>
          </cell>
          <cell r="E93">
            <v>28</v>
          </cell>
          <cell r="F93">
            <v>29</v>
          </cell>
          <cell r="G93">
            <v>50993</v>
          </cell>
          <cell r="H93">
            <v>1.0317499999999999</v>
          </cell>
          <cell r="I93">
            <v>49424</v>
          </cell>
        </row>
        <row r="94">
          <cell r="B94">
            <v>37622</v>
          </cell>
          <cell r="C94" t="str">
            <v>Tue</v>
          </cell>
          <cell r="D94">
            <v>37649.416666666664</v>
          </cell>
          <cell r="E94">
            <v>15</v>
          </cell>
          <cell r="F94">
            <v>15</v>
          </cell>
          <cell r="G94">
            <v>36571</v>
          </cell>
          <cell r="H94">
            <v>1.0317499999999999</v>
          </cell>
          <cell r="I94">
            <v>35446</v>
          </cell>
        </row>
        <row r="95">
          <cell r="B95">
            <v>37622</v>
          </cell>
          <cell r="C95" t="str">
            <v>Wed</v>
          </cell>
          <cell r="D95">
            <v>37650.416666666664</v>
          </cell>
          <cell r="E95">
            <v>7</v>
          </cell>
          <cell r="F95">
            <v>7</v>
          </cell>
          <cell r="G95">
            <v>24887</v>
          </cell>
          <cell r="H95">
            <v>1.03325</v>
          </cell>
          <cell r="I95">
            <v>24086</v>
          </cell>
        </row>
        <row r="96">
          <cell r="B96">
            <v>37622</v>
          </cell>
          <cell r="C96" t="str">
            <v>Thu</v>
          </cell>
          <cell r="D96">
            <v>37651.416666666664</v>
          </cell>
          <cell r="E96">
            <v>15</v>
          </cell>
          <cell r="F96">
            <v>15</v>
          </cell>
          <cell r="G96">
            <v>30170</v>
          </cell>
          <cell r="H96">
            <v>1.034</v>
          </cell>
          <cell r="I96">
            <v>29178</v>
          </cell>
        </row>
        <row r="97">
          <cell r="B97">
            <v>37622</v>
          </cell>
          <cell r="C97" t="str">
            <v>Fri</v>
          </cell>
          <cell r="D97">
            <v>37652.416666666664</v>
          </cell>
          <cell r="E97">
            <v>15</v>
          </cell>
          <cell r="F97">
            <v>16</v>
          </cell>
          <cell r="G97">
            <v>27853</v>
          </cell>
          <cell r="H97">
            <v>1.034</v>
          </cell>
          <cell r="I97">
            <v>26937</v>
          </cell>
        </row>
        <row r="98">
          <cell r="B98">
            <v>37653</v>
          </cell>
          <cell r="C98" t="str">
            <v>Sat</v>
          </cell>
          <cell r="D98">
            <v>37653.416666666664</v>
          </cell>
          <cell r="E98">
            <v>18</v>
          </cell>
          <cell r="F98">
            <v>18</v>
          </cell>
          <cell r="G98">
            <v>29074</v>
          </cell>
          <cell r="H98">
            <v>1.03325</v>
          </cell>
          <cell r="I98">
            <v>28138</v>
          </cell>
        </row>
        <row r="99">
          <cell r="B99">
            <v>37653</v>
          </cell>
          <cell r="C99" t="str">
            <v>Sun</v>
          </cell>
          <cell r="D99">
            <v>37654.416666666664</v>
          </cell>
          <cell r="E99">
            <v>9</v>
          </cell>
          <cell r="F99">
            <v>9</v>
          </cell>
          <cell r="G99">
            <v>25658</v>
          </cell>
          <cell r="H99">
            <v>1.0329999999999999</v>
          </cell>
          <cell r="I99">
            <v>24838</v>
          </cell>
        </row>
        <row r="100">
          <cell r="B100">
            <v>37653</v>
          </cell>
          <cell r="C100" t="str">
            <v>Mon</v>
          </cell>
          <cell r="D100">
            <v>37655.416666666664</v>
          </cell>
          <cell r="E100">
            <v>2</v>
          </cell>
          <cell r="F100">
            <v>3</v>
          </cell>
          <cell r="G100">
            <v>20895</v>
          </cell>
          <cell r="H100">
            <v>1.0322499999999999</v>
          </cell>
          <cell r="I100">
            <v>20242</v>
          </cell>
        </row>
        <row r="101">
          <cell r="B101">
            <v>37653</v>
          </cell>
          <cell r="C101" t="str">
            <v>Tue</v>
          </cell>
          <cell r="D101">
            <v>37656.416666666664</v>
          </cell>
          <cell r="E101">
            <v>19</v>
          </cell>
          <cell r="F101">
            <v>20</v>
          </cell>
          <cell r="G101">
            <v>35919</v>
          </cell>
          <cell r="H101">
            <v>1.0347499999999998</v>
          </cell>
          <cell r="I101">
            <v>34713</v>
          </cell>
        </row>
        <row r="102">
          <cell r="B102">
            <v>37653</v>
          </cell>
          <cell r="C102" t="str">
            <v>Wed</v>
          </cell>
          <cell r="D102">
            <v>37657.416666666664</v>
          </cell>
          <cell r="E102">
            <v>17</v>
          </cell>
          <cell r="F102">
            <v>18</v>
          </cell>
          <cell r="G102">
            <v>37008</v>
          </cell>
          <cell r="H102">
            <v>1.0357499999999999</v>
          </cell>
          <cell r="I102">
            <v>35731</v>
          </cell>
        </row>
        <row r="103">
          <cell r="B103">
            <v>37653</v>
          </cell>
          <cell r="C103" t="str">
            <v>Thu</v>
          </cell>
          <cell r="D103">
            <v>37658.416666666664</v>
          </cell>
          <cell r="E103">
            <v>22</v>
          </cell>
          <cell r="F103">
            <v>23</v>
          </cell>
          <cell r="G103">
            <v>42915</v>
          </cell>
          <cell r="H103">
            <v>1.0345</v>
          </cell>
          <cell r="I103">
            <v>41484</v>
          </cell>
        </row>
        <row r="104">
          <cell r="B104">
            <v>37653</v>
          </cell>
          <cell r="C104" t="str">
            <v>Fri</v>
          </cell>
          <cell r="D104">
            <v>37659.416666666664</v>
          </cell>
          <cell r="E104">
            <v>26</v>
          </cell>
          <cell r="F104">
            <v>28</v>
          </cell>
          <cell r="G104">
            <v>45979</v>
          </cell>
          <cell r="H104">
            <v>1.0342499999999999</v>
          </cell>
          <cell r="I104">
            <v>44456</v>
          </cell>
        </row>
        <row r="105">
          <cell r="B105">
            <v>37653</v>
          </cell>
          <cell r="C105" t="str">
            <v>Sat</v>
          </cell>
          <cell r="D105">
            <v>37660.416666666664</v>
          </cell>
          <cell r="E105">
            <v>22</v>
          </cell>
          <cell r="F105">
            <v>23</v>
          </cell>
          <cell r="G105">
            <v>38790</v>
          </cell>
          <cell r="H105">
            <v>1.0327500000000001</v>
          </cell>
          <cell r="I105">
            <v>37560</v>
          </cell>
        </row>
        <row r="106">
          <cell r="B106">
            <v>37653</v>
          </cell>
          <cell r="C106" t="str">
            <v>Sun</v>
          </cell>
          <cell r="D106">
            <v>37661.416666666664</v>
          </cell>
          <cell r="E106">
            <v>16</v>
          </cell>
          <cell r="F106">
            <v>17</v>
          </cell>
          <cell r="G106">
            <v>31917</v>
          </cell>
          <cell r="H106">
            <v>1.0325</v>
          </cell>
          <cell r="I106">
            <v>30912</v>
          </cell>
        </row>
        <row r="107">
          <cell r="B107">
            <v>37653</v>
          </cell>
          <cell r="C107" t="str">
            <v>Mon</v>
          </cell>
          <cell r="D107">
            <v>37662.416666666664</v>
          </cell>
          <cell r="E107">
            <v>21</v>
          </cell>
          <cell r="F107">
            <v>23</v>
          </cell>
          <cell r="G107">
            <v>40151</v>
          </cell>
          <cell r="H107">
            <v>1.0329999999999999</v>
          </cell>
          <cell r="I107">
            <v>38868</v>
          </cell>
        </row>
        <row r="108">
          <cell r="B108">
            <v>37653</v>
          </cell>
          <cell r="C108" t="str">
            <v>Tue</v>
          </cell>
          <cell r="D108">
            <v>37663.416666666664</v>
          </cell>
          <cell r="E108">
            <v>21</v>
          </cell>
          <cell r="F108">
            <v>21</v>
          </cell>
          <cell r="G108">
            <v>40597</v>
          </cell>
          <cell r="H108">
            <v>1.032</v>
          </cell>
          <cell r="I108">
            <v>39338</v>
          </cell>
        </row>
        <row r="109">
          <cell r="B109">
            <v>37653</v>
          </cell>
          <cell r="C109" t="str">
            <v>Wed</v>
          </cell>
          <cell r="D109">
            <v>37664.416666666664</v>
          </cell>
          <cell r="E109">
            <v>15</v>
          </cell>
          <cell r="F109">
            <v>15</v>
          </cell>
          <cell r="G109">
            <v>35527</v>
          </cell>
          <cell r="H109">
            <v>1.0314999999999999</v>
          </cell>
          <cell r="I109">
            <v>34442</v>
          </cell>
        </row>
        <row r="110">
          <cell r="B110">
            <v>37653</v>
          </cell>
          <cell r="C110" t="str">
            <v>Thu</v>
          </cell>
          <cell r="D110">
            <v>37665.416666666664</v>
          </cell>
          <cell r="E110">
            <v>14</v>
          </cell>
          <cell r="F110">
            <v>14</v>
          </cell>
          <cell r="G110">
            <v>32053</v>
          </cell>
          <cell r="H110">
            <v>1.0292499999999998</v>
          </cell>
          <cell r="I110">
            <v>31142</v>
          </cell>
        </row>
        <row r="111">
          <cell r="B111">
            <v>37653</v>
          </cell>
          <cell r="C111" t="str">
            <v>Fri</v>
          </cell>
          <cell r="D111">
            <v>37666.416666666664</v>
          </cell>
          <cell r="E111">
            <v>4</v>
          </cell>
          <cell r="F111">
            <v>5</v>
          </cell>
          <cell r="G111">
            <v>20835</v>
          </cell>
          <cell r="H111">
            <v>1.0257499999999999</v>
          </cell>
          <cell r="I111">
            <v>20312</v>
          </cell>
        </row>
        <row r="112">
          <cell r="B112">
            <v>37653</v>
          </cell>
          <cell r="C112" t="str">
            <v>Sat</v>
          </cell>
          <cell r="D112">
            <v>37667.416666666664</v>
          </cell>
          <cell r="E112">
            <v>0</v>
          </cell>
          <cell r="F112">
            <v>0</v>
          </cell>
          <cell r="G112">
            <v>12665</v>
          </cell>
          <cell r="H112">
            <v>1.02475</v>
          </cell>
          <cell r="I112">
            <v>12359</v>
          </cell>
        </row>
        <row r="113">
          <cell r="B113">
            <v>37653</v>
          </cell>
          <cell r="C113" t="str">
            <v>Sun</v>
          </cell>
          <cell r="D113">
            <v>37668.416666666664</v>
          </cell>
          <cell r="E113">
            <v>13</v>
          </cell>
          <cell r="F113">
            <v>14</v>
          </cell>
          <cell r="G113">
            <v>27303</v>
          </cell>
          <cell r="H113">
            <v>1.02525</v>
          </cell>
          <cell r="I113">
            <v>26631</v>
          </cell>
        </row>
        <row r="114">
          <cell r="B114">
            <v>37653</v>
          </cell>
          <cell r="C114" t="str">
            <v>Mon</v>
          </cell>
          <cell r="D114">
            <v>37669.416666666664</v>
          </cell>
          <cell r="E114">
            <v>26</v>
          </cell>
          <cell r="F114">
            <v>28</v>
          </cell>
          <cell r="G114">
            <v>45821</v>
          </cell>
          <cell r="H114">
            <v>1.0229999999999999</v>
          </cell>
          <cell r="I114">
            <v>44791</v>
          </cell>
        </row>
        <row r="115">
          <cell r="B115">
            <v>37653</v>
          </cell>
          <cell r="C115" t="str">
            <v>Tue</v>
          </cell>
          <cell r="D115">
            <v>37670.416666666664</v>
          </cell>
          <cell r="E115">
            <v>24</v>
          </cell>
          <cell r="F115">
            <v>24</v>
          </cell>
          <cell r="G115">
            <v>43470</v>
          </cell>
          <cell r="H115">
            <v>1.0229999999999999</v>
          </cell>
          <cell r="I115">
            <v>42493</v>
          </cell>
        </row>
        <row r="116">
          <cell r="B116">
            <v>37653</v>
          </cell>
          <cell r="C116" t="str">
            <v>Wed</v>
          </cell>
          <cell r="D116">
            <v>37671.416666666664</v>
          </cell>
          <cell r="E116">
            <v>13</v>
          </cell>
          <cell r="F116">
            <v>14</v>
          </cell>
          <cell r="G116">
            <v>32323</v>
          </cell>
          <cell r="H116">
            <v>1.02325</v>
          </cell>
          <cell r="I116">
            <v>31589</v>
          </cell>
        </row>
        <row r="117">
          <cell r="B117">
            <v>37653</v>
          </cell>
          <cell r="C117" t="str">
            <v>Thu</v>
          </cell>
          <cell r="D117">
            <v>37672.416666666664</v>
          </cell>
          <cell r="E117">
            <v>6</v>
          </cell>
          <cell r="F117">
            <v>6</v>
          </cell>
          <cell r="G117">
            <v>23431</v>
          </cell>
          <cell r="H117">
            <v>1.024</v>
          </cell>
          <cell r="I117">
            <v>22882</v>
          </cell>
        </row>
        <row r="118">
          <cell r="B118">
            <v>37653</v>
          </cell>
          <cell r="C118" t="str">
            <v>Fri</v>
          </cell>
          <cell r="D118">
            <v>37673.416666666664</v>
          </cell>
          <cell r="E118">
            <v>4</v>
          </cell>
          <cell r="F118">
            <v>4</v>
          </cell>
          <cell r="G118">
            <v>18244</v>
          </cell>
          <cell r="H118">
            <v>1.024</v>
          </cell>
          <cell r="I118">
            <v>17816</v>
          </cell>
        </row>
        <row r="119">
          <cell r="B119">
            <v>37653</v>
          </cell>
          <cell r="C119" t="str">
            <v>Sat</v>
          </cell>
          <cell r="D119">
            <v>37674.416666666664</v>
          </cell>
          <cell r="E119">
            <v>9</v>
          </cell>
          <cell r="F119">
            <v>10</v>
          </cell>
          <cell r="G119">
            <v>19745</v>
          </cell>
          <cell r="H119">
            <v>1.0259999999999998</v>
          </cell>
          <cell r="I119">
            <v>19245</v>
          </cell>
        </row>
        <row r="120">
          <cell r="B120">
            <v>37653</v>
          </cell>
          <cell r="C120" t="str">
            <v>Sun</v>
          </cell>
          <cell r="D120">
            <v>37675.416666666664</v>
          </cell>
          <cell r="E120">
            <v>16</v>
          </cell>
          <cell r="F120">
            <v>17</v>
          </cell>
          <cell r="G120">
            <v>28602</v>
          </cell>
          <cell r="H120">
            <v>1.0229999999999999</v>
          </cell>
          <cell r="I120">
            <v>27959</v>
          </cell>
        </row>
        <row r="121">
          <cell r="B121">
            <v>37653</v>
          </cell>
          <cell r="C121" t="str">
            <v>Mon</v>
          </cell>
          <cell r="D121">
            <v>37676.416666666664</v>
          </cell>
          <cell r="E121">
            <v>7</v>
          </cell>
          <cell r="F121">
            <v>8</v>
          </cell>
          <cell r="G121">
            <v>24394</v>
          </cell>
          <cell r="H121">
            <v>1.0232499999999998</v>
          </cell>
          <cell r="I121">
            <v>23840</v>
          </cell>
        </row>
        <row r="122">
          <cell r="B122">
            <v>37653</v>
          </cell>
          <cell r="C122" t="str">
            <v>Tue</v>
          </cell>
          <cell r="D122">
            <v>37677.416666666664</v>
          </cell>
          <cell r="E122">
            <v>9</v>
          </cell>
          <cell r="F122">
            <v>9</v>
          </cell>
          <cell r="G122">
            <v>25144</v>
          </cell>
          <cell r="H122">
            <v>1.0234999999999999</v>
          </cell>
          <cell r="I122">
            <v>24567</v>
          </cell>
        </row>
        <row r="123">
          <cell r="B123">
            <v>37653</v>
          </cell>
          <cell r="C123" t="str">
            <v>Wed</v>
          </cell>
          <cell r="D123">
            <v>37678.416666666664</v>
          </cell>
          <cell r="E123">
            <v>11</v>
          </cell>
          <cell r="F123">
            <v>12</v>
          </cell>
          <cell r="G123">
            <v>26740</v>
          </cell>
          <cell r="H123">
            <v>1.024</v>
          </cell>
          <cell r="I123">
            <v>26113</v>
          </cell>
        </row>
        <row r="124">
          <cell r="B124">
            <v>37653</v>
          </cell>
          <cell r="C124" t="str">
            <v>Thu</v>
          </cell>
          <cell r="D124">
            <v>37679.416666666664</v>
          </cell>
          <cell r="E124">
            <v>20</v>
          </cell>
          <cell r="F124">
            <v>21</v>
          </cell>
          <cell r="G124">
            <v>35569</v>
          </cell>
          <cell r="H124">
            <v>1.0257499999999999</v>
          </cell>
          <cell r="I124">
            <v>34676</v>
          </cell>
        </row>
        <row r="125">
          <cell r="B125">
            <v>37653</v>
          </cell>
          <cell r="C125" t="str">
            <v>Fri</v>
          </cell>
          <cell r="D125">
            <v>37680.416666666664</v>
          </cell>
          <cell r="E125">
            <v>13</v>
          </cell>
          <cell r="F125">
            <v>14</v>
          </cell>
          <cell r="G125">
            <v>25570</v>
          </cell>
          <cell r="H125">
            <v>1.0307499999999998</v>
          </cell>
          <cell r="I125">
            <v>24807</v>
          </cell>
        </row>
        <row r="126">
          <cell r="B126">
            <v>37681</v>
          </cell>
          <cell r="C126" t="str">
            <v>Sat</v>
          </cell>
          <cell r="D126">
            <v>37681.416666666664</v>
          </cell>
          <cell r="E126">
            <v>15</v>
          </cell>
          <cell r="F126">
            <v>15</v>
          </cell>
          <cell r="G126">
            <v>26378</v>
          </cell>
          <cell r="H126">
            <v>1.034</v>
          </cell>
          <cell r="I126">
            <v>25511</v>
          </cell>
        </row>
        <row r="127">
          <cell r="B127">
            <v>37681</v>
          </cell>
          <cell r="C127" t="str">
            <v>Sun</v>
          </cell>
          <cell r="D127">
            <v>37682.416666666664</v>
          </cell>
          <cell r="E127">
            <v>17</v>
          </cell>
          <cell r="F127">
            <v>18</v>
          </cell>
          <cell r="G127">
            <v>29202</v>
          </cell>
          <cell r="H127">
            <v>1.0422499999999999</v>
          </cell>
          <cell r="I127">
            <v>28018</v>
          </cell>
        </row>
        <row r="128">
          <cell r="B128">
            <v>37681</v>
          </cell>
          <cell r="C128" t="str">
            <v>Mon</v>
          </cell>
          <cell r="D128">
            <v>37683.416666666664</v>
          </cell>
          <cell r="E128">
            <v>14</v>
          </cell>
          <cell r="F128">
            <v>15</v>
          </cell>
          <cell r="G128">
            <v>30134</v>
          </cell>
          <cell r="H128">
            <v>1.038</v>
          </cell>
          <cell r="I128">
            <v>29031</v>
          </cell>
        </row>
        <row r="129">
          <cell r="B129">
            <v>37681</v>
          </cell>
          <cell r="C129" t="str">
            <v>Tue</v>
          </cell>
          <cell r="D129">
            <v>37684.416666666664</v>
          </cell>
          <cell r="E129">
            <v>11</v>
          </cell>
          <cell r="F129">
            <v>12</v>
          </cell>
          <cell r="G129">
            <v>25909</v>
          </cell>
          <cell r="H129">
            <v>1.0375000000000001</v>
          </cell>
          <cell r="I129">
            <v>24973</v>
          </cell>
        </row>
        <row r="130">
          <cell r="B130">
            <v>37681</v>
          </cell>
          <cell r="C130" t="str">
            <v>Wed</v>
          </cell>
          <cell r="D130">
            <v>37685.416666666664</v>
          </cell>
          <cell r="E130">
            <v>0</v>
          </cell>
          <cell r="F130">
            <v>0</v>
          </cell>
          <cell r="G130">
            <v>17206</v>
          </cell>
          <cell r="H130">
            <v>1.0387499999999998</v>
          </cell>
          <cell r="I130">
            <v>16564</v>
          </cell>
        </row>
        <row r="131">
          <cell r="B131">
            <v>37681</v>
          </cell>
          <cell r="C131" t="str">
            <v>Thu</v>
          </cell>
          <cell r="D131">
            <v>37686.416666666664</v>
          </cell>
          <cell r="E131">
            <v>6</v>
          </cell>
          <cell r="F131">
            <v>7</v>
          </cell>
          <cell r="G131">
            <v>18660</v>
          </cell>
          <cell r="H131">
            <v>1.0387500000000001</v>
          </cell>
          <cell r="I131">
            <v>17964</v>
          </cell>
        </row>
        <row r="132">
          <cell r="B132">
            <v>37681</v>
          </cell>
          <cell r="C132" t="str">
            <v>Fri</v>
          </cell>
          <cell r="D132">
            <v>37687.416666666664</v>
          </cell>
          <cell r="E132">
            <v>9</v>
          </cell>
          <cell r="F132">
            <v>9</v>
          </cell>
          <cell r="G132">
            <v>18145</v>
          </cell>
          <cell r="H132">
            <v>1.0409999999999999</v>
          </cell>
          <cell r="I132">
            <v>17430</v>
          </cell>
        </row>
        <row r="133">
          <cell r="B133">
            <v>37681</v>
          </cell>
          <cell r="C133" t="str">
            <v>Sat</v>
          </cell>
          <cell r="D133">
            <v>37688.416666666664</v>
          </cell>
          <cell r="E133">
            <v>4</v>
          </cell>
          <cell r="F133">
            <v>4</v>
          </cell>
          <cell r="G133">
            <v>13938</v>
          </cell>
          <cell r="H133">
            <v>1.0447500000000001</v>
          </cell>
          <cell r="I133">
            <v>13341</v>
          </cell>
        </row>
        <row r="134">
          <cell r="B134">
            <v>37681</v>
          </cell>
          <cell r="C134" t="str">
            <v>Sun</v>
          </cell>
          <cell r="D134">
            <v>37689.416666666664</v>
          </cell>
          <cell r="E134">
            <v>4</v>
          </cell>
          <cell r="F134">
            <v>4</v>
          </cell>
          <cell r="G134">
            <v>16759</v>
          </cell>
          <cell r="H134">
            <v>1.0447500000000001</v>
          </cell>
          <cell r="I134">
            <v>16041</v>
          </cell>
        </row>
        <row r="135">
          <cell r="B135">
            <v>37681</v>
          </cell>
          <cell r="C135" t="str">
            <v>Mon</v>
          </cell>
          <cell r="D135">
            <v>37690.416666666664</v>
          </cell>
          <cell r="E135">
            <v>8</v>
          </cell>
          <cell r="F135">
            <v>8</v>
          </cell>
          <cell r="G135">
            <v>22768</v>
          </cell>
          <cell r="H135">
            <v>1.0447500000000001</v>
          </cell>
          <cell r="I135">
            <v>21793</v>
          </cell>
        </row>
        <row r="136">
          <cell r="B136">
            <v>37681</v>
          </cell>
          <cell r="C136" t="str">
            <v>Tue</v>
          </cell>
          <cell r="D136">
            <v>37691.416666666664</v>
          </cell>
          <cell r="E136">
            <v>6</v>
          </cell>
          <cell r="F136">
            <v>6</v>
          </cell>
          <cell r="G136">
            <v>21510</v>
          </cell>
          <cell r="H136">
            <v>1.04375</v>
          </cell>
          <cell r="I136">
            <v>20608</v>
          </cell>
        </row>
        <row r="137">
          <cell r="B137">
            <v>37681</v>
          </cell>
          <cell r="C137" t="str">
            <v>Wed</v>
          </cell>
          <cell r="D137">
            <v>37692.416666666664</v>
          </cell>
          <cell r="E137">
            <v>0</v>
          </cell>
          <cell r="F137">
            <v>0</v>
          </cell>
          <cell r="G137">
            <v>16914</v>
          </cell>
          <cell r="H137">
            <v>1.0394999999999999</v>
          </cell>
          <cell r="I137">
            <v>16271</v>
          </cell>
        </row>
        <row r="138">
          <cell r="B138">
            <v>37681</v>
          </cell>
          <cell r="C138" t="str">
            <v>Thu</v>
          </cell>
          <cell r="D138">
            <v>37693.416666666664</v>
          </cell>
          <cell r="E138">
            <v>0</v>
          </cell>
          <cell r="F138">
            <v>0</v>
          </cell>
          <cell r="G138">
            <v>15680</v>
          </cell>
          <cell r="H138">
            <v>1.04175</v>
          </cell>
          <cell r="I138">
            <v>15052</v>
          </cell>
        </row>
        <row r="139">
          <cell r="B139">
            <v>37681</v>
          </cell>
          <cell r="C139" t="str">
            <v>Fri</v>
          </cell>
          <cell r="D139">
            <v>37694.416666666664</v>
          </cell>
          <cell r="E139">
            <v>4</v>
          </cell>
          <cell r="F139">
            <v>4</v>
          </cell>
          <cell r="G139">
            <v>15089</v>
          </cell>
          <cell r="H139">
            <v>1.0434999999999999</v>
          </cell>
          <cell r="I139">
            <v>14460</v>
          </cell>
        </row>
        <row r="140">
          <cell r="B140">
            <v>37681</v>
          </cell>
          <cell r="C140" t="str">
            <v>Sat</v>
          </cell>
          <cell r="D140">
            <v>37695.416666666664</v>
          </cell>
          <cell r="E140">
            <v>11</v>
          </cell>
          <cell r="F140">
            <v>11</v>
          </cell>
          <cell r="G140">
            <v>19776</v>
          </cell>
          <cell r="H140">
            <v>1.04</v>
          </cell>
          <cell r="I140">
            <v>19015</v>
          </cell>
        </row>
        <row r="141">
          <cell r="B141">
            <v>37681</v>
          </cell>
          <cell r="C141" t="str">
            <v>Sun</v>
          </cell>
          <cell r="D141">
            <v>37696.416666666664</v>
          </cell>
          <cell r="E141">
            <v>6</v>
          </cell>
          <cell r="F141">
            <v>6</v>
          </cell>
          <cell r="G141">
            <v>19553</v>
          </cell>
          <cell r="H141">
            <v>1.0389999999999999</v>
          </cell>
          <cell r="I141">
            <v>18819</v>
          </cell>
        </row>
        <row r="142">
          <cell r="B142">
            <v>37681</v>
          </cell>
          <cell r="C142" t="str">
            <v>Mon</v>
          </cell>
          <cell r="D142">
            <v>37697.416666666664</v>
          </cell>
          <cell r="E142">
            <v>6</v>
          </cell>
          <cell r="F142">
            <v>6</v>
          </cell>
          <cell r="G142">
            <v>22045</v>
          </cell>
          <cell r="H142">
            <v>1.0387499999999998</v>
          </cell>
          <cell r="I142">
            <v>21223</v>
          </cell>
        </row>
        <row r="143">
          <cell r="B143">
            <v>37681</v>
          </cell>
          <cell r="C143" t="str">
            <v>Tue</v>
          </cell>
          <cell r="D143">
            <v>37698.416666666664</v>
          </cell>
          <cell r="E143">
            <v>1</v>
          </cell>
          <cell r="F143">
            <v>1</v>
          </cell>
          <cell r="G143">
            <v>18231</v>
          </cell>
          <cell r="H143">
            <v>1.0389999999999999</v>
          </cell>
          <cell r="I143">
            <v>17547</v>
          </cell>
        </row>
        <row r="144">
          <cell r="B144">
            <v>37681</v>
          </cell>
          <cell r="C144" t="str">
            <v>Wed</v>
          </cell>
          <cell r="D144">
            <v>37699.416666666664</v>
          </cell>
          <cell r="E144">
            <v>0</v>
          </cell>
          <cell r="F144">
            <v>0</v>
          </cell>
          <cell r="G144">
            <v>16439</v>
          </cell>
          <cell r="H144">
            <v>1.0387500000000001</v>
          </cell>
          <cell r="I144">
            <v>15826</v>
          </cell>
        </row>
        <row r="145">
          <cell r="B145">
            <v>37681</v>
          </cell>
          <cell r="C145" t="str">
            <v>Thu</v>
          </cell>
          <cell r="D145">
            <v>37700.416666666664</v>
          </cell>
          <cell r="E145">
            <v>0</v>
          </cell>
          <cell r="F145">
            <v>0</v>
          </cell>
          <cell r="G145">
            <v>16080</v>
          </cell>
          <cell r="H145">
            <v>1.0357499999999999</v>
          </cell>
          <cell r="I145">
            <v>15525</v>
          </cell>
        </row>
        <row r="146">
          <cell r="B146">
            <v>37681</v>
          </cell>
          <cell r="C146" t="str">
            <v>Fri</v>
          </cell>
          <cell r="D146">
            <v>37701.416666666664</v>
          </cell>
          <cell r="E146">
            <v>3</v>
          </cell>
          <cell r="F146">
            <v>3</v>
          </cell>
          <cell r="G146">
            <v>15910</v>
          </cell>
          <cell r="H146">
            <v>1.0362499999999999</v>
          </cell>
          <cell r="I146">
            <v>15353</v>
          </cell>
        </row>
        <row r="147">
          <cell r="B147">
            <v>37681</v>
          </cell>
          <cell r="C147" t="str">
            <v>Sat</v>
          </cell>
          <cell r="D147">
            <v>37702.416666666664</v>
          </cell>
          <cell r="E147">
            <v>3</v>
          </cell>
          <cell r="F147">
            <v>3</v>
          </cell>
          <cell r="G147">
            <v>13891</v>
          </cell>
          <cell r="H147">
            <v>1.036</v>
          </cell>
          <cell r="I147">
            <v>13408</v>
          </cell>
        </row>
        <row r="148">
          <cell r="B148">
            <v>37681</v>
          </cell>
          <cell r="C148" t="str">
            <v>Sun</v>
          </cell>
          <cell r="D148">
            <v>37703.416666666664</v>
          </cell>
          <cell r="E148">
            <v>4</v>
          </cell>
          <cell r="F148">
            <v>4</v>
          </cell>
          <cell r="G148">
            <v>16927</v>
          </cell>
          <cell r="H148">
            <v>1.03725</v>
          </cell>
          <cell r="I148">
            <v>16319</v>
          </cell>
        </row>
        <row r="149">
          <cell r="B149">
            <v>37681</v>
          </cell>
          <cell r="C149" t="str">
            <v>Mon</v>
          </cell>
          <cell r="D149">
            <v>37704.416666666664</v>
          </cell>
          <cell r="E149">
            <v>3</v>
          </cell>
          <cell r="F149">
            <v>3</v>
          </cell>
          <cell r="G149">
            <v>18474</v>
          </cell>
          <cell r="H149">
            <v>1.0369999999999999</v>
          </cell>
          <cell r="I149">
            <v>17815</v>
          </cell>
        </row>
        <row r="150">
          <cell r="B150">
            <v>37681</v>
          </cell>
          <cell r="C150" t="str">
            <v>Tue</v>
          </cell>
          <cell r="D150">
            <v>37705.416666666664</v>
          </cell>
          <cell r="E150">
            <v>0</v>
          </cell>
          <cell r="F150">
            <v>0</v>
          </cell>
          <cell r="G150">
            <v>15331</v>
          </cell>
          <cell r="H150">
            <v>1.0367500000000001</v>
          </cell>
          <cell r="I150">
            <v>14788</v>
          </cell>
        </row>
        <row r="151">
          <cell r="B151">
            <v>37681</v>
          </cell>
          <cell r="C151" t="str">
            <v>Wed</v>
          </cell>
          <cell r="D151">
            <v>37706.416666666664</v>
          </cell>
          <cell r="E151">
            <v>0</v>
          </cell>
          <cell r="F151">
            <v>0</v>
          </cell>
          <cell r="G151">
            <v>14768</v>
          </cell>
          <cell r="H151">
            <v>1.03725</v>
          </cell>
          <cell r="I151">
            <v>14238</v>
          </cell>
        </row>
        <row r="152">
          <cell r="B152">
            <v>37681</v>
          </cell>
          <cell r="C152" t="str">
            <v>Thu</v>
          </cell>
          <cell r="D152">
            <v>37707.416666666664</v>
          </cell>
          <cell r="E152">
            <v>0</v>
          </cell>
          <cell r="F152">
            <v>0</v>
          </cell>
          <cell r="G152">
            <v>14046</v>
          </cell>
          <cell r="H152">
            <v>1.0347500000000001</v>
          </cell>
          <cell r="I152">
            <v>13574</v>
          </cell>
        </row>
        <row r="153">
          <cell r="B153">
            <v>37681</v>
          </cell>
          <cell r="C153" t="str">
            <v>Fri</v>
          </cell>
          <cell r="D153">
            <v>37708.416666666664</v>
          </cell>
          <cell r="E153">
            <v>2</v>
          </cell>
          <cell r="F153">
            <v>2</v>
          </cell>
          <cell r="G153">
            <v>13001</v>
          </cell>
          <cell r="H153">
            <v>1.0355000000000001</v>
          </cell>
          <cell r="I153">
            <v>12555</v>
          </cell>
        </row>
        <row r="154">
          <cell r="B154">
            <v>37681</v>
          </cell>
          <cell r="C154" t="str">
            <v>Sat</v>
          </cell>
          <cell r="D154">
            <v>37709.416666666664</v>
          </cell>
          <cell r="E154">
            <v>10</v>
          </cell>
          <cell r="F154">
            <v>11</v>
          </cell>
          <cell r="G154">
            <v>16002</v>
          </cell>
          <cell r="H154">
            <v>1.0325</v>
          </cell>
          <cell r="I154">
            <v>15498</v>
          </cell>
        </row>
        <row r="155">
          <cell r="B155">
            <v>37681</v>
          </cell>
          <cell r="C155" t="str">
            <v>Sun</v>
          </cell>
          <cell r="D155">
            <v>37710.416666666664</v>
          </cell>
          <cell r="E155">
            <v>20</v>
          </cell>
          <cell r="F155">
            <v>21</v>
          </cell>
          <cell r="G155">
            <v>30176</v>
          </cell>
          <cell r="H155">
            <v>1.0369999999999999</v>
          </cell>
          <cell r="I155">
            <v>29099</v>
          </cell>
        </row>
        <row r="156">
          <cell r="B156">
            <v>37681</v>
          </cell>
          <cell r="C156" t="str">
            <v>Mon</v>
          </cell>
          <cell r="D156">
            <v>37711.416666666664</v>
          </cell>
          <cell r="E156">
            <v>16</v>
          </cell>
          <cell r="F156">
            <v>17</v>
          </cell>
          <cell r="G156">
            <v>29350</v>
          </cell>
          <cell r="H156">
            <v>1.036</v>
          </cell>
          <cell r="I156">
            <v>28330</v>
          </cell>
        </row>
        <row r="157">
          <cell r="B157">
            <v>37712</v>
          </cell>
          <cell r="C157" t="str">
            <v>Tue</v>
          </cell>
          <cell r="D157">
            <v>37712.416666666664</v>
          </cell>
          <cell r="E157">
            <v>4</v>
          </cell>
          <cell r="F157">
            <v>4</v>
          </cell>
          <cell r="G157">
            <v>19296</v>
          </cell>
          <cell r="H157">
            <v>1.03325</v>
          </cell>
          <cell r="I157">
            <v>18675</v>
          </cell>
        </row>
        <row r="158">
          <cell r="B158">
            <v>37712</v>
          </cell>
          <cell r="C158" t="str">
            <v>Wed</v>
          </cell>
          <cell r="D158">
            <v>37713.416666666664</v>
          </cell>
          <cell r="E158">
            <v>2</v>
          </cell>
          <cell r="F158">
            <v>2</v>
          </cell>
          <cell r="G158">
            <v>17483</v>
          </cell>
          <cell r="H158">
            <v>1.0327500000000001</v>
          </cell>
          <cell r="I158">
            <v>16929</v>
          </cell>
        </row>
        <row r="159">
          <cell r="B159">
            <v>37712</v>
          </cell>
          <cell r="C159" t="str">
            <v>Thu</v>
          </cell>
          <cell r="D159">
            <v>37714.416666666664</v>
          </cell>
          <cell r="E159">
            <v>0</v>
          </cell>
          <cell r="F159">
            <v>0</v>
          </cell>
          <cell r="G159">
            <v>15124</v>
          </cell>
          <cell r="H159">
            <v>1.0317499999999999</v>
          </cell>
          <cell r="I159">
            <v>14659</v>
          </cell>
        </row>
        <row r="160">
          <cell r="B160">
            <v>37712</v>
          </cell>
          <cell r="C160" t="str">
            <v>Fri</v>
          </cell>
          <cell r="D160">
            <v>37715.416666666664</v>
          </cell>
          <cell r="E160">
            <v>0</v>
          </cell>
          <cell r="F160">
            <v>0</v>
          </cell>
          <cell r="G160">
            <v>12700</v>
          </cell>
          <cell r="H160">
            <v>1.0327500000000001</v>
          </cell>
          <cell r="I160">
            <v>12297</v>
          </cell>
        </row>
        <row r="161">
          <cell r="B161">
            <v>37712</v>
          </cell>
          <cell r="C161" t="str">
            <v>Sat</v>
          </cell>
          <cell r="D161">
            <v>37716.416666666664</v>
          </cell>
          <cell r="E161">
            <v>0</v>
          </cell>
          <cell r="F161">
            <v>0</v>
          </cell>
          <cell r="G161">
            <v>10306</v>
          </cell>
          <cell r="H161">
            <v>1.0322499999999999</v>
          </cell>
          <cell r="I161">
            <v>9984</v>
          </cell>
        </row>
        <row r="162">
          <cell r="B162">
            <v>37712</v>
          </cell>
          <cell r="C162" t="str">
            <v>Sun</v>
          </cell>
          <cell r="D162">
            <v>37717.416666666664</v>
          </cell>
          <cell r="E162">
            <v>0</v>
          </cell>
          <cell r="F162">
            <v>0</v>
          </cell>
          <cell r="G162">
            <v>11808</v>
          </cell>
          <cell r="H162">
            <v>1.0357499999999999</v>
          </cell>
          <cell r="I162">
            <v>11400</v>
          </cell>
        </row>
        <row r="163">
          <cell r="B163">
            <v>37712</v>
          </cell>
          <cell r="C163" t="str">
            <v>Mon</v>
          </cell>
          <cell r="D163">
            <v>37718.416666666664</v>
          </cell>
          <cell r="E163">
            <v>0</v>
          </cell>
          <cell r="F163">
            <v>0</v>
          </cell>
          <cell r="G163">
            <v>14735</v>
          </cell>
          <cell r="H163">
            <v>1.0382500000000001</v>
          </cell>
          <cell r="I163">
            <v>14192</v>
          </cell>
        </row>
        <row r="164">
          <cell r="B164">
            <v>37712</v>
          </cell>
          <cell r="C164" t="str">
            <v>Tue</v>
          </cell>
          <cell r="D164">
            <v>37719.416666666664</v>
          </cell>
          <cell r="E164">
            <v>4</v>
          </cell>
          <cell r="F164">
            <v>4</v>
          </cell>
          <cell r="G164">
            <v>15974</v>
          </cell>
          <cell r="H164">
            <v>1.0375000000000001</v>
          </cell>
          <cell r="I164">
            <v>15397</v>
          </cell>
        </row>
        <row r="165">
          <cell r="B165">
            <v>37712</v>
          </cell>
          <cell r="C165" t="str">
            <v>Wed</v>
          </cell>
          <cell r="D165">
            <v>37720.416666666664</v>
          </cell>
          <cell r="E165">
            <v>15</v>
          </cell>
          <cell r="F165">
            <v>17</v>
          </cell>
          <cell r="G165">
            <v>24532</v>
          </cell>
          <cell r="H165">
            <v>1.0369999999999999</v>
          </cell>
          <cell r="I165">
            <v>23657</v>
          </cell>
        </row>
        <row r="166">
          <cell r="B166">
            <v>37712</v>
          </cell>
          <cell r="C166" t="str">
            <v>Thu</v>
          </cell>
          <cell r="D166">
            <v>37721.416666666664</v>
          </cell>
          <cell r="E166">
            <v>19</v>
          </cell>
          <cell r="F166">
            <v>21</v>
          </cell>
          <cell r="G166">
            <v>33315</v>
          </cell>
          <cell r="H166">
            <v>1.0369999999999999</v>
          </cell>
          <cell r="I166">
            <v>32126</v>
          </cell>
        </row>
        <row r="167">
          <cell r="B167">
            <v>37712</v>
          </cell>
          <cell r="C167" t="str">
            <v>Fri</v>
          </cell>
          <cell r="D167">
            <v>37722.416666666664</v>
          </cell>
          <cell r="E167">
            <v>6</v>
          </cell>
          <cell r="F167">
            <v>6</v>
          </cell>
          <cell r="G167">
            <v>18639</v>
          </cell>
          <cell r="H167">
            <v>1.036</v>
          </cell>
          <cell r="I167">
            <v>17991</v>
          </cell>
        </row>
        <row r="168">
          <cell r="B168">
            <v>37712</v>
          </cell>
          <cell r="C168" t="str">
            <v>Sat</v>
          </cell>
          <cell r="D168">
            <v>37723.416666666664</v>
          </cell>
          <cell r="E168">
            <v>0</v>
          </cell>
          <cell r="F168">
            <v>0</v>
          </cell>
          <cell r="G168">
            <v>12576</v>
          </cell>
          <cell r="H168">
            <v>1.0357499999999999</v>
          </cell>
          <cell r="I168">
            <v>12142</v>
          </cell>
        </row>
        <row r="169">
          <cell r="B169">
            <v>37712</v>
          </cell>
          <cell r="C169" t="str">
            <v>Sun</v>
          </cell>
          <cell r="D169">
            <v>37724.416666666664</v>
          </cell>
          <cell r="E169">
            <v>0</v>
          </cell>
          <cell r="F169">
            <v>0</v>
          </cell>
          <cell r="G169">
            <v>12333</v>
          </cell>
          <cell r="H169">
            <v>1.0387499999999998</v>
          </cell>
          <cell r="I169">
            <v>11873</v>
          </cell>
        </row>
        <row r="170">
          <cell r="B170">
            <v>37712</v>
          </cell>
          <cell r="C170" t="str">
            <v>Mon</v>
          </cell>
          <cell r="D170">
            <v>37725.416666666664</v>
          </cell>
          <cell r="E170">
            <v>0</v>
          </cell>
          <cell r="F170">
            <v>0</v>
          </cell>
          <cell r="G170">
            <v>13502</v>
          </cell>
          <cell r="H170">
            <v>1.0387500000000001</v>
          </cell>
          <cell r="I170">
            <v>12998</v>
          </cell>
        </row>
        <row r="171">
          <cell r="B171">
            <v>37712</v>
          </cell>
          <cell r="C171" t="str">
            <v>Tue</v>
          </cell>
          <cell r="D171">
            <v>37726.416666666664</v>
          </cell>
          <cell r="E171">
            <v>0</v>
          </cell>
          <cell r="F171">
            <v>0</v>
          </cell>
          <cell r="G171">
            <v>13601</v>
          </cell>
          <cell r="H171">
            <v>1.0385000000000002</v>
          </cell>
          <cell r="I171">
            <v>13097</v>
          </cell>
        </row>
        <row r="172">
          <cell r="B172">
            <v>37712</v>
          </cell>
          <cell r="C172" t="str">
            <v>Wed</v>
          </cell>
          <cell r="D172">
            <v>37727.416666666664</v>
          </cell>
          <cell r="E172">
            <v>0</v>
          </cell>
          <cell r="F172">
            <v>0</v>
          </cell>
          <cell r="G172">
            <v>13199</v>
          </cell>
          <cell r="H172">
            <v>1.0362499999999999</v>
          </cell>
          <cell r="I172">
            <v>12737</v>
          </cell>
        </row>
        <row r="173">
          <cell r="B173">
            <v>37712</v>
          </cell>
          <cell r="C173" t="str">
            <v>Thu</v>
          </cell>
          <cell r="D173">
            <v>37728.416666666664</v>
          </cell>
          <cell r="E173">
            <v>0</v>
          </cell>
          <cell r="F173">
            <v>0</v>
          </cell>
          <cell r="G173">
            <v>11106</v>
          </cell>
          <cell r="H173">
            <v>1.0377500000000002</v>
          </cell>
          <cell r="I173">
            <v>10702</v>
          </cell>
        </row>
        <row r="174">
          <cell r="B174">
            <v>37712</v>
          </cell>
          <cell r="C174" t="str">
            <v>Fri</v>
          </cell>
          <cell r="D174">
            <v>37729.416666666664</v>
          </cell>
          <cell r="E174">
            <v>0</v>
          </cell>
          <cell r="F174">
            <v>0</v>
          </cell>
          <cell r="G174">
            <v>8561</v>
          </cell>
          <cell r="H174">
            <v>1.0365</v>
          </cell>
          <cell r="I174">
            <v>8260</v>
          </cell>
        </row>
        <row r="175">
          <cell r="B175">
            <v>37712</v>
          </cell>
          <cell r="C175" t="str">
            <v>Sat</v>
          </cell>
          <cell r="D175">
            <v>37730.416666666664</v>
          </cell>
          <cell r="E175">
            <v>0</v>
          </cell>
          <cell r="F175">
            <v>0</v>
          </cell>
          <cell r="G175">
            <v>9123</v>
          </cell>
          <cell r="H175">
            <v>1.0405</v>
          </cell>
          <cell r="I175">
            <v>8768</v>
          </cell>
        </row>
        <row r="176">
          <cell r="B176">
            <v>37712</v>
          </cell>
          <cell r="C176" t="str">
            <v>Sun</v>
          </cell>
          <cell r="D176">
            <v>37731.416666666664</v>
          </cell>
          <cell r="E176">
            <v>0</v>
          </cell>
          <cell r="F176">
            <v>0</v>
          </cell>
          <cell r="G176">
            <v>9962</v>
          </cell>
          <cell r="H176">
            <v>1.0389999999999999</v>
          </cell>
          <cell r="I176">
            <v>9588</v>
          </cell>
        </row>
        <row r="177">
          <cell r="B177">
            <v>37712</v>
          </cell>
          <cell r="C177" t="str">
            <v>Mon</v>
          </cell>
          <cell r="D177">
            <v>37732.416666666664</v>
          </cell>
          <cell r="E177">
            <v>0</v>
          </cell>
          <cell r="F177">
            <v>0</v>
          </cell>
          <cell r="G177">
            <v>13445</v>
          </cell>
          <cell r="H177">
            <v>1.0369999999999999</v>
          </cell>
          <cell r="I177">
            <v>12965</v>
          </cell>
        </row>
        <row r="178">
          <cell r="B178">
            <v>37712</v>
          </cell>
          <cell r="C178" t="str">
            <v>Tue</v>
          </cell>
          <cell r="D178">
            <v>37733.416666666664</v>
          </cell>
          <cell r="E178">
            <v>2</v>
          </cell>
          <cell r="F178">
            <v>2</v>
          </cell>
          <cell r="G178">
            <v>14957</v>
          </cell>
          <cell r="H178">
            <v>1.0382500000000001</v>
          </cell>
          <cell r="I178">
            <v>14406</v>
          </cell>
        </row>
        <row r="179">
          <cell r="B179">
            <v>37712</v>
          </cell>
          <cell r="C179" t="str">
            <v>Wed</v>
          </cell>
          <cell r="D179">
            <v>37734.416666666664</v>
          </cell>
          <cell r="E179">
            <v>3</v>
          </cell>
          <cell r="F179">
            <v>3</v>
          </cell>
          <cell r="G179">
            <v>15451</v>
          </cell>
          <cell r="H179">
            <v>1.0389999999999999</v>
          </cell>
          <cell r="I179">
            <v>14871</v>
          </cell>
        </row>
        <row r="180">
          <cell r="B180">
            <v>37712</v>
          </cell>
          <cell r="C180" t="str">
            <v>Thu</v>
          </cell>
          <cell r="D180">
            <v>37735.416666666664</v>
          </cell>
          <cell r="E180">
            <v>3</v>
          </cell>
          <cell r="F180">
            <v>3</v>
          </cell>
          <cell r="G180">
            <v>14096</v>
          </cell>
          <cell r="H180">
            <v>1.0387499999999998</v>
          </cell>
          <cell r="I180">
            <v>13570</v>
          </cell>
        </row>
        <row r="181">
          <cell r="B181">
            <v>37712</v>
          </cell>
          <cell r="C181" t="str">
            <v>Fri</v>
          </cell>
          <cell r="D181">
            <v>37736.416666666664</v>
          </cell>
          <cell r="E181">
            <v>2</v>
          </cell>
          <cell r="F181">
            <v>2</v>
          </cell>
          <cell r="G181">
            <v>12259</v>
          </cell>
          <cell r="H181">
            <v>1.03725</v>
          </cell>
          <cell r="I181">
            <v>11819</v>
          </cell>
        </row>
        <row r="182">
          <cell r="B182">
            <v>37712</v>
          </cell>
          <cell r="C182" t="str">
            <v>Sat</v>
          </cell>
          <cell r="D182">
            <v>37737.416666666664</v>
          </cell>
          <cell r="E182">
            <v>1</v>
          </cell>
          <cell r="F182">
            <v>1</v>
          </cell>
          <cell r="G182">
            <v>10824</v>
          </cell>
          <cell r="H182">
            <v>1.0425</v>
          </cell>
          <cell r="I182">
            <v>10383</v>
          </cell>
        </row>
        <row r="183">
          <cell r="B183">
            <v>37712</v>
          </cell>
          <cell r="C183" t="str">
            <v>Sun</v>
          </cell>
          <cell r="D183">
            <v>37738.416666666664</v>
          </cell>
          <cell r="E183">
            <v>0</v>
          </cell>
          <cell r="F183">
            <v>0</v>
          </cell>
          <cell r="G183">
            <v>12553</v>
          </cell>
          <cell r="H183">
            <v>1.04</v>
          </cell>
          <cell r="I183">
            <v>12070</v>
          </cell>
        </row>
        <row r="184">
          <cell r="B184">
            <v>37712</v>
          </cell>
          <cell r="C184" t="str">
            <v>Mon</v>
          </cell>
          <cell r="D184">
            <v>37739.416666666664</v>
          </cell>
          <cell r="E184">
            <v>0</v>
          </cell>
          <cell r="F184">
            <v>0</v>
          </cell>
          <cell r="G184">
            <v>14244</v>
          </cell>
          <cell r="H184">
            <v>1.0385</v>
          </cell>
          <cell r="I184">
            <v>13716</v>
          </cell>
        </row>
        <row r="185">
          <cell r="B185">
            <v>37712</v>
          </cell>
          <cell r="C185" t="str">
            <v>Tue</v>
          </cell>
          <cell r="D185">
            <v>37740.416666666664</v>
          </cell>
          <cell r="E185">
            <v>0</v>
          </cell>
          <cell r="F185">
            <v>0</v>
          </cell>
          <cell r="G185">
            <v>12697</v>
          </cell>
          <cell r="H185">
            <v>1.038</v>
          </cell>
          <cell r="I185">
            <v>12232</v>
          </cell>
        </row>
        <row r="186">
          <cell r="B186">
            <v>37712</v>
          </cell>
          <cell r="C186" t="str">
            <v>Wed</v>
          </cell>
          <cell r="D186">
            <v>37741.416666666664</v>
          </cell>
          <cell r="E186">
            <v>0</v>
          </cell>
          <cell r="F186">
            <v>0</v>
          </cell>
          <cell r="G186">
            <v>13534</v>
          </cell>
          <cell r="H186">
            <v>1.0380000000000003</v>
          </cell>
          <cell r="I186">
            <v>13039</v>
          </cell>
        </row>
        <row r="187">
          <cell r="B187">
            <v>37742</v>
          </cell>
          <cell r="C187" t="str">
            <v>Thu</v>
          </cell>
          <cell r="D187">
            <v>37742.416666666664</v>
          </cell>
          <cell r="E187">
            <v>0</v>
          </cell>
          <cell r="F187">
            <v>0</v>
          </cell>
          <cell r="G187">
            <v>12257</v>
          </cell>
          <cell r="H187">
            <v>1.0365</v>
          </cell>
          <cell r="I187">
            <v>11825</v>
          </cell>
        </row>
        <row r="188">
          <cell r="B188">
            <v>37742</v>
          </cell>
          <cell r="C188" t="str">
            <v>Fri</v>
          </cell>
          <cell r="D188">
            <v>37743.416666666664</v>
          </cell>
          <cell r="E188">
            <v>0</v>
          </cell>
          <cell r="F188">
            <v>0</v>
          </cell>
          <cell r="G188">
            <v>10640</v>
          </cell>
          <cell r="H188">
            <v>1.038</v>
          </cell>
          <cell r="I188">
            <v>10250</v>
          </cell>
        </row>
        <row r="189">
          <cell r="B189">
            <v>37742</v>
          </cell>
          <cell r="C189" t="str">
            <v>Sat</v>
          </cell>
          <cell r="D189">
            <v>37744.416666666664</v>
          </cell>
          <cell r="E189">
            <v>0</v>
          </cell>
          <cell r="F189">
            <v>0</v>
          </cell>
          <cell r="G189">
            <v>9359</v>
          </cell>
          <cell r="H189">
            <v>1.0382500000000001</v>
          </cell>
          <cell r="I189">
            <v>9014</v>
          </cell>
        </row>
        <row r="190">
          <cell r="B190">
            <v>37742</v>
          </cell>
          <cell r="C190" t="str">
            <v>Sun</v>
          </cell>
          <cell r="D190">
            <v>37745.416666666664</v>
          </cell>
          <cell r="E190">
            <v>0</v>
          </cell>
          <cell r="F190">
            <v>0</v>
          </cell>
          <cell r="G190">
            <v>9490</v>
          </cell>
          <cell r="H190">
            <v>1.0377500000000002</v>
          </cell>
          <cell r="I190">
            <v>9145</v>
          </cell>
        </row>
        <row r="191">
          <cell r="B191">
            <v>37742</v>
          </cell>
          <cell r="C191" t="str">
            <v>Mon</v>
          </cell>
          <cell r="D191">
            <v>37746.416666666664</v>
          </cell>
          <cell r="E191">
            <v>0</v>
          </cell>
          <cell r="F191">
            <v>0</v>
          </cell>
          <cell r="G191">
            <v>11292</v>
          </cell>
          <cell r="H191">
            <v>1.0387500000000001</v>
          </cell>
          <cell r="I191">
            <v>10871</v>
          </cell>
        </row>
        <row r="192">
          <cell r="B192">
            <v>37742</v>
          </cell>
          <cell r="C192" t="str">
            <v>Tue</v>
          </cell>
          <cell r="D192">
            <v>37747.416666666664</v>
          </cell>
          <cell r="E192">
            <v>0</v>
          </cell>
          <cell r="F192">
            <v>0</v>
          </cell>
          <cell r="G192">
            <v>11173</v>
          </cell>
          <cell r="H192">
            <v>1.0392499999999998</v>
          </cell>
          <cell r="I192">
            <v>10751</v>
          </cell>
        </row>
        <row r="193">
          <cell r="B193">
            <v>37742</v>
          </cell>
          <cell r="C193" t="str">
            <v>Wed</v>
          </cell>
          <cell r="D193">
            <v>37748.416666666664</v>
          </cell>
          <cell r="E193">
            <v>0</v>
          </cell>
          <cell r="F193">
            <v>0</v>
          </cell>
          <cell r="G193">
            <v>11100</v>
          </cell>
          <cell r="H193">
            <v>1.0382499999999999</v>
          </cell>
          <cell r="I193">
            <v>10691</v>
          </cell>
        </row>
        <row r="194">
          <cell r="B194">
            <v>37742</v>
          </cell>
          <cell r="C194" t="str">
            <v>Thu</v>
          </cell>
          <cell r="D194">
            <v>37749.416666666664</v>
          </cell>
          <cell r="E194">
            <v>0</v>
          </cell>
          <cell r="F194">
            <v>0</v>
          </cell>
          <cell r="G194">
            <v>11051</v>
          </cell>
          <cell r="H194">
            <v>1.04</v>
          </cell>
          <cell r="I194">
            <v>10626</v>
          </cell>
        </row>
        <row r="195">
          <cell r="B195">
            <v>37742</v>
          </cell>
          <cell r="C195" t="str">
            <v>Fri</v>
          </cell>
          <cell r="D195">
            <v>37750.416666666664</v>
          </cell>
          <cell r="E195">
            <v>0</v>
          </cell>
          <cell r="F195">
            <v>0</v>
          </cell>
          <cell r="G195">
            <v>8829</v>
          </cell>
          <cell r="H195">
            <v>1.0385</v>
          </cell>
          <cell r="I195">
            <v>8502</v>
          </cell>
        </row>
        <row r="196">
          <cell r="B196">
            <v>37742</v>
          </cell>
          <cell r="C196" t="str">
            <v>Sat</v>
          </cell>
          <cell r="D196">
            <v>37751.416666666664</v>
          </cell>
          <cell r="E196">
            <v>0</v>
          </cell>
          <cell r="F196">
            <v>0</v>
          </cell>
          <cell r="G196">
            <v>5625</v>
          </cell>
          <cell r="H196">
            <v>0.77899999999999991</v>
          </cell>
          <cell r="I196">
            <v>7221</v>
          </cell>
        </row>
        <row r="197">
          <cell r="B197">
            <v>37742</v>
          </cell>
          <cell r="C197" t="str">
            <v>Sun</v>
          </cell>
          <cell r="D197">
            <v>37752.416666666664</v>
          </cell>
          <cell r="E197">
            <v>0</v>
          </cell>
          <cell r="F197">
            <v>0</v>
          </cell>
          <cell r="G197">
            <v>10108</v>
          </cell>
          <cell r="H197">
            <v>1.03725</v>
          </cell>
          <cell r="I197">
            <v>9745</v>
          </cell>
        </row>
        <row r="198">
          <cell r="B198">
            <v>37742</v>
          </cell>
          <cell r="C198" t="str">
            <v>Mon</v>
          </cell>
          <cell r="D198">
            <v>37753.416666666664</v>
          </cell>
          <cell r="E198">
            <v>0</v>
          </cell>
          <cell r="F198">
            <v>0</v>
          </cell>
          <cell r="G198">
            <v>13495</v>
          </cell>
          <cell r="H198">
            <v>1.0365</v>
          </cell>
          <cell r="I198">
            <v>13020</v>
          </cell>
        </row>
        <row r="199">
          <cell r="B199">
            <v>37742</v>
          </cell>
          <cell r="C199" t="str">
            <v>Tue</v>
          </cell>
          <cell r="D199">
            <v>37754.416666666664</v>
          </cell>
          <cell r="E199">
            <v>0</v>
          </cell>
          <cell r="F199">
            <v>0</v>
          </cell>
          <cell r="G199">
            <v>13349</v>
          </cell>
          <cell r="H199">
            <v>1.0382500000000001</v>
          </cell>
          <cell r="I199">
            <v>12857</v>
          </cell>
        </row>
        <row r="200">
          <cell r="B200">
            <v>37742</v>
          </cell>
          <cell r="C200" t="str">
            <v>Wed</v>
          </cell>
          <cell r="D200">
            <v>37755.416666666664</v>
          </cell>
          <cell r="E200">
            <v>0</v>
          </cell>
          <cell r="F200">
            <v>0</v>
          </cell>
          <cell r="G200">
            <v>13506</v>
          </cell>
          <cell r="H200">
            <v>1.0369999999999999</v>
          </cell>
          <cell r="I200">
            <v>13024</v>
          </cell>
        </row>
        <row r="201">
          <cell r="B201">
            <v>37742</v>
          </cell>
          <cell r="C201" t="str">
            <v>Thu</v>
          </cell>
          <cell r="D201">
            <v>37756.416666666664</v>
          </cell>
          <cell r="E201">
            <v>0</v>
          </cell>
          <cell r="F201">
            <v>0</v>
          </cell>
          <cell r="G201">
            <v>13165</v>
          </cell>
          <cell r="H201">
            <v>1.0349999999999999</v>
          </cell>
          <cell r="I201">
            <v>12720</v>
          </cell>
        </row>
        <row r="202">
          <cell r="B202">
            <v>37742</v>
          </cell>
          <cell r="C202" t="str">
            <v>Fri</v>
          </cell>
          <cell r="D202">
            <v>37757.416666666664</v>
          </cell>
          <cell r="E202">
            <v>0</v>
          </cell>
          <cell r="F202">
            <v>0</v>
          </cell>
          <cell r="G202">
            <v>10549</v>
          </cell>
          <cell r="H202">
            <v>1.0349999999999999</v>
          </cell>
          <cell r="I202">
            <v>10192</v>
          </cell>
        </row>
        <row r="203">
          <cell r="B203">
            <v>37742</v>
          </cell>
          <cell r="C203" t="str">
            <v>Sat</v>
          </cell>
          <cell r="D203">
            <v>37758.416666666664</v>
          </cell>
          <cell r="E203">
            <v>0</v>
          </cell>
          <cell r="F203">
            <v>0</v>
          </cell>
          <cell r="G203">
            <v>9299</v>
          </cell>
          <cell r="H203">
            <v>1.03525</v>
          </cell>
          <cell r="I203">
            <v>8982</v>
          </cell>
        </row>
        <row r="204">
          <cell r="B204">
            <v>37742</v>
          </cell>
          <cell r="C204" t="str">
            <v>Sun</v>
          </cell>
          <cell r="D204">
            <v>37759.416666666664</v>
          </cell>
          <cell r="E204">
            <v>0</v>
          </cell>
          <cell r="F204">
            <v>0</v>
          </cell>
          <cell r="G204">
            <v>11480</v>
          </cell>
          <cell r="H204">
            <v>1.0372500000000002</v>
          </cell>
          <cell r="I204">
            <v>11068</v>
          </cell>
        </row>
        <row r="205">
          <cell r="B205">
            <v>37742</v>
          </cell>
          <cell r="C205" t="str">
            <v>Mon</v>
          </cell>
          <cell r="D205">
            <v>37760.416666666664</v>
          </cell>
          <cell r="E205">
            <v>0</v>
          </cell>
          <cell r="F205">
            <v>0</v>
          </cell>
          <cell r="G205">
            <v>12940</v>
          </cell>
          <cell r="H205">
            <v>1.03725</v>
          </cell>
          <cell r="I205">
            <v>12475</v>
          </cell>
        </row>
        <row r="206">
          <cell r="B206">
            <v>37742</v>
          </cell>
          <cell r="C206" t="str">
            <v>Tue</v>
          </cell>
          <cell r="D206">
            <v>37761.416666666664</v>
          </cell>
          <cell r="E206">
            <v>0</v>
          </cell>
          <cell r="F206">
            <v>0</v>
          </cell>
          <cell r="G206">
            <v>13362</v>
          </cell>
          <cell r="H206">
            <v>1.03725</v>
          </cell>
          <cell r="I206">
            <v>12882</v>
          </cell>
        </row>
        <row r="207">
          <cell r="B207">
            <v>37742</v>
          </cell>
          <cell r="C207" t="str">
            <v>Wed</v>
          </cell>
          <cell r="D207">
            <v>37762.416666666664</v>
          </cell>
          <cell r="E207">
            <v>0</v>
          </cell>
          <cell r="F207">
            <v>0</v>
          </cell>
          <cell r="G207">
            <v>11968</v>
          </cell>
          <cell r="H207">
            <v>1.0382499999999999</v>
          </cell>
          <cell r="I207">
            <v>11527</v>
          </cell>
        </row>
        <row r="208">
          <cell r="B208">
            <v>37742</v>
          </cell>
          <cell r="C208" t="str">
            <v>Thu</v>
          </cell>
          <cell r="D208">
            <v>37763.416666666664</v>
          </cell>
          <cell r="E208">
            <v>0</v>
          </cell>
          <cell r="F208">
            <v>0</v>
          </cell>
          <cell r="G208">
            <v>11339</v>
          </cell>
          <cell r="H208">
            <v>1.0347499999999998</v>
          </cell>
          <cell r="I208">
            <v>10958</v>
          </cell>
        </row>
        <row r="209">
          <cell r="B209">
            <v>37742</v>
          </cell>
          <cell r="C209" t="str">
            <v>Fri</v>
          </cell>
          <cell r="D209">
            <v>37764.416666666664</v>
          </cell>
          <cell r="E209">
            <v>0</v>
          </cell>
          <cell r="F209">
            <v>0</v>
          </cell>
          <cell r="G209">
            <v>8887</v>
          </cell>
          <cell r="H209">
            <v>1.03525</v>
          </cell>
          <cell r="I209">
            <v>8584</v>
          </cell>
        </row>
        <row r="210">
          <cell r="B210">
            <v>37742</v>
          </cell>
          <cell r="C210" t="str">
            <v>Sat</v>
          </cell>
          <cell r="D210">
            <v>37765.416666666664</v>
          </cell>
          <cell r="E210">
            <v>0</v>
          </cell>
          <cell r="F210">
            <v>0</v>
          </cell>
          <cell r="G210">
            <v>7219</v>
          </cell>
          <cell r="H210">
            <v>1.0357499999999999</v>
          </cell>
          <cell r="I210">
            <v>6970</v>
          </cell>
        </row>
        <row r="211">
          <cell r="B211">
            <v>37742</v>
          </cell>
          <cell r="C211" t="str">
            <v>Sun</v>
          </cell>
          <cell r="D211">
            <v>37766.416666666664</v>
          </cell>
          <cell r="E211">
            <v>0</v>
          </cell>
          <cell r="F211">
            <v>0</v>
          </cell>
          <cell r="G211">
            <v>6720</v>
          </cell>
          <cell r="H211">
            <v>1.0365</v>
          </cell>
          <cell r="I211">
            <v>6483</v>
          </cell>
        </row>
        <row r="212">
          <cell r="B212">
            <v>37742</v>
          </cell>
          <cell r="C212" t="str">
            <v>Mon</v>
          </cell>
          <cell r="D212">
            <v>37767.416666666664</v>
          </cell>
          <cell r="E212">
            <v>0</v>
          </cell>
          <cell r="F212">
            <v>0</v>
          </cell>
          <cell r="G212">
            <v>9591</v>
          </cell>
          <cell r="H212">
            <v>1.0335000000000001</v>
          </cell>
          <cell r="I212">
            <v>9280</v>
          </cell>
        </row>
        <row r="213">
          <cell r="B213">
            <v>37742</v>
          </cell>
          <cell r="C213" t="str">
            <v>Tue</v>
          </cell>
          <cell r="D213">
            <v>37768.416666666664</v>
          </cell>
          <cell r="E213">
            <v>0</v>
          </cell>
          <cell r="F213">
            <v>0</v>
          </cell>
          <cell r="G213">
            <v>11256</v>
          </cell>
          <cell r="H213">
            <v>1.0349999999999999</v>
          </cell>
          <cell r="I213">
            <v>10875</v>
          </cell>
        </row>
        <row r="214">
          <cell r="B214">
            <v>37742</v>
          </cell>
          <cell r="C214" t="str">
            <v>Wed</v>
          </cell>
          <cell r="D214">
            <v>37769.416666666664</v>
          </cell>
          <cell r="E214">
            <v>0</v>
          </cell>
          <cell r="F214">
            <v>0</v>
          </cell>
          <cell r="G214">
            <v>11773</v>
          </cell>
          <cell r="H214">
            <v>1.0365</v>
          </cell>
          <cell r="I214">
            <v>11358</v>
          </cell>
        </row>
        <row r="215">
          <cell r="B215">
            <v>37742</v>
          </cell>
          <cell r="C215" t="str">
            <v>Thu</v>
          </cell>
          <cell r="D215">
            <v>37770.416666666664</v>
          </cell>
          <cell r="E215">
            <v>0</v>
          </cell>
          <cell r="F215">
            <v>0</v>
          </cell>
          <cell r="G215">
            <v>12179</v>
          </cell>
          <cell r="H215">
            <v>1.0362499999999999</v>
          </cell>
          <cell r="I215">
            <v>11753</v>
          </cell>
        </row>
        <row r="216">
          <cell r="B216">
            <v>37742</v>
          </cell>
          <cell r="C216" t="str">
            <v>Fri</v>
          </cell>
          <cell r="D216">
            <v>37771.416666666664</v>
          </cell>
          <cell r="E216">
            <v>0</v>
          </cell>
          <cell r="F216">
            <v>0</v>
          </cell>
          <cell r="G216">
            <v>10325</v>
          </cell>
          <cell r="H216">
            <v>1.0357499999999999</v>
          </cell>
          <cell r="I216">
            <v>9969</v>
          </cell>
        </row>
        <row r="217">
          <cell r="B217">
            <v>37742</v>
          </cell>
          <cell r="C217" t="str">
            <v>Sat</v>
          </cell>
          <cell r="D217">
            <v>37772.416666666664</v>
          </cell>
          <cell r="E217">
            <v>0</v>
          </cell>
          <cell r="F217">
            <v>0</v>
          </cell>
          <cell r="G217">
            <v>8813</v>
          </cell>
          <cell r="H217">
            <v>1.0365</v>
          </cell>
          <cell r="I217">
            <v>8503</v>
          </cell>
        </row>
        <row r="218">
          <cell r="B218">
            <v>37773</v>
          </cell>
          <cell r="C218" t="str">
            <v>Sun</v>
          </cell>
          <cell r="D218">
            <v>37773.416666666664</v>
          </cell>
          <cell r="E218">
            <v>0</v>
          </cell>
          <cell r="F218">
            <v>0</v>
          </cell>
          <cell r="G218">
            <v>10699</v>
          </cell>
          <cell r="H218">
            <v>1.036</v>
          </cell>
          <cell r="I218">
            <v>10327</v>
          </cell>
        </row>
        <row r="219">
          <cell r="B219">
            <v>37773</v>
          </cell>
          <cell r="C219" t="str">
            <v>Mon</v>
          </cell>
          <cell r="D219">
            <v>37774.416666666664</v>
          </cell>
          <cell r="E219">
            <v>0</v>
          </cell>
          <cell r="F219">
            <v>0</v>
          </cell>
          <cell r="G219">
            <v>11989</v>
          </cell>
          <cell r="H219">
            <v>1.0342500000000001</v>
          </cell>
          <cell r="I219">
            <v>11592</v>
          </cell>
        </row>
        <row r="220">
          <cell r="B220">
            <v>37773</v>
          </cell>
          <cell r="C220" t="str">
            <v>Tue</v>
          </cell>
          <cell r="D220">
            <v>37775.416666666664</v>
          </cell>
          <cell r="E220">
            <v>0</v>
          </cell>
          <cell r="F220">
            <v>0</v>
          </cell>
          <cell r="G220">
            <v>12201</v>
          </cell>
          <cell r="H220">
            <v>1.034</v>
          </cell>
          <cell r="I220">
            <v>11800</v>
          </cell>
        </row>
        <row r="221">
          <cell r="B221">
            <v>37773</v>
          </cell>
          <cell r="C221" t="str">
            <v>Wed</v>
          </cell>
          <cell r="D221">
            <v>37776.416666666664</v>
          </cell>
          <cell r="E221">
            <v>0</v>
          </cell>
          <cell r="F221">
            <v>0</v>
          </cell>
          <cell r="G221">
            <v>12331</v>
          </cell>
          <cell r="H221">
            <v>1.0347499999999998</v>
          </cell>
          <cell r="I221">
            <v>11917</v>
          </cell>
        </row>
        <row r="222">
          <cell r="B222">
            <v>37773</v>
          </cell>
          <cell r="C222" t="str">
            <v>Thu</v>
          </cell>
          <cell r="D222">
            <v>37777.416666666664</v>
          </cell>
          <cell r="E222">
            <v>0</v>
          </cell>
          <cell r="F222">
            <v>0</v>
          </cell>
          <cell r="G222">
            <v>12078</v>
          </cell>
          <cell r="H222">
            <v>1.04175</v>
          </cell>
          <cell r="I222">
            <v>11594</v>
          </cell>
        </row>
        <row r="223">
          <cell r="B223">
            <v>37773</v>
          </cell>
          <cell r="C223" t="str">
            <v>Fri</v>
          </cell>
          <cell r="D223">
            <v>37778.416666666664</v>
          </cell>
          <cell r="E223">
            <v>0</v>
          </cell>
          <cell r="F223">
            <v>0</v>
          </cell>
          <cell r="G223">
            <v>9995</v>
          </cell>
          <cell r="H223">
            <v>1.0425</v>
          </cell>
          <cell r="I223">
            <v>9588</v>
          </cell>
        </row>
        <row r="224">
          <cell r="B224">
            <v>37773</v>
          </cell>
          <cell r="C224" t="str">
            <v>Sat</v>
          </cell>
          <cell r="D224">
            <v>37779.416666666664</v>
          </cell>
          <cell r="E224">
            <v>0</v>
          </cell>
          <cell r="F224">
            <v>0</v>
          </cell>
          <cell r="G224">
            <v>8701</v>
          </cell>
          <cell r="H224">
            <v>1.04175</v>
          </cell>
          <cell r="I224">
            <v>8352</v>
          </cell>
        </row>
        <row r="225">
          <cell r="B225">
            <v>37773</v>
          </cell>
          <cell r="C225" t="str">
            <v>Sun</v>
          </cell>
          <cell r="D225">
            <v>37780.416666666664</v>
          </cell>
          <cell r="E225">
            <v>0</v>
          </cell>
          <cell r="F225">
            <v>0</v>
          </cell>
          <cell r="G225">
            <v>10227</v>
          </cell>
          <cell r="H225">
            <v>1.0467500000000001</v>
          </cell>
          <cell r="I225">
            <v>9770</v>
          </cell>
        </row>
        <row r="226">
          <cell r="B226">
            <v>37773</v>
          </cell>
          <cell r="C226" t="str">
            <v>Mon</v>
          </cell>
          <cell r="D226">
            <v>37781.416666666664</v>
          </cell>
          <cell r="E226">
            <v>0</v>
          </cell>
          <cell r="F226">
            <v>0</v>
          </cell>
          <cell r="G226">
            <v>11917</v>
          </cell>
          <cell r="H226">
            <v>1.0455000000000001</v>
          </cell>
          <cell r="I226">
            <v>11398</v>
          </cell>
        </row>
        <row r="227">
          <cell r="B227">
            <v>37773</v>
          </cell>
          <cell r="C227" t="str">
            <v>Tue</v>
          </cell>
          <cell r="D227">
            <v>37782.416666666664</v>
          </cell>
          <cell r="E227">
            <v>0</v>
          </cell>
          <cell r="F227">
            <v>0</v>
          </cell>
          <cell r="G227">
            <v>12042</v>
          </cell>
          <cell r="H227">
            <v>1.0427499999999998</v>
          </cell>
          <cell r="I227">
            <v>11548</v>
          </cell>
        </row>
        <row r="228">
          <cell r="B228">
            <v>37773</v>
          </cell>
          <cell r="C228" t="str">
            <v>Wed</v>
          </cell>
          <cell r="D228">
            <v>37783.416666666664</v>
          </cell>
          <cell r="E228">
            <v>0</v>
          </cell>
          <cell r="F228">
            <v>0</v>
          </cell>
          <cell r="G228">
            <v>12226</v>
          </cell>
          <cell r="H228">
            <v>1.04</v>
          </cell>
          <cell r="I228">
            <v>11756</v>
          </cell>
        </row>
        <row r="229">
          <cell r="B229">
            <v>37773</v>
          </cell>
          <cell r="C229" t="str">
            <v>Thu</v>
          </cell>
          <cell r="D229">
            <v>37784.416666666664</v>
          </cell>
          <cell r="E229">
            <v>0</v>
          </cell>
          <cell r="F229">
            <v>0</v>
          </cell>
          <cell r="G229">
            <v>11920</v>
          </cell>
          <cell r="H229">
            <v>1.042</v>
          </cell>
          <cell r="I229">
            <v>11440</v>
          </cell>
        </row>
        <row r="230">
          <cell r="B230">
            <v>37773</v>
          </cell>
          <cell r="C230" t="str">
            <v>Fri</v>
          </cell>
          <cell r="D230">
            <v>37785.416666666664</v>
          </cell>
          <cell r="E230">
            <v>0</v>
          </cell>
          <cell r="F230">
            <v>0</v>
          </cell>
          <cell r="G230">
            <v>10193</v>
          </cell>
          <cell r="H230">
            <v>1.0407500000000001</v>
          </cell>
          <cell r="I230">
            <v>9794</v>
          </cell>
        </row>
        <row r="231">
          <cell r="B231">
            <v>37773</v>
          </cell>
          <cell r="C231" t="str">
            <v>Sat</v>
          </cell>
          <cell r="D231">
            <v>37786.416666666664</v>
          </cell>
          <cell r="E231">
            <v>0</v>
          </cell>
          <cell r="F231">
            <v>0</v>
          </cell>
          <cell r="G231">
            <v>8591</v>
          </cell>
          <cell r="H231">
            <v>1.0394999999999999</v>
          </cell>
          <cell r="I231">
            <v>8265</v>
          </cell>
        </row>
        <row r="232">
          <cell r="B232">
            <v>37773</v>
          </cell>
          <cell r="C232" t="str">
            <v>Sun</v>
          </cell>
          <cell r="D232">
            <v>37787.416666666664</v>
          </cell>
          <cell r="E232">
            <v>0</v>
          </cell>
          <cell r="F232">
            <v>0</v>
          </cell>
          <cell r="G232">
            <v>9206</v>
          </cell>
          <cell r="H232">
            <v>1.0405</v>
          </cell>
          <cell r="I232">
            <v>8848</v>
          </cell>
        </row>
        <row r="233">
          <cell r="B233">
            <v>37773</v>
          </cell>
          <cell r="C233" t="str">
            <v>Mon</v>
          </cell>
          <cell r="D233">
            <v>37788.416666666664</v>
          </cell>
          <cell r="E233">
            <v>0</v>
          </cell>
          <cell r="F233">
            <v>0</v>
          </cell>
          <cell r="G233">
            <v>11111</v>
          </cell>
          <cell r="H233">
            <v>1.0372500000000002</v>
          </cell>
          <cell r="I233">
            <v>10712</v>
          </cell>
        </row>
        <row r="234">
          <cell r="B234">
            <v>37773</v>
          </cell>
          <cell r="C234" t="str">
            <v>Tue</v>
          </cell>
          <cell r="D234">
            <v>37789.416666666664</v>
          </cell>
          <cell r="E234">
            <v>0</v>
          </cell>
          <cell r="F234">
            <v>0</v>
          </cell>
          <cell r="G234">
            <v>11223</v>
          </cell>
          <cell r="H234">
            <v>1.0377500000000002</v>
          </cell>
          <cell r="I234">
            <v>10815</v>
          </cell>
        </row>
        <row r="235">
          <cell r="B235">
            <v>37773</v>
          </cell>
          <cell r="C235" t="str">
            <v>Wed</v>
          </cell>
          <cell r="D235">
            <v>37790.416666666664</v>
          </cell>
          <cell r="E235">
            <v>0</v>
          </cell>
          <cell r="F235">
            <v>0</v>
          </cell>
          <cell r="G235">
            <v>11521</v>
          </cell>
          <cell r="H235">
            <v>1.0342500000000001</v>
          </cell>
          <cell r="I235">
            <v>11139</v>
          </cell>
        </row>
        <row r="236">
          <cell r="B236">
            <v>37773</v>
          </cell>
          <cell r="C236" t="str">
            <v>Thu</v>
          </cell>
          <cell r="D236">
            <v>37791.416666666664</v>
          </cell>
          <cell r="E236">
            <v>0</v>
          </cell>
          <cell r="F236">
            <v>0</v>
          </cell>
          <cell r="G236">
            <v>11810</v>
          </cell>
          <cell r="H236">
            <v>1.04</v>
          </cell>
          <cell r="I236">
            <v>11356</v>
          </cell>
        </row>
        <row r="237">
          <cell r="B237">
            <v>37773</v>
          </cell>
          <cell r="C237" t="str">
            <v>Fri</v>
          </cell>
          <cell r="D237">
            <v>37792.416666666664</v>
          </cell>
          <cell r="E237">
            <v>0</v>
          </cell>
          <cell r="F237">
            <v>0</v>
          </cell>
          <cell r="G237">
            <v>10088</v>
          </cell>
          <cell r="H237">
            <v>1.0425</v>
          </cell>
          <cell r="I237">
            <v>9677</v>
          </cell>
        </row>
        <row r="238">
          <cell r="B238">
            <v>37773</v>
          </cell>
          <cell r="C238" t="str">
            <v>Sat</v>
          </cell>
          <cell r="D238">
            <v>37793.416666666664</v>
          </cell>
          <cell r="E238">
            <v>0</v>
          </cell>
          <cell r="F238">
            <v>0</v>
          </cell>
          <cell r="G238">
            <v>8713</v>
          </cell>
          <cell r="H238">
            <v>1.0409999999999999</v>
          </cell>
          <cell r="I238">
            <v>8370</v>
          </cell>
        </row>
        <row r="239">
          <cell r="B239">
            <v>37773</v>
          </cell>
          <cell r="C239" t="str">
            <v>Sun</v>
          </cell>
          <cell r="D239">
            <v>37794.416666666664</v>
          </cell>
          <cell r="E239">
            <v>0</v>
          </cell>
          <cell r="F239">
            <v>0</v>
          </cell>
          <cell r="G239">
            <v>10113</v>
          </cell>
          <cell r="H239">
            <v>1.04</v>
          </cell>
          <cell r="I239">
            <v>9724</v>
          </cell>
        </row>
        <row r="240">
          <cell r="B240">
            <v>37773</v>
          </cell>
          <cell r="C240" t="str">
            <v>Mon</v>
          </cell>
          <cell r="D240">
            <v>37795.416666666664</v>
          </cell>
          <cell r="E240">
            <v>0</v>
          </cell>
          <cell r="F240">
            <v>0</v>
          </cell>
          <cell r="G240">
            <v>11502</v>
          </cell>
          <cell r="H240">
            <v>1.0365</v>
          </cell>
          <cell r="I240">
            <v>11097</v>
          </cell>
        </row>
        <row r="241">
          <cell r="B241">
            <v>37773</v>
          </cell>
          <cell r="C241" t="str">
            <v>Tue</v>
          </cell>
          <cell r="D241">
            <v>37796.416666666664</v>
          </cell>
          <cell r="E241">
            <v>0</v>
          </cell>
          <cell r="F241">
            <v>0</v>
          </cell>
          <cell r="G241">
            <v>11342</v>
          </cell>
          <cell r="H241">
            <v>1.038</v>
          </cell>
          <cell r="I241">
            <v>10927</v>
          </cell>
        </row>
        <row r="242">
          <cell r="B242">
            <v>37773</v>
          </cell>
          <cell r="C242" t="str">
            <v>Wed</v>
          </cell>
          <cell r="D242">
            <v>37797.416666666664</v>
          </cell>
          <cell r="E242">
            <v>0</v>
          </cell>
          <cell r="F242">
            <v>0</v>
          </cell>
          <cell r="G242">
            <v>11352</v>
          </cell>
          <cell r="H242">
            <v>1.038</v>
          </cell>
          <cell r="I242">
            <v>10936</v>
          </cell>
        </row>
        <row r="243">
          <cell r="B243">
            <v>37773</v>
          </cell>
          <cell r="C243" t="str">
            <v>Thu</v>
          </cell>
          <cell r="D243">
            <v>37798.416666666664</v>
          </cell>
          <cell r="E243">
            <v>0</v>
          </cell>
          <cell r="F243">
            <v>0</v>
          </cell>
          <cell r="G243">
            <v>11058</v>
          </cell>
          <cell r="H243">
            <v>1.036</v>
          </cell>
          <cell r="I243">
            <v>10674</v>
          </cell>
        </row>
        <row r="244">
          <cell r="B244">
            <v>37773</v>
          </cell>
          <cell r="C244" t="str">
            <v>Fri</v>
          </cell>
          <cell r="D244">
            <v>37799.416666666664</v>
          </cell>
          <cell r="E244">
            <v>0</v>
          </cell>
          <cell r="F244">
            <v>0</v>
          </cell>
          <cell r="G244">
            <v>9596</v>
          </cell>
          <cell r="H244">
            <v>1.0375000000000001</v>
          </cell>
          <cell r="I244">
            <v>9249</v>
          </cell>
        </row>
        <row r="245">
          <cell r="B245">
            <v>37773</v>
          </cell>
          <cell r="C245" t="str">
            <v>Sat</v>
          </cell>
          <cell r="D245">
            <v>37800.416666666664</v>
          </cell>
          <cell r="E245">
            <v>0</v>
          </cell>
          <cell r="F245">
            <v>0</v>
          </cell>
          <cell r="G245">
            <v>8090</v>
          </cell>
          <cell r="H245">
            <v>1.0375000000000001</v>
          </cell>
          <cell r="I245">
            <v>7798</v>
          </cell>
        </row>
        <row r="246">
          <cell r="B246">
            <v>37773</v>
          </cell>
          <cell r="C246" t="str">
            <v>Sun</v>
          </cell>
          <cell r="D246">
            <v>37801.416666666664</v>
          </cell>
          <cell r="E246">
            <v>0</v>
          </cell>
          <cell r="F246">
            <v>0</v>
          </cell>
          <cell r="G246">
            <v>8014</v>
          </cell>
          <cell r="H246">
            <v>1.0362499999999999</v>
          </cell>
          <cell r="I246">
            <v>7734</v>
          </cell>
        </row>
        <row r="247">
          <cell r="B247">
            <v>37773</v>
          </cell>
          <cell r="C247" t="str">
            <v>Mon</v>
          </cell>
          <cell r="D247">
            <v>37802.416666666664</v>
          </cell>
          <cell r="E247">
            <v>0</v>
          </cell>
          <cell r="F247">
            <v>0</v>
          </cell>
          <cell r="G247">
            <v>8756</v>
          </cell>
          <cell r="H247">
            <v>1.036</v>
          </cell>
          <cell r="I247">
            <v>8452</v>
          </cell>
        </row>
        <row r="248">
          <cell r="B248">
            <v>37803</v>
          </cell>
          <cell r="C248" t="str">
            <v>Tue</v>
          </cell>
          <cell r="D248">
            <v>37803.416666666664</v>
          </cell>
          <cell r="E248">
            <v>0</v>
          </cell>
          <cell r="F248">
            <v>0</v>
          </cell>
          <cell r="G248">
            <v>8981</v>
          </cell>
          <cell r="H248">
            <v>1.0355000000000001</v>
          </cell>
          <cell r="I248">
            <v>8673</v>
          </cell>
        </row>
        <row r="249">
          <cell r="B249">
            <v>37803</v>
          </cell>
          <cell r="C249" t="str">
            <v>Wed</v>
          </cell>
          <cell r="D249">
            <v>37804.416666666664</v>
          </cell>
          <cell r="E249">
            <v>0</v>
          </cell>
          <cell r="F249">
            <v>0</v>
          </cell>
          <cell r="G249">
            <v>8473</v>
          </cell>
          <cell r="H249">
            <v>1.0367500000000001</v>
          </cell>
          <cell r="I249">
            <v>8173</v>
          </cell>
        </row>
        <row r="250">
          <cell r="B250">
            <v>37803</v>
          </cell>
          <cell r="C250" t="str">
            <v>Thu</v>
          </cell>
          <cell r="D250">
            <v>37805.416666666664</v>
          </cell>
          <cell r="E250">
            <v>0</v>
          </cell>
          <cell r="F250">
            <v>0</v>
          </cell>
          <cell r="G250">
            <v>7397</v>
          </cell>
          <cell r="H250">
            <v>1.0375000000000001</v>
          </cell>
          <cell r="I250">
            <v>7130</v>
          </cell>
        </row>
        <row r="251">
          <cell r="B251">
            <v>37803</v>
          </cell>
          <cell r="C251" t="str">
            <v>Fri</v>
          </cell>
          <cell r="D251">
            <v>37806.416666666664</v>
          </cell>
          <cell r="E251">
            <v>0</v>
          </cell>
          <cell r="F251">
            <v>0</v>
          </cell>
          <cell r="G251">
            <v>6467</v>
          </cell>
          <cell r="H251">
            <v>1.036</v>
          </cell>
          <cell r="I251">
            <v>6242</v>
          </cell>
        </row>
        <row r="252">
          <cell r="B252">
            <v>37803</v>
          </cell>
          <cell r="C252" t="str">
            <v>Sat</v>
          </cell>
          <cell r="D252">
            <v>37807.416666666664</v>
          </cell>
          <cell r="E252">
            <v>0</v>
          </cell>
          <cell r="F252">
            <v>0</v>
          </cell>
          <cell r="G252">
            <v>6770</v>
          </cell>
          <cell r="H252">
            <v>1.0314999999999999</v>
          </cell>
          <cell r="I252">
            <v>6563</v>
          </cell>
        </row>
        <row r="253">
          <cell r="B253">
            <v>37803</v>
          </cell>
          <cell r="C253" t="str">
            <v>Sun</v>
          </cell>
          <cell r="D253">
            <v>37808.416666666664</v>
          </cell>
          <cell r="E253">
            <v>0</v>
          </cell>
          <cell r="F253">
            <v>0</v>
          </cell>
          <cell r="G253">
            <v>8915</v>
          </cell>
          <cell r="H253">
            <v>1.0365</v>
          </cell>
          <cell r="I253">
            <v>8601</v>
          </cell>
        </row>
        <row r="254">
          <cell r="B254">
            <v>37803</v>
          </cell>
          <cell r="C254" t="str">
            <v>Mon</v>
          </cell>
          <cell r="D254">
            <v>37809.416666666664</v>
          </cell>
          <cell r="E254">
            <v>0</v>
          </cell>
          <cell r="F254">
            <v>0</v>
          </cell>
          <cell r="G254">
            <v>11760</v>
          </cell>
          <cell r="H254">
            <v>1.0342500000000001</v>
          </cell>
          <cell r="I254">
            <v>11371</v>
          </cell>
        </row>
        <row r="255">
          <cell r="B255">
            <v>37803</v>
          </cell>
          <cell r="C255" t="str">
            <v>Tue</v>
          </cell>
          <cell r="D255">
            <v>37810.416666666664</v>
          </cell>
          <cell r="E255">
            <v>0</v>
          </cell>
          <cell r="F255">
            <v>0</v>
          </cell>
          <cell r="G255">
            <v>12044</v>
          </cell>
          <cell r="H255">
            <v>1.0325</v>
          </cell>
          <cell r="I255">
            <v>11665</v>
          </cell>
        </row>
        <row r="256">
          <cell r="B256">
            <v>37803</v>
          </cell>
          <cell r="C256" t="str">
            <v>Wed</v>
          </cell>
          <cell r="D256">
            <v>37811.416666666664</v>
          </cell>
          <cell r="E256">
            <v>0</v>
          </cell>
          <cell r="F256">
            <v>0</v>
          </cell>
          <cell r="G256">
            <v>12375</v>
          </cell>
          <cell r="H256">
            <v>1.0337499999999999</v>
          </cell>
          <cell r="I256">
            <v>11971</v>
          </cell>
        </row>
        <row r="257">
          <cell r="B257">
            <v>37803</v>
          </cell>
          <cell r="C257" t="str">
            <v>Thu</v>
          </cell>
          <cell r="D257">
            <v>37812.416666666664</v>
          </cell>
          <cell r="E257">
            <v>0</v>
          </cell>
          <cell r="F257">
            <v>0</v>
          </cell>
          <cell r="G257">
            <v>10964</v>
          </cell>
          <cell r="H257">
            <v>1.0349999999999999</v>
          </cell>
          <cell r="I257">
            <v>10593</v>
          </cell>
        </row>
        <row r="258">
          <cell r="B258">
            <v>37803</v>
          </cell>
          <cell r="C258" t="str">
            <v>Fri</v>
          </cell>
          <cell r="D258">
            <v>37813.416666666664</v>
          </cell>
          <cell r="E258">
            <v>0</v>
          </cell>
          <cell r="F258">
            <v>0</v>
          </cell>
          <cell r="G258">
            <v>10371</v>
          </cell>
          <cell r="H258">
            <v>1.0362499999999999</v>
          </cell>
          <cell r="I258">
            <v>10008</v>
          </cell>
        </row>
        <row r="259">
          <cell r="B259">
            <v>37803</v>
          </cell>
          <cell r="C259" t="str">
            <v>Sat</v>
          </cell>
          <cell r="D259">
            <v>37814.416666666664</v>
          </cell>
          <cell r="E259">
            <v>0</v>
          </cell>
          <cell r="F259">
            <v>0</v>
          </cell>
          <cell r="G259">
            <v>8534</v>
          </cell>
          <cell r="H259">
            <v>1.03325</v>
          </cell>
          <cell r="I259">
            <v>8259</v>
          </cell>
        </row>
        <row r="260">
          <cell r="B260">
            <v>37803</v>
          </cell>
          <cell r="C260" t="str">
            <v>Sun</v>
          </cell>
          <cell r="D260">
            <v>37815.416666666664</v>
          </cell>
          <cell r="E260">
            <v>0</v>
          </cell>
          <cell r="F260">
            <v>0</v>
          </cell>
          <cell r="G260">
            <v>9446</v>
          </cell>
          <cell r="H260">
            <v>1.0309999999999999</v>
          </cell>
          <cell r="I260">
            <v>9162</v>
          </cell>
        </row>
        <row r="261">
          <cell r="B261">
            <v>37803</v>
          </cell>
          <cell r="C261" t="str">
            <v>Mon</v>
          </cell>
          <cell r="D261">
            <v>37816.416666666664</v>
          </cell>
          <cell r="E261">
            <v>0</v>
          </cell>
          <cell r="F261">
            <v>0</v>
          </cell>
          <cell r="G261">
            <v>11841</v>
          </cell>
          <cell r="H261">
            <v>1.0317499999999999</v>
          </cell>
          <cell r="I261">
            <v>11477</v>
          </cell>
        </row>
        <row r="262">
          <cell r="B262">
            <v>37803</v>
          </cell>
          <cell r="C262" t="str">
            <v>Tue</v>
          </cell>
          <cell r="D262">
            <v>37817.416666666664</v>
          </cell>
          <cell r="E262">
            <v>0</v>
          </cell>
          <cell r="F262">
            <v>0</v>
          </cell>
          <cell r="G262">
            <v>11487</v>
          </cell>
          <cell r="H262">
            <v>1.0297499999999999</v>
          </cell>
          <cell r="I262">
            <v>11155</v>
          </cell>
        </row>
        <row r="263">
          <cell r="B263">
            <v>37803</v>
          </cell>
          <cell r="C263" t="str">
            <v>Wed</v>
          </cell>
          <cell r="D263">
            <v>37818.416666666664</v>
          </cell>
          <cell r="E263">
            <v>0</v>
          </cell>
          <cell r="F263">
            <v>0</v>
          </cell>
          <cell r="G263">
            <v>11779</v>
          </cell>
          <cell r="H263">
            <v>1.0305</v>
          </cell>
          <cell r="I263">
            <v>11430</v>
          </cell>
        </row>
        <row r="264">
          <cell r="B264">
            <v>37803</v>
          </cell>
          <cell r="C264" t="str">
            <v>Thu</v>
          </cell>
          <cell r="D264">
            <v>37819.416666666664</v>
          </cell>
          <cell r="E264">
            <v>0</v>
          </cell>
          <cell r="F264">
            <v>0</v>
          </cell>
          <cell r="G264">
            <v>11165</v>
          </cell>
          <cell r="H264">
            <v>1.03325</v>
          </cell>
          <cell r="I264">
            <v>10806</v>
          </cell>
        </row>
        <row r="265">
          <cell r="B265">
            <v>37803</v>
          </cell>
          <cell r="C265" t="str">
            <v>Fri</v>
          </cell>
          <cell r="D265">
            <v>37820.416666666664</v>
          </cell>
          <cell r="E265">
            <v>0</v>
          </cell>
          <cell r="F265">
            <v>0</v>
          </cell>
          <cell r="G265">
            <v>10295</v>
          </cell>
          <cell r="H265">
            <v>1.0342500000000001</v>
          </cell>
          <cell r="I265">
            <v>9954</v>
          </cell>
        </row>
        <row r="266">
          <cell r="B266">
            <v>37803</v>
          </cell>
          <cell r="C266" t="str">
            <v>Sat</v>
          </cell>
          <cell r="D266">
            <v>37821.416666666664</v>
          </cell>
          <cell r="E266">
            <v>0</v>
          </cell>
          <cell r="F266">
            <v>0</v>
          </cell>
          <cell r="G266">
            <v>8720</v>
          </cell>
          <cell r="H266">
            <v>1.0335000000000001</v>
          </cell>
          <cell r="I266">
            <v>8437</v>
          </cell>
        </row>
        <row r="267">
          <cell r="B267">
            <v>37803</v>
          </cell>
          <cell r="C267" t="str">
            <v>Sun</v>
          </cell>
          <cell r="D267">
            <v>37822.416666666664</v>
          </cell>
          <cell r="E267">
            <v>0</v>
          </cell>
          <cell r="F267">
            <v>0</v>
          </cell>
          <cell r="G267">
            <v>9543</v>
          </cell>
          <cell r="H267">
            <v>1.0307500000000001</v>
          </cell>
          <cell r="I267">
            <v>9258</v>
          </cell>
        </row>
        <row r="268">
          <cell r="B268">
            <v>37803</v>
          </cell>
          <cell r="C268" t="str">
            <v>Mon</v>
          </cell>
          <cell r="D268">
            <v>37823.416666666664</v>
          </cell>
          <cell r="E268">
            <v>0</v>
          </cell>
          <cell r="F268">
            <v>0</v>
          </cell>
          <cell r="G268">
            <v>10971</v>
          </cell>
          <cell r="H268">
            <v>1.0325</v>
          </cell>
          <cell r="I268">
            <v>10626</v>
          </cell>
        </row>
        <row r="269">
          <cell r="B269">
            <v>37803</v>
          </cell>
          <cell r="C269" t="str">
            <v>Tue</v>
          </cell>
          <cell r="D269">
            <v>37824.416666666664</v>
          </cell>
          <cell r="E269">
            <v>0</v>
          </cell>
          <cell r="F269">
            <v>0</v>
          </cell>
          <cell r="G269">
            <v>11465</v>
          </cell>
          <cell r="H269">
            <v>1.0317499999999999</v>
          </cell>
          <cell r="I269">
            <v>11112</v>
          </cell>
        </row>
        <row r="270">
          <cell r="B270">
            <v>37803</v>
          </cell>
          <cell r="C270" t="str">
            <v>Wed</v>
          </cell>
          <cell r="D270">
            <v>37825.416666666664</v>
          </cell>
          <cell r="E270">
            <v>0</v>
          </cell>
          <cell r="F270">
            <v>0</v>
          </cell>
          <cell r="G270">
            <v>11518</v>
          </cell>
          <cell r="H270">
            <v>1.03525</v>
          </cell>
          <cell r="I270">
            <v>11126</v>
          </cell>
        </row>
        <row r="271">
          <cell r="B271">
            <v>37803</v>
          </cell>
          <cell r="C271" t="str">
            <v>Thu</v>
          </cell>
          <cell r="D271">
            <v>37826.416666666664</v>
          </cell>
          <cell r="E271">
            <v>0</v>
          </cell>
          <cell r="F271">
            <v>0</v>
          </cell>
          <cell r="G271">
            <v>11013</v>
          </cell>
          <cell r="H271">
            <v>1.0362499999999999</v>
          </cell>
          <cell r="I271">
            <v>10628</v>
          </cell>
        </row>
        <row r="272">
          <cell r="B272">
            <v>37803</v>
          </cell>
          <cell r="C272" t="str">
            <v>Fri</v>
          </cell>
          <cell r="D272">
            <v>37827.416666666664</v>
          </cell>
          <cell r="E272">
            <v>0</v>
          </cell>
          <cell r="F272">
            <v>0</v>
          </cell>
          <cell r="G272">
            <v>9294</v>
          </cell>
          <cell r="H272">
            <v>1.0350000000000001</v>
          </cell>
          <cell r="I272">
            <v>8980</v>
          </cell>
        </row>
        <row r="273">
          <cell r="B273">
            <v>37803</v>
          </cell>
          <cell r="C273" t="str">
            <v>Sat</v>
          </cell>
          <cell r="D273">
            <v>37828.416666666664</v>
          </cell>
          <cell r="E273">
            <v>0</v>
          </cell>
          <cell r="F273">
            <v>0</v>
          </cell>
          <cell r="G273">
            <v>8073</v>
          </cell>
          <cell r="H273">
            <v>1.0347499999999998</v>
          </cell>
          <cell r="I273">
            <v>7802</v>
          </cell>
        </row>
        <row r="274">
          <cell r="B274">
            <v>37803</v>
          </cell>
          <cell r="C274" t="str">
            <v>Sun</v>
          </cell>
          <cell r="D274">
            <v>37829.416666666664</v>
          </cell>
          <cell r="E274">
            <v>0</v>
          </cell>
          <cell r="F274">
            <v>0</v>
          </cell>
          <cell r="G274">
            <v>8778</v>
          </cell>
          <cell r="H274">
            <v>1.0357499999999999</v>
          </cell>
          <cell r="I274">
            <v>8475</v>
          </cell>
        </row>
        <row r="275">
          <cell r="B275">
            <v>37803</v>
          </cell>
          <cell r="C275" t="str">
            <v>Mon</v>
          </cell>
          <cell r="D275">
            <v>37830.416666666664</v>
          </cell>
          <cell r="E275">
            <v>0</v>
          </cell>
          <cell r="F275">
            <v>0</v>
          </cell>
          <cell r="G275">
            <v>10559</v>
          </cell>
          <cell r="H275">
            <v>1.0349999999999999</v>
          </cell>
          <cell r="I275">
            <v>10202</v>
          </cell>
        </row>
        <row r="276">
          <cell r="B276">
            <v>37803</v>
          </cell>
          <cell r="C276" t="str">
            <v>Tue</v>
          </cell>
          <cell r="D276">
            <v>37831.416666666664</v>
          </cell>
          <cell r="E276">
            <v>0</v>
          </cell>
          <cell r="F276">
            <v>0</v>
          </cell>
          <cell r="G276">
            <v>10697</v>
          </cell>
          <cell r="H276">
            <v>1.036</v>
          </cell>
          <cell r="I276">
            <v>10325</v>
          </cell>
        </row>
        <row r="277">
          <cell r="B277">
            <v>37803</v>
          </cell>
          <cell r="C277" t="str">
            <v>Wed</v>
          </cell>
          <cell r="D277">
            <v>37832.416666666664</v>
          </cell>
          <cell r="E277">
            <v>0</v>
          </cell>
          <cell r="F277">
            <v>0</v>
          </cell>
          <cell r="G277">
            <v>10320</v>
          </cell>
          <cell r="H277">
            <v>1.0365</v>
          </cell>
          <cell r="I277">
            <v>9957</v>
          </cell>
        </row>
        <row r="278">
          <cell r="B278">
            <v>37803</v>
          </cell>
          <cell r="C278" t="str">
            <v>Thu</v>
          </cell>
          <cell r="D278">
            <v>37833.416666666664</v>
          </cell>
          <cell r="E278">
            <v>0</v>
          </cell>
          <cell r="F278">
            <v>0</v>
          </cell>
          <cell r="G278">
            <v>9991</v>
          </cell>
          <cell r="H278">
            <v>1.036</v>
          </cell>
          <cell r="I278">
            <v>9644</v>
          </cell>
        </row>
        <row r="279">
          <cell r="B279">
            <v>37834</v>
          </cell>
          <cell r="C279" t="str">
            <v>Fri</v>
          </cell>
          <cell r="D279">
            <v>37834.416666666664</v>
          </cell>
          <cell r="E279">
            <v>0</v>
          </cell>
          <cell r="F279">
            <v>0</v>
          </cell>
          <cell r="G279">
            <v>8408</v>
          </cell>
          <cell r="H279">
            <v>1.0355000000000001</v>
          </cell>
          <cell r="I279">
            <v>8120</v>
          </cell>
        </row>
        <row r="280">
          <cell r="B280">
            <v>37834</v>
          </cell>
          <cell r="C280" t="str">
            <v>Sat</v>
          </cell>
          <cell r="D280">
            <v>37835.416666666664</v>
          </cell>
          <cell r="E280">
            <v>0</v>
          </cell>
          <cell r="F280">
            <v>0</v>
          </cell>
          <cell r="G280">
            <v>7029</v>
          </cell>
          <cell r="H280">
            <v>1.0357499999999999</v>
          </cell>
          <cell r="I280">
            <v>6786</v>
          </cell>
        </row>
        <row r="281">
          <cell r="B281">
            <v>37834</v>
          </cell>
          <cell r="C281" t="str">
            <v>Sun</v>
          </cell>
          <cell r="D281">
            <v>37836.416666666664</v>
          </cell>
          <cell r="E281">
            <v>0</v>
          </cell>
          <cell r="F281">
            <v>0</v>
          </cell>
          <cell r="G281">
            <v>9156</v>
          </cell>
          <cell r="H281">
            <v>1.0354999999999999</v>
          </cell>
          <cell r="I281">
            <v>8842</v>
          </cell>
        </row>
        <row r="282">
          <cell r="B282">
            <v>37834</v>
          </cell>
          <cell r="C282" t="str">
            <v>Mon</v>
          </cell>
          <cell r="D282">
            <v>37837.416666666664</v>
          </cell>
          <cell r="E282">
            <v>0</v>
          </cell>
          <cell r="F282">
            <v>0</v>
          </cell>
          <cell r="G282">
            <v>11674</v>
          </cell>
          <cell r="H282">
            <v>1.0415000000000001</v>
          </cell>
          <cell r="I282">
            <v>11209</v>
          </cell>
        </row>
        <row r="283">
          <cell r="B283">
            <v>37834</v>
          </cell>
          <cell r="C283" t="str">
            <v>Tue</v>
          </cell>
          <cell r="D283">
            <v>37838.416666666664</v>
          </cell>
          <cell r="E283">
            <v>0</v>
          </cell>
          <cell r="F283">
            <v>0</v>
          </cell>
          <cell r="G283">
            <v>11595</v>
          </cell>
          <cell r="H283">
            <v>1.0442499999999999</v>
          </cell>
          <cell r="I283">
            <v>11104</v>
          </cell>
        </row>
        <row r="284">
          <cell r="B284">
            <v>37834</v>
          </cell>
          <cell r="C284" t="str">
            <v>Wed</v>
          </cell>
          <cell r="D284">
            <v>37839.416666666664</v>
          </cell>
          <cell r="E284">
            <v>0</v>
          </cell>
          <cell r="F284">
            <v>0</v>
          </cell>
          <cell r="G284">
            <v>11468</v>
          </cell>
          <cell r="H284">
            <v>1.044</v>
          </cell>
          <cell r="I284">
            <v>10985</v>
          </cell>
        </row>
        <row r="285">
          <cell r="B285">
            <v>37834</v>
          </cell>
          <cell r="C285" t="str">
            <v>Thu</v>
          </cell>
          <cell r="D285">
            <v>37840.416666666664</v>
          </cell>
          <cell r="E285">
            <v>0</v>
          </cell>
          <cell r="F285">
            <v>0</v>
          </cell>
          <cell r="G285">
            <v>10908</v>
          </cell>
          <cell r="H285">
            <v>1.036</v>
          </cell>
          <cell r="I285">
            <v>10529</v>
          </cell>
        </row>
        <row r="286">
          <cell r="B286">
            <v>37834</v>
          </cell>
          <cell r="C286" t="str">
            <v>Fri</v>
          </cell>
          <cell r="D286">
            <v>37841.416666666664</v>
          </cell>
          <cell r="E286">
            <v>0</v>
          </cell>
          <cell r="F286">
            <v>0</v>
          </cell>
          <cell r="G286">
            <v>8836</v>
          </cell>
          <cell r="H286">
            <v>1.028</v>
          </cell>
          <cell r="I286">
            <v>8595</v>
          </cell>
        </row>
        <row r="287">
          <cell r="B287">
            <v>37834</v>
          </cell>
          <cell r="C287" t="str">
            <v>Sat</v>
          </cell>
          <cell r="D287">
            <v>37842.416666666664</v>
          </cell>
          <cell r="E287">
            <v>0</v>
          </cell>
          <cell r="F287">
            <v>0</v>
          </cell>
          <cell r="G287">
            <v>7149</v>
          </cell>
          <cell r="H287">
            <v>1.02725</v>
          </cell>
          <cell r="I287">
            <v>6959</v>
          </cell>
        </row>
        <row r="288">
          <cell r="B288">
            <v>37834</v>
          </cell>
          <cell r="C288" t="str">
            <v>Sun</v>
          </cell>
          <cell r="D288">
            <v>37843.416666666664</v>
          </cell>
          <cell r="E288">
            <v>0</v>
          </cell>
          <cell r="F288">
            <v>0</v>
          </cell>
          <cell r="G288">
            <v>9180</v>
          </cell>
          <cell r="H288">
            <v>1.0254999999999999</v>
          </cell>
          <cell r="I288">
            <v>8952</v>
          </cell>
        </row>
        <row r="289">
          <cell r="B289">
            <v>37834</v>
          </cell>
          <cell r="C289" t="str">
            <v>Mon</v>
          </cell>
          <cell r="D289">
            <v>37844.416666666664</v>
          </cell>
          <cell r="E289">
            <v>0</v>
          </cell>
          <cell r="F289">
            <v>0</v>
          </cell>
          <cell r="G289">
            <v>11601</v>
          </cell>
          <cell r="H289">
            <v>1.024</v>
          </cell>
          <cell r="I289">
            <v>11329</v>
          </cell>
        </row>
        <row r="290">
          <cell r="B290">
            <v>37834</v>
          </cell>
          <cell r="C290" t="str">
            <v>Tue</v>
          </cell>
          <cell r="D290">
            <v>37845.416666666664</v>
          </cell>
          <cell r="E290">
            <v>0</v>
          </cell>
          <cell r="F290">
            <v>0</v>
          </cell>
          <cell r="G290">
            <v>12066</v>
          </cell>
          <cell r="H290">
            <v>1.0237499999999999</v>
          </cell>
          <cell r="I290">
            <v>11786</v>
          </cell>
        </row>
        <row r="291">
          <cell r="B291">
            <v>37834</v>
          </cell>
          <cell r="C291" t="str">
            <v>Wed</v>
          </cell>
          <cell r="D291">
            <v>37846.416666666664</v>
          </cell>
          <cell r="E291">
            <v>0</v>
          </cell>
          <cell r="F291">
            <v>0</v>
          </cell>
          <cell r="G291">
            <v>11491</v>
          </cell>
          <cell r="H291">
            <v>1.0255000000000001</v>
          </cell>
          <cell r="I291">
            <v>11205</v>
          </cell>
        </row>
        <row r="292">
          <cell r="B292">
            <v>37834</v>
          </cell>
          <cell r="C292" t="str">
            <v>Thu</v>
          </cell>
          <cell r="D292">
            <v>37847.416666666664</v>
          </cell>
          <cell r="E292">
            <v>0</v>
          </cell>
          <cell r="F292">
            <v>0</v>
          </cell>
          <cell r="G292">
            <v>10876</v>
          </cell>
          <cell r="H292">
            <v>1.0222499999999999</v>
          </cell>
          <cell r="I292">
            <v>10639</v>
          </cell>
        </row>
        <row r="293">
          <cell r="B293">
            <v>37834</v>
          </cell>
          <cell r="C293" t="str">
            <v>Fri</v>
          </cell>
          <cell r="D293">
            <v>37848.416666666664</v>
          </cell>
          <cell r="E293">
            <v>0</v>
          </cell>
          <cell r="F293">
            <v>0</v>
          </cell>
          <cell r="G293">
            <v>9123</v>
          </cell>
          <cell r="H293">
            <v>1.0237499999999999</v>
          </cell>
          <cell r="I293">
            <v>8911</v>
          </cell>
        </row>
        <row r="294">
          <cell r="B294">
            <v>37834</v>
          </cell>
          <cell r="C294" t="str">
            <v>Sat</v>
          </cell>
          <cell r="D294">
            <v>37849.416666666664</v>
          </cell>
          <cell r="E294">
            <v>0</v>
          </cell>
          <cell r="F294">
            <v>0</v>
          </cell>
          <cell r="G294">
            <v>7439</v>
          </cell>
          <cell r="H294">
            <v>1.0242499999999999</v>
          </cell>
          <cell r="I294">
            <v>7263</v>
          </cell>
        </row>
        <row r="295">
          <cell r="B295">
            <v>37834</v>
          </cell>
          <cell r="C295" t="str">
            <v>Sun</v>
          </cell>
          <cell r="D295">
            <v>37850.416666666664</v>
          </cell>
          <cell r="E295">
            <v>0</v>
          </cell>
          <cell r="F295">
            <v>0</v>
          </cell>
          <cell r="G295">
            <v>9273</v>
          </cell>
          <cell r="H295">
            <v>1.0222499999999999</v>
          </cell>
          <cell r="I295">
            <v>9071</v>
          </cell>
        </row>
        <row r="296">
          <cell r="B296">
            <v>37834</v>
          </cell>
          <cell r="C296" t="str">
            <v>Mon</v>
          </cell>
          <cell r="D296">
            <v>37851.416666666664</v>
          </cell>
          <cell r="E296">
            <v>0</v>
          </cell>
          <cell r="F296">
            <v>0</v>
          </cell>
          <cell r="G296">
            <v>11873</v>
          </cell>
          <cell r="H296">
            <v>1.0217499999999999</v>
          </cell>
          <cell r="I296">
            <v>11620</v>
          </cell>
        </row>
        <row r="297">
          <cell r="B297">
            <v>37834</v>
          </cell>
          <cell r="C297" t="str">
            <v>Tue</v>
          </cell>
          <cell r="D297">
            <v>37852.416666666664</v>
          </cell>
          <cell r="E297">
            <v>0</v>
          </cell>
          <cell r="F297">
            <v>0</v>
          </cell>
          <cell r="G297">
            <v>11653</v>
          </cell>
          <cell r="H297">
            <v>1.0217499999999999</v>
          </cell>
          <cell r="I297">
            <v>11405</v>
          </cell>
        </row>
        <row r="298">
          <cell r="B298">
            <v>37834</v>
          </cell>
          <cell r="C298" t="str">
            <v>Wed</v>
          </cell>
          <cell r="D298">
            <v>37853.416666666664</v>
          </cell>
          <cell r="E298">
            <v>0</v>
          </cell>
          <cell r="F298">
            <v>0</v>
          </cell>
          <cell r="G298">
            <v>11431</v>
          </cell>
          <cell r="H298">
            <v>1.0229999999999999</v>
          </cell>
          <cell r="I298">
            <v>11174</v>
          </cell>
        </row>
        <row r="299">
          <cell r="B299">
            <v>37834</v>
          </cell>
          <cell r="C299" t="str">
            <v>Thu</v>
          </cell>
          <cell r="D299">
            <v>37854.416666666664</v>
          </cell>
          <cell r="E299">
            <v>0</v>
          </cell>
          <cell r="F299">
            <v>0</v>
          </cell>
          <cell r="G299">
            <v>10857</v>
          </cell>
          <cell r="H299">
            <v>1.0237499999999999</v>
          </cell>
          <cell r="I299">
            <v>10605</v>
          </cell>
        </row>
        <row r="300">
          <cell r="B300">
            <v>37834</v>
          </cell>
          <cell r="C300" t="str">
            <v>Fri</v>
          </cell>
          <cell r="D300">
            <v>37855.416666666664</v>
          </cell>
          <cell r="E300">
            <v>0</v>
          </cell>
          <cell r="F300">
            <v>0</v>
          </cell>
          <cell r="G300">
            <v>9460</v>
          </cell>
          <cell r="H300">
            <v>1.0242499999999999</v>
          </cell>
          <cell r="I300">
            <v>9236</v>
          </cell>
        </row>
        <row r="301">
          <cell r="B301">
            <v>37834</v>
          </cell>
          <cell r="C301" t="str">
            <v>Sat</v>
          </cell>
          <cell r="D301">
            <v>37856.416666666664</v>
          </cell>
          <cell r="E301">
            <v>0</v>
          </cell>
          <cell r="F301">
            <v>0</v>
          </cell>
          <cell r="G301">
            <v>7101</v>
          </cell>
          <cell r="H301">
            <v>1.02325</v>
          </cell>
          <cell r="I301">
            <v>6940</v>
          </cell>
        </row>
        <row r="302">
          <cell r="B302">
            <v>37834</v>
          </cell>
          <cell r="C302" t="str">
            <v>Sun</v>
          </cell>
          <cell r="D302">
            <v>37857.416666666664</v>
          </cell>
          <cell r="E302">
            <v>0</v>
          </cell>
          <cell r="F302">
            <v>0</v>
          </cell>
          <cell r="G302">
            <v>7581</v>
          </cell>
          <cell r="H302">
            <v>1.0227499999999998</v>
          </cell>
          <cell r="I302">
            <v>7412</v>
          </cell>
        </row>
        <row r="303">
          <cell r="B303">
            <v>37834</v>
          </cell>
          <cell r="C303" t="str">
            <v>Mon</v>
          </cell>
          <cell r="D303">
            <v>37858.416666666664</v>
          </cell>
          <cell r="E303">
            <v>0</v>
          </cell>
          <cell r="F303">
            <v>0</v>
          </cell>
          <cell r="G303">
            <v>9809</v>
          </cell>
          <cell r="H303">
            <v>1.0269999999999999</v>
          </cell>
          <cell r="I303">
            <v>9551</v>
          </cell>
        </row>
        <row r="304">
          <cell r="B304">
            <v>37834</v>
          </cell>
          <cell r="C304" t="str">
            <v>Tue</v>
          </cell>
          <cell r="D304">
            <v>37859.416666666664</v>
          </cell>
          <cell r="E304">
            <v>0</v>
          </cell>
          <cell r="F304">
            <v>0</v>
          </cell>
          <cell r="G304">
            <v>9809</v>
          </cell>
          <cell r="H304">
            <v>1.0270000000000001</v>
          </cell>
          <cell r="I304">
            <v>9551</v>
          </cell>
        </row>
        <row r="305">
          <cell r="B305">
            <v>37834</v>
          </cell>
          <cell r="C305" t="str">
            <v>Wed</v>
          </cell>
          <cell r="D305">
            <v>37860.416666666664</v>
          </cell>
          <cell r="E305">
            <v>0</v>
          </cell>
          <cell r="F305">
            <v>0</v>
          </cell>
          <cell r="G305">
            <v>9611</v>
          </cell>
          <cell r="H305">
            <v>1.0245</v>
          </cell>
          <cell r="I305">
            <v>9381</v>
          </cell>
        </row>
        <row r="306">
          <cell r="B306">
            <v>37834</v>
          </cell>
          <cell r="C306" t="str">
            <v>Thu</v>
          </cell>
          <cell r="D306">
            <v>37861.416666666664</v>
          </cell>
          <cell r="E306">
            <v>0</v>
          </cell>
          <cell r="F306">
            <v>0</v>
          </cell>
          <cell r="G306">
            <v>8884</v>
          </cell>
          <cell r="H306">
            <v>1.0257499999999999</v>
          </cell>
          <cell r="I306">
            <v>8661</v>
          </cell>
        </row>
        <row r="307">
          <cell r="B307">
            <v>37834</v>
          </cell>
          <cell r="C307" t="str">
            <v>Fri</v>
          </cell>
          <cell r="D307">
            <v>37862.416666666664</v>
          </cell>
          <cell r="E307">
            <v>0</v>
          </cell>
          <cell r="F307">
            <v>0</v>
          </cell>
          <cell r="G307">
            <v>7527</v>
          </cell>
          <cell r="H307">
            <v>1.0277499999999999</v>
          </cell>
          <cell r="I307">
            <v>7324</v>
          </cell>
        </row>
        <row r="308">
          <cell r="B308">
            <v>37834</v>
          </cell>
          <cell r="C308" t="str">
            <v>Sat</v>
          </cell>
          <cell r="D308">
            <v>37863.416666666664</v>
          </cell>
          <cell r="E308">
            <v>0</v>
          </cell>
          <cell r="F308">
            <v>0</v>
          </cell>
          <cell r="G308">
            <v>6217</v>
          </cell>
          <cell r="H308">
            <v>1.0249999999999999</v>
          </cell>
          <cell r="I308">
            <v>6065</v>
          </cell>
        </row>
        <row r="309">
          <cell r="B309">
            <v>37834</v>
          </cell>
          <cell r="C309" t="str">
            <v>Sun</v>
          </cell>
          <cell r="D309">
            <v>37864.416666666664</v>
          </cell>
          <cell r="E309">
            <v>0</v>
          </cell>
          <cell r="F309">
            <v>0</v>
          </cell>
          <cell r="G309">
            <v>5975</v>
          </cell>
          <cell r="H309">
            <v>1.02325</v>
          </cell>
          <cell r="I309">
            <v>5839</v>
          </cell>
        </row>
        <row r="310">
          <cell r="B310">
            <v>37865</v>
          </cell>
          <cell r="C310" t="str">
            <v>Mon</v>
          </cell>
          <cell r="D310">
            <v>37865.416666666664</v>
          </cell>
          <cell r="E310">
            <v>0</v>
          </cell>
          <cell r="F310">
            <v>0</v>
          </cell>
          <cell r="G310">
            <v>7842</v>
          </cell>
          <cell r="H310">
            <v>1.0215000000000001</v>
          </cell>
          <cell r="I310">
            <v>7677</v>
          </cell>
        </row>
        <row r="311">
          <cell r="B311">
            <v>37865</v>
          </cell>
          <cell r="C311" t="str">
            <v>Tue</v>
          </cell>
          <cell r="D311">
            <v>37866.416666666664</v>
          </cell>
          <cell r="E311">
            <v>0</v>
          </cell>
          <cell r="F311">
            <v>0</v>
          </cell>
          <cell r="G311">
            <v>10325</v>
          </cell>
          <cell r="H311">
            <v>1.0225</v>
          </cell>
          <cell r="I311">
            <v>10098</v>
          </cell>
        </row>
        <row r="312">
          <cell r="B312">
            <v>37865</v>
          </cell>
          <cell r="C312" t="str">
            <v>Wed</v>
          </cell>
          <cell r="D312">
            <v>37867.416666666664</v>
          </cell>
          <cell r="E312">
            <v>0</v>
          </cell>
          <cell r="F312">
            <v>0</v>
          </cell>
          <cell r="G312">
            <v>10698</v>
          </cell>
          <cell r="H312">
            <v>1.0234999999999999</v>
          </cell>
          <cell r="I312">
            <v>10452</v>
          </cell>
        </row>
        <row r="313">
          <cell r="B313">
            <v>37865</v>
          </cell>
          <cell r="C313" t="str">
            <v>Thu</v>
          </cell>
          <cell r="D313">
            <v>37868.416666666664</v>
          </cell>
          <cell r="E313">
            <v>0</v>
          </cell>
          <cell r="F313">
            <v>0</v>
          </cell>
          <cell r="G313">
            <v>10195</v>
          </cell>
          <cell r="H313">
            <v>1.02275</v>
          </cell>
          <cell r="I313">
            <v>9968</v>
          </cell>
        </row>
        <row r="314">
          <cell r="B314">
            <v>37865</v>
          </cell>
          <cell r="C314" t="str">
            <v>Fri</v>
          </cell>
          <cell r="D314">
            <v>37869.416666666664</v>
          </cell>
          <cell r="E314">
            <v>0</v>
          </cell>
          <cell r="F314">
            <v>0</v>
          </cell>
          <cell r="G314">
            <v>9264</v>
          </cell>
          <cell r="H314">
            <v>1.0229999999999999</v>
          </cell>
          <cell r="I314">
            <v>9056</v>
          </cell>
        </row>
        <row r="315">
          <cell r="B315">
            <v>37865</v>
          </cell>
          <cell r="C315" t="str">
            <v>Sat</v>
          </cell>
          <cell r="D315">
            <v>37870.416666666664</v>
          </cell>
          <cell r="E315">
            <v>0</v>
          </cell>
          <cell r="F315">
            <v>0</v>
          </cell>
          <cell r="G315">
            <v>7782</v>
          </cell>
          <cell r="H315">
            <v>1.02325</v>
          </cell>
          <cell r="I315">
            <v>7605</v>
          </cell>
        </row>
        <row r="316">
          <cell r="B316">
            <v>37865</v>
          </cell>
          <cell r="C316" t="str">
            <v>Sun</v>
          </cell>
          <cell r="D316">
            <v>37871.416666666664</v>
          </cell>
          <cell r="E316">
            <v>0</v>
          </cell>
          <cell r="F316">
            <v>0</v>
          </cell>
          <cell r="G316">
            <v>9390</v>
          </cell>
          <cell r="H316">
            <v>1.02275</v>
          </cell>
          <cell r="I316">
            <v>9181</v>
          </cell>
        </row>
        <row r="317">
          <cell r="B317">
            <v>37865</v>
          </cell>
          <cell r="C317" t="str">
            <v>Mon</v>
          </cell>
          <cell r="D317">
            <v>37872.416666666664</v>
          </cell>
          <cell r="E317">
            <v>0</v>
          </cell>
          <cell r="F317">
            <v>0</v>
          </cell>
          <cell r="G317">
            <v>11142</v>
          </cell>
          <cell r="H317">
            <v>1.0232499999999998</v>
          </cell>
          <cell r="I317">
            <v>10889</v>
          </cell>
        </row>
        <row r="318">
          <cell r="B318">
            <v>37865</v>
          </cell>
          <cell r="C318" t="str">
            <v>Tue</v>
          </cell>
          <cell r="D318">
            <v>37873.416666666664</v>
          </cell>
          <cell r="E318">
            <v>0</v>
          </cell>
          <cell r="F318">
            <v>0</v>
          </cell>
          <cell r="G318">
            <v>11244</v>
          </cell>
          <cell r="H318">
            <v>1.0222500000000001</v>
          </cell>
          <cell r="I318">
            <v>10999</v>
          </cell>
        </row>
        <row r="319">
          <cell r="B319">
            <v>37865</v>
          </cell>
          <cell r="C319" t="str">
            <v>Wed</v>
          </cell>
          <cell r="D319">
            <v>37874.416666666664</v>
          </cell>
          <cell r="E319">
            <v>0</v>
          </cell>
          <cell r="F319">
            <v>0</v>
          </cell>
          <cell r="G319">
            <v>11234</v>
          </cell>
          <cell r="H319">
            <v>1.0225</v>
          </cell>
          <cell r="I319">
            <v>10987</v>
          </cell>
        </row>
        <row r="320">
          <cell r="B320">
            <v>37865</v>
          </cell>
          <cell r="C320" t="str">
            <v>Thu</v>
          </cell>
          <cell r="D320">
            <v>37875.416666666664</v>
          </cell>
          <cell r="E320">
            <v>0</v>
          </cell>
          <cell r="F320">
            <v>0</v>
          </cell>
          <cell r="G320">
            <v>11198</v>
          </cell>
          <cell r="H320">
            <v>1.0222500000000001</v>
          </cell>
          <cell r="I320">
            <v>10954</v>
          </cell>
        </row>
        <row r="321">
          <cell r="B321">
            <v>37865</v>
          </cell>
          <cell r="C321" t="str">
            <v>Fri</v>
          </cell>
          <cell r="D321">
            <v>37876.416666666664</v>
          </cell>
          <cell r="E321">
            <v>0</v>
          </cell>
          <cell r="F321">
            <v>0</v>
          </cell>
          <cell r="G321">
            <v>9143</v>
          </cell>
          <cell r="H321">
            <v>1.0317500000000002</v>
          </cell>
          <cell r="I321">
            <v>8862</v>
          </cell>
        </row>
        <row r="322">
          <cell r="B322">
            <v>37865</v>
          </cell>
          <cell r="C322" t="str">
            <v>Sat</v>
          </cell>
          <cell r="D322">
            <v>37877.416666666664</v>
          </cell>
          <cell r="E322">
            <v>0</v>
          </cell>
          <cell r="F322">
            <v>0</v>
          </cell>
          <cell r="G322">
            <v>7507</v>
          </cell>
          <cell r="H322">
            <v>1.02275</v>
          </cell>
          <cell r="I322">
            <v>7340</v>
          </cell>
        </row>
        <row r="323">
          <cell r="B323">
            <v>37865</v>
          </cell>
          <cell r="C323" t="str">
            <v>Sun</v>
          </cell>
          <cell r="D323">
            <v>37878.416666666664</v>
          </cell>
          <cell r="E323">
            <v>0</v>
          </cell>
          <cell r="F323">
            <v>0</v>
          </cell>
          <cell r="G323">
            <v>9026</v>
          </cell>
          <cell r="H323">
            <v>1.022</v>
          </cell>
          <cell r="I323">
            <v>8832</v>
          </cell>
        </row>
        <row r="324">
          <cell r="B324">
            <v>37865</v>
          </cell>
          <cell r="C324" t="str">
            <v>Mon</v>
          </cell>
          <cell r="D324">
            <v>37879.416666666664</v>
          </cell>
          <cell r="E324">
            <v>0</v>
          </cell>
          <cell r="F324">
            <v>0</v>
          </cell>
          <cell r="G324">
            <v>11661</v>
          </cell>
          <cell r="H324">
            <v>1.0215000000000001</v>
          </cell>
          <cell r="I324">
            <v>11416</v>
          </cell>
        </row>
        <row r="325">
          <cell r="B325">
            <v>37865</v>
          </cell>
          <cell r="C325" t="str">
            <v>Tue</v>
          </cell>
          <cell r="D325">
            <v>37880.416666666664</v>
          </cell>
          <cell r="E325">
            <v>0</v>
          </cell>
          <cell r="F325">
            <v>0</v>
          </cell>
          <cell r="G325">
            <v>11707</v>
          </cell>
          <cell r="H325">
            <v>1.0237499999999999</v>
          </cell>
          <cell r="I325">
            <v>11435</v>
          </cell>
        </row>
        <row r="326">
          <cell r="B326">
            <v>37865</v>
          </cell>
          <cell r="C326" t="str">
            <v>Wed</v>
          </cell>
          <cell r="D326">
            <v>37881.416666666664</v>
          </cell>
          <cell r="E326">
            <v>0</v>
          </cell>
          <cell r="F326">
            <v>0</v>
          </cell>
          <cell r="G326">
            <v>11585</v>
          </cell>
          <cell r="H326">
            <v>1.022</v>
          </cell>
          <cell r="I326">
            <v>11336</v>
          </cell>
        </row>
        <row r="327">
          <cell r="B327">
            <v>37865</v>
          </cell>
          <cell r="C327" t="str">
            <v>Thu</v>
          </cell>
          <cell r="D327">
            <v>37882.416666666664</v>
          </cell>
          <cell r="E327">
            <v>0</v>
          </cell>
          <cell r="F327">
            <v>0</v>
          </cell>
          <cell r="G327">
            <v>11290</v>
          </cell>
          <cell r="H327">
            <v>1.02275</v>
          </cell>
          <cell r="I327">
            <v>11039</v>
          </cell>
        </row>
        <row r="328">
          <cell r="B328">
            <v>37865</v>
          </cell>
          <cell r="C328" t="str">
            <v>Fri</v>
          </cell>
          <cell r="D328">
            <v>37883.416666666664</v>
          </cell>
          <cell r="E328">
            <v>0</v>
          </cell>
          <cell r="F328">
            <v>0</v>
          </cell>
          <cell r="G328">
            <v>9175</v>
          </cell>
          <cell r="H328">
            <v>1.0222499999999999</v>
          </cell>
          <cell r="I328">
            <v>8975</v>
          </cell>
        </row>
        <row r="329">
          <cell r="B329">
            <v>37865</v>
          </cell>
          <cell r="C329" t="str">
            <v>Sat</v>
          </cell>
          <cell r="D329">
            <v>37884.416666666664</v>
          </cell>
          <cell r="E329">
            <v>0</v>
          </cell>
          <cell r="F329">
            <v>0</v>
          </cell>
          <cell r="G329">
            <v>7152</v>
          </cell>
          <cell r="H329">
            <v>1.0209999999999999</v>
          </cell>
          <cell r="I329">
            <v>7005</v>
          </cell>
        </row>
        <row r="330">
          <cell r="B330">
            <v>37865</v>
          </cell>
          <cell r="C330" t="str">
            <v>Sun</v>
          </cell>
          <cell r="D330">
            <v>37885.416666666664</v>
          </cell>
          <cell r="E330">
            <v>0</v>
          </cell>
          <cell r="F330">
            <v>0</v>
          </cell>
          <cell r="G330">
            <v>9098</v>
          </cell>
          <cell r="H330">
            <v>1.0362499999999999</v>
          </cell>
          <cell r="I330">
            <v>8780</v>
          </cell>
        </row>
        <row r="331">
          <cell r="B331">
            <v>37865</v>
          </cell>
          <cell r="C331" t="str">
            <v>Mon</v>
          </cell>
          <cell r="D331">
            <v>37886.416666666664</v>
          </cell>
          <cell r="E331">
            <v>0</v>
          </cell>
          <cell r="F331">
            <v>0</v>
          </cell>
          <cell r="G331">
            <v>11650</v>
          </cell>
          <cell r="H331">
            <v>1.0202499999999999</v>
          </cell>
          <cell r="I331">
            <v>11419</v>
          </cell>
        </row>
        <row r="332">
          <cell r="B332">
            <v>37865</v>
          </cell>
          <cell r="C332" t="str">
            <v>Tue</v>
          </cell>
          <cell r="D332">
            <v>37887.416666666664</v>
          </cell>
          <cell r="E332">
            <v>0</v>
          </cell>
          <cell r="F332">
            <v>0</v>
          </cell>
          <cell r="G332">
            <v>11838</v>
          </cell>
          <cell r="H332">
            <v>1.0205</v>
          </cell>
          <cell r="I332">
            <v>11600</v>
          </cell>
        </row>
        <row r="333">
          <cell r="B333">
            <v>37865</v>
          </cell>
          <cell r="C333" t="str">
            <v>Wed</v>
          </cell>
          <cell r="D333">
            <v>37888.416666666664</v>
          </cell>
          <cell r="E333">
            <v>0</v>
          </cell>
          <cell r="F333">
            <v>0</v>
          </cell>
          <cell r="G333">
            <v>11430</v>
          </cell>
          <cell r="H333">
            <v>1.02075</v>
          </cell>
          <cell r="I333">
            <v>11198</v>
          </cell>
        </row>
        <row r="334">
          <cell r="B334">
            <v>37865</v>
          </cell>
          <cell r="C334" t="str">
            <v>Thu</v>
          </cell>
          <cell r="D334">
            <v>37889.416666666664</v>
          </cell>
          <cell r="E334">
            <v>0</v>
          </cell>
          <cell r="F334">
            <v>0</v>
          </cell>
          <cell r="G334">
            <v>10890</v>
          </cell>
          <cell r="H334">
            <v>1.0215000000000001</v>
          </cell>
          <cell r="I334">
            <v>10661</v>
          </cell>
        </row>
        <row r="335">
          <cell r="B335">
            <v>37865</v>
          </cell>
          <cell r="C335" t="str">
            <v>Fri</v>
          </cell>
          <cell r="D335">
            <v>37890.416666666664</v>
          </cell>
          <cell r="E335">
            <v>0</v>
          </cell>
          <cell r="F335">
            <v>0</v>
          </cell>
          <cell r="G335">
            <v>8635</v>
          </cell>
          <cell r="H335">
            <v>1.0205</v>
          </cell>
          <cell r="I335">
            <v>8462</v>
          </cell>
        </row>
        <row r="336">
          <cell r="B336">
            <v>37865</v>
          </cell>
          <cell r="C336" t="str">
            <v>Sat</v>
          </cell>
          <cell r="D336">
            <v>37891.416666666664</v>
          </cell>
          <cell r="E336">
            <v>0</v>
          </cell>
          <cell r="F336">
            <v>0</v>
          </cell>
          <cell r="G336">
            <v>7491</v>
          </cell>
          <cell r="H336">
            <v>1.02125</v>
          </cell>
          <cell r="I336">
            <v>7335</v>
          </cell>
        </row>
        <row r="337">
          <cell r="B337">
            <v>37865</v>
          </cell>
          <cell r="C337" t="str">
            <v>Sun</v>
          </cell>
          <cell r="D337">
            <v>37892.416666666664</v>
          </cell>
          <cell r="E337">
            <v>0</v>
          </cell>
          <cell r="F337">
            <v>0</v>
          </cell>
          <cell r="G337">
            <v>9608</v>
          </cell>
          <cell r="H337">
            <v>1.0215000000000001</v>
          </cell>
          <cell r="I337">
            <v>9406</v>
          </cell>
        </row>
        <row r="338">
          <cell r="B338">
            <v>37865</v>
          </cell>
          <cell r="C338" t="str">
            <v>Mon</v>
          </cell>
          <cell r="D338">
            <v>37893.416666666664</v>
          </cell>
          <cell r="E338">
            <v>3</v>
          </cell>
          <cell r="F338">
            <v>3</v>
          </cell>
          <cell r="G338">
            <v>12639</v>
          </cell>
          <cell r="H338">
            <v>1.0217499999999999</v>
          </cell>
          <cell r="I338">
            <v>12370</v>
          </cell>
        </row>
        <row r="339">
          <cell r="B339">
            <v>37865</v>
          </cell>
          <cell r="C339" t="str">
            <v>Tue</v>
          </cell>
          <cell r="D339">
            <v>37894.416666666664</v>
          </cell>
          <cell r="E339">
            <v>1</v>
          </cell>
          <cell r="F339">
            <v>1</v>
          </cell>
          <cell r="G339">
            <v>12543</v>
          </cell>
          <cell r="H339">
            <v>1.02275</v>
          </cell>
          <cell r="I339">
            <v>12264</v>
          </cell>
        </row>
        <row r="340">
          <cell r="B340">
            <v>37895</v>
          </cell>
          <cell r="C340" t="str">
            <v>Wed</v>
          </cell>
          <cell r="D340">
            <v>37895.416666666664</v>
          </cell>
          <cell r="E340">
            <v>1</v>
          </cell>
          <cell r="F340">
            <v>1</v>
          </cell>
          <cell r="G340">
            <v>12346</v>
          </cell>
          <cell r="H340">
            <v>1.0234999999999999</v>
          </cell>
          <cell r="I340">
            <v>12063</v>
          </cell>
        </row>
        <row r="341">
          <cell r="B341">
            <v>37895</v>
          </cell>
          <cell r="C341" t="str">
            <v>Thu</v>
          </cell>
          <cell r="D341">
            <v>37896.416666666664</v>
          </cell>
          <cell r="E341">
            <v>3</v>
          </cell>
          <cell r="F341">
            <v>4</v>
          </cell>
          <cell r="G341">
            <v>12708</v>
          </cell>
          <cell r="H341">
            <v>1.0217499999999999</v>
          </cell>
          <cell r="I341">
            <v>12437</v>
          </cell>
        </row>
        <row r="342">
          <cell r="B342">
            <v>37895</v>
          </cell>
          <cell r="C342" t="str">
            <v>Fri</v>
          </cell>
          <cell r="D342">
            <v>37897.416666666664</v>
          </cell>
          <cell r="E342">
            <v>3</v>
          </cell>
          <cell r="F342">
            <v>3</v>
          </cell>
          <cell r="G342">
            <v>10597</v>
          </cell>
          <cell r="H342">
            <v>1.0227499999999998</v>
          </cell>
          <cell r="I342">
            <v>10361</v>
          </cell>
        </row>
        <row r="343">
          <cell r="B343">
            <v>37895</v>
          </cell>
          <cell r="C343" t="str">
            <v>Sat</v>
          </cell>
          <cell r="D343">
            <v>37898.416666666664</v>
          </cell>
          <cell r="E343">
            <v>0</v>
          </cell>
          <cell r="F343">
            <v>0</v>
          </cell>
          <cell r="G343">
            <v>8348</v>
          </cell>
          <cell r="H343">
            <v>1.024</v>
          </cell>
          <cell r="I343">
            <v>8152</v>
          </cell>
        </row>
        <row r="344">
          <cell r="B344">
            <v>37895</v>
          </cell>
          <cell r="C344" t="str">
            <v>Sun</v>
          </cell>
          <cell r="D344">
            <v>37899.416666666664</v>
          </cell>
          <cell r="E344">
            <v>0</v>
          </cell>
          <cell r="F344">
            <v>0</v>
          </cell>
          <cell r="G344">
            <v>9351</v>
          </cell>
          <cell r="H344">
            <v>1.0205</v>
          </cell>
          <cell r="I344">
            <v>9163</v>
          </cell>
        </row>
        <row r="345">
          <cell r="B345">
            <v>37895</v>
          </cell>
          <cell r="C345" t="str">
            <v>Mon</v>
          </cell>
          <cell r="D345">
            <v>37900.416666666664</v>
          </cell>
          <cell r="E345">
            <v>0</v>
          </cell>
          <cell r="F345">
            <v>0</v>
          </cell>
          <cell r="G345">
            <v>10844</v>
          </cell>
          <cell r="H345">
            <v>1.02</v>
          </cell>
          <cell r="I345">
            <v>10631</v>
          </cell>
        </row>
        <row r="346">
          <cell r="B346">
            <v>37895</v>
          </cell>
          <cell r="C346" t="str">
            <v>Tue</v>
          </cell>
          <cell r="D346">
            <v>37901.416666666664</v>
          </cell>
          <cell r="E346">
            <v>0</v>
          </cell>
          <cell r="F346">
            <v>0</v>
          </cell>
          <cell r="G346">
            <v>11195</v>
          </cell>
          <cell r="H346">
            <v>1.0215000000000001</v>
          </cell>
          <cell r="I346">
            <v>10959</v>
          </cell>
        </row>
        <row r="347">
          <cell r="B347">
            <v>37895</v>
          </cell>
          <cell r="C347" t="str">
            <v>Wed</v>
          </cell>
          <cell r="D347">
            <v>37902.416666666664</v>
          </cell>
          <cell r="E347">
            <v>0</v>
          </cell>
          <cell r="F347">
            <v>0</v>
          </cell>
          <cell r="G347">
            <v>11296</v>
          </cell>
          <cell r="H347">
            <v>1.0202499999999999</v>
          </cell>
          <cell r="I347">
            <v>11072</v>
          </cell>
        </row>
        <row r="348">
          <cell r="B348">
            <v>37895</v>
          </cell>
          <cell r="C348" t="str">
            <v>Thu</v>
          </cell>
          <cell r="D348">
            <v>37903.416666666664</v>
          </cell>
          <cell r="E348">
            <v>0</v>
          </cell>
          <cell r="F348">
            <v>0</v>
          </cell>
          <cell r="G348">
            <v>10845</v>
          </cell>
          <cell r="H348">
            <v>1.02</v>
          </cell>
          <cell r="I348">
            <v>10632</v>
          </cell>
        </row>
        <row r="349">
          <cell r="B349">
            <v>37895</v>
          </cell>
          <cell r="C349" t="str">
            <v>Fri</v>
          </cell>
          <cell r="D349">
            <v>37904.416666666664</v>
          </cell>
          <cell r="E349">
            <v>0</v>
          </cell>
          <cell r="F349">
            <v>0</v>
          </cell>
          <cell r="G349">
            <v>8921</v>
          </cell>
          <cell r="H349">
            <v>1.0232499999999998</v>
          </cell>
          <cell r="I349">
            <v>8718</v>
          </cell>
        </row>
        <row r="350">
          <cell r="B350">
            <v>37895</v>
          </cell>
          <cell r="C350" t="str">
            <v>Sat</v>
          </cell>
          <cell r="D350">
            <v>37905.416666666664</v>
          </cell>
          <cell r="E350">
            <v>0</v>
          </cell>
          <cell r="F350">
            <v>0</v>
          </cell>
          <cell r="G350">
            <v>7807</v>
          </cell>
          <cell r="H350">
            <v>1.02075</v>
          </cell>
          <cell r="I350">
            <v>7648</v>
          </cell>
        </row>
        <row r="351">
          <cell r="B351">
            <v>37895</v>
          </cell>
          <cell r="C351" t="str">
            <v>Sun</v>
          </cell>
          <cell r="D351">
            <v>37906.416666666664</v>
          </cell>
          <cell r="E351">
            <v>0</v>
          </cell>
          <cell r="F351">
            <v>0</v>
          </cell>
          <cell r="G351">
            <v>9392</v>
          </cell>
          <cell r="H351">
            <v>1.0209999999999999</v>
          </cell>
          <cell r="I351">
            <v>9199</v>
          </cell>
        </row>
        <row r="352">
          <cell r="B352">
            <v>37895</v>
          </cell>
          <cell r="C352" t="str">
            <v>Mon</v>
          </cell>
          <cell r="D352">
            <v>37907.416666666664</v>
          </cell>
          <cell r="E352">
            <v>0</v>
          </cell>
          <cell r="F352">
            <v>0</v>
          </cell>
          <cell r="G352">
            <v>11876</v>
          </cell>
          <cell r="H352">
            <v>1.0205</v>
          </cell>
          <cell r="I352">
            <v>11637</v>
          </cell>
        </row>
        <row r="353">
          <cell r="B353">
            <v>37895</v>
          </cell>
          <cell r="C353" t="str">
            <v>Tue</v>
          </cell>
          <cell r="D353">
            <v>37908.416666666664</v>
          </cell>
          <cell r="E353">
            <v>0</v>
          </cell>
          <cell r="F353">
            <v>0</v>
          </cell>
          <cell r="G353">
            <v>12766</v>
          </cell>
          <cell r="H353">
            <v>1.0205</v>
          </cell>
          <cell r="I353">
            <v>12510</v>
          </cell>
        </row>
        <row r="354">
          <cell r="B354">
            <v>37895</v>
          </cell>
          <cell r="C354" t="str">
            <v>Wed</v>
          </cell>
          <cell r="D354">
            <v>37909.416666666664</v>
          </cell>
          <cell r="E354">
            <v>5</v>
          </cell>
          <cell r="F354">
            <v>5</v>
          </cell>
          <cell r="G354">
            <v>14340</v>
          </cell>
          <cell r="H354">
            <v>1.0217499999999999</v>
          </cell>
          <cell r="I354">
            <v>14035</v>
          </cell>
        </row>
        <row r="355">
          <cell r="B355">
            <v>37895</v>
          </cell>
          <cell r="C355" t="str">
            <v>Thu</v>
          </cell>
          <cell r="D355">
            <v>37910.416666666664</v>
          </cell>
          <cell r="E355">
            <v>4</v>
          </cell>
          <cell r="F355">
            <v>4</v>
          </cell>
          <cell r="G355">
            <v>13941</v>
          </cell>
          <cell r="H355">
            <v>1.02275</v>
          </cell>
          <cell r="I355">
            <v>13631</v>
          </cell>
        </row>
        <row r="356">
          <cell r="B356">
            <v>37895</v>
          </cell>
          <cell r="C356" t="str">
            <v>Fri</v>
          </cell>
          <cell r="D356">
            <v>37911.416666666664</v>
          </cell>
          <cell r="E356">
            <v>3</v>
          </cell>
          <cell r="F356">
            <v>3</v>
          </cell>
          <cell r="G356">
            <v>11981</v>
          </cell>
          <cell r="H356">
            <v>1.022</v>
          </cell>
          <cell r="I356">
            <v>11723</v>
          </cell>
        </row>
        <row r="357">
          <cell r="B357">
            <v>37895</v>
          </cell>
          <cell r="C357" t="str">
            <v>Sat</v>
          </cell>
          <cell r="D357">
            <v>37912.416666666664</v>
          </cell>
          <cell r="E357">
            <v>4</v>
          </cell>
          <cell r="F357">
            <v>4</v>
          </cell>
          <cell r="G357">
            <v>9858</v>
          </cell>
          <cell r="H357">
            <v>1.02075</v>
          </cell>
          <cell r="I357">
            <v>9658</v>
          </cell>
        </row>
        <row r="358">
          <cell r="B358">
            <v>37895</v>
          </cell>
          <cell r="C358" t="str">
            <v>Sun</v>
          </cell>
          <cell r="D358">
            <v>37913.416666666664</v>
          </cell>
          <cell r="E358">
            <v>2</v>
          </cell>
          <cell r="F358">
            <v>2</v>
          </cell>
          <cell r="G358">
            <v>12020</v>
          </cell>
          <cell r="H358">
            <v>1.022</v>
          </cell>
          <cell r="I358">
            <v>11761</v>
          </cell>
        </row>
        <row r="359">
          <cell r="B359">
            <v>37895</v>
          </cell>
          <cell r="C359" t="str">
            <v>Mon</v>
          </cell>
          <cell r="D359">
            <v>37914.416666666664</v>
          </cell>
          <cell r="E359">
            <v>0</v>
          </cell>
          <cell r="F359">
            <v>0</v>
          </cell>
          <cell r="G359">
            <v>13520</v>
          </cell>
          <cell r="H359">
            <v>1.02075</v>
          </cell>
          <cell r="I359">
            <v>13245</v>
          </cell>
        </row>
        <row r="360">
          <cell r="B360">
            <v>37895</v>
          </cell>
          <cell r="C360" t="str">
            <v>Tue</v>
          </cell>
          <cell r="D360">
            <v>37915.416666666664</v>
          </cell>
          <cell r="E360">
            <v>0</v>
          </cell>
          <cell r="F360">
            <v>0</v>
          </cell>
          <cell r="G360">
            <v>12816</v>
          </cell>
          <cell r="H360">
            <v>1.022</v>
          </cell>
          <cell r="I360">
            <v>12540</v>
          </cell>
        </row>
        <row r="361">
          <cell r="B361">
            <v>37895</v>
          </cell>
          <cell r="C361" t="str">
            <v>Wed</v>
          </cell>
          <cell r="D361">
            <v>37916.416666666664</v>
          </cell>
          <cell r="E361">
            <v>0</v>
          </cell>
          <cell r="F361">
            <v>0</v>
          </cell>
          <cell r="G361">
            <v>13029</v>
          </cell>
          <cell r="H361">
            <v>1.0215000000000001</v>
          </cell>
          <cell r="I361">
            <v>12755</v>
          </cell>
        </row>
        <row r="362">
          <cell r="B362">
            <v>37895</v>
          </cell>
          <cell r="C362" t="str">
            <v>Thu</v>
          </cell>
          <cell r="D362">
            <v>37917.416666666664</v>
          </cell>
          <cell r="E362">
            <v>0</v>
          </cell>
          <cell r="F362">
            <v>0</v>
          </cell>
          <cell r="G362">
            <v>12918</v>
          </cell>
          <cell r="H362">
            <v>1.0237499999999999</v>
          </cell>
          <cell r="I362">
            <v>12618</v>
          </cell>
        </row>
        <row r="363">
          <cell r="B363">
            <v>37895</v>
          </cell>
          <cell r="C363" t="str">
            <v>Fri</v>
          </cell>
          <cell r="D363">
            <v>37918.416666666664</v>
          </cell>
          <cell r="E363">
            <v>0</v>
          </cell>
          <cell r="F363">
            <v>0</v>
          </cell>
          <cell r="G363">
            <v>9709</v>
          </cell>
          <cell r="H363">
            <v>1.0222500000000001</v>
          </cell>
          <cell r="I363">
            <v>9498</v>
          </cell>
        </row>
        <row r="364">
          <cell r="B364">
            <v>37895</v>
          </cell>
          <cell r="C364" t="str">
            <v>Sat</v>
          </cell>
          <cell r="D364">
            <v>37919.416666666664</v>
          </cell>
          <cell r="E364">
            <v>0</v>
          </cell>
          <cell r="F364">
            <v>0</v>
          </cell>
          <cell r="G364">
            <v>8092</v>
          </cell>
          <cell r="H364">
            <v>1.0217499999999999</v>
          </cell>
          <cell r="I364">
            <v>7920</v>
          </cell>
        </row>
        <row r="365">
          <cell r="B365">
            <v>37895</v>
          </cell>
          <cell r="C365" t="str">
            <v>Sun</v>
          </cell>
          <cell r="D365">
            <v>37920.416666666664</v>
          </cell>
          <cell r="E365">
            <v>0</v>
          </cell>
          <cell r="F365">
            <v>0</v>
          </cell>
          <cell r="G365">
            <v>9486</v>
          </cell>
          <cell r="H365">
            <v>1.0237499999999999</v>
          </cell>
          <cell r="I365">
            <v>9266</v>
          </cell>
        </row>
        <row r="366">
          <cell r="B366">
            <v>37895</v>
          </cell>
          <cell r="C366" t="str">
            <v>Mon</v>
          </cell>
          <cell r="D366">
            <v>37921.416666666664</v>
          </cell>
          <cell r="E366">
            <v>5</v>
          </cell>
          <cell r="F366">
            <v>5</v>
          </cell>
          <cell r="G366">
            <v>12797</v>
          </cell>
          <cell r="H366">
            <v>1.022</v>
          </cell>
          <cell r="I366">
            <v>12522</v>
          </cell>
        </row>
        <row r="367">
          <cell r="B367">
            <v>37895</v>
          </cell>
          <cell r="C367" t="str">
            <v>Tue</v>
          </cell>
          <cell r="D367">
            <v>37922.416666666664</v>
          </cell>
          <cell r="E367">
            <v>10</v>
          </cell>
          <cell r="F367">
            <v>10</v>
          </cell>
          <cell r="G367">
            <v>16576</v>
          </cell>
          <cell r="H367">
            <v>1.0209999999999999</v>
          </cell>
          <cell r="I367">
            <v>16235</v>
          </cell>
        </row>
        <row r="368">
          <cell r="B368">
            <v>37895</v>
          </cell>
          <cell r="C368" t="str">
            <v>Wed</v>
          </cell>
          <cell r="D368">
            <v>37923.416666666664</v>
          </cell>
          <cell r="E368">
            <v>2</v>
          </cell>
          <cell r="F368">
            <v>3</v>
          </cell>
          <cell r="G368">
            <v>14385</v>
          </cell>
          <cell r="H368">
            <v>1.0229999999999999</v>
          </cell>
          <cell r="I368">
            <v>14062</v>
          </cell>
        </row>
        <row r="369">
          <cell r="B369">
            <v>37895</v>
          </cell>
          <cell r="C369" t="str">
            <v>Thu</v>
          </cell>
          <cell r="D369">
            <v>37924.416666666664</v>
          </cell>
          <cell r="E369">
            <v>0</v>
          </cell>
          <cell r="F369">
            <v>0</v>
          </cell>
          <cell r="G369">
            <v>12612</v>
          </cell>
          <cell r="H369">
            <v>1.0217499999999999</v>
          </cell>
          <cell r="I369">
            <v>12344</v>
          </cell>
        </row>
        <row r="370">
          <cell r="B370">
            <v>37895</v>
          </cell>
          <cell r="C370" t="str">
            <v>Fri</v>
          </cell>
          <cell r="D370">
            <v>37925.416666666664</v>
          </cell>
          <cell r="E370">
            <v>0</v>
          </cell>
          <cell r="F370">
            <v>0</v>
          </cell>
          <cell r="G370">
            <v>9787</v>
          </cell>
          <cell r="H370">
            <v>1.024</v>
          </cell>
          <cell r="I370">
            <v>9558</v>
          </cell>
        </row>
        <row r="371">
          <cell r="B371">
            <v>37926</v>
          </cell>
          <cell r="C371" t="str">
            <v>Sat</v>
          </cell>
          <cell r="D371">
            <v>37926.416666666664</v>
          </cell>
          <cell r="E371">
            <v>0</v>
          </cell>
          <cell r="F371">
            <v>0</v>
          </cell>
          <cell r="G371">
            <v>8461</v>
          </cell>
          <cell r="H371">
            <v>1.022</v>
          </cell>
          <cell r="I371">
            <v>8279</v>
          </cell>
        </row>
        <row r="372">
          <cell r="B372">
            <v>37926</v>
          </cell>
          <cell r="C372" t="str">
            <v>Sun</v>
          </cell>
          <cell r="D372">
            <v>37927.416666666664</v>
          </cell>
          <cell r="E372">
            <v>0</v>
          </cell>
          <cell r="F372">
            <v>0</v>
          </cell>
          <cell r="G372">
            <v>11066</v>
          </cell>
          <cell r="H372">
            <v>1.0209999999999999</v>
          </cell>
          <cell r="I372">
            <v>10838</v>
          </cell>
        </row>
        <row r="373">
          <cell r="B373">
            <v>37926</v>
          </cell>
          <cell r="C373" t="str">
            <v>Mon</v>
          </cell>
          <cell r="D373">
            <v>37928.416666666664</v>
          </cell>
          <cell r="E373">
            <v>0</v>
          </cell>
          <cell r="F373">
            <v>0</v>
          </cell>
          <cell r="G373">
            <v>12884</v>
          </cell>
          <cell r="H373">
            <v>1.0209999999999999</v>
          </cell>
          <cell r="I373">
            <v>12619</v>
          </cell>
        </row>
        <row r="374">
          <cell r="B374">
            <v>37926</v>
          </cell>
          <cell r="C374" t="str">
            <v>Tue</v>
          </cell>
          <cell r="D374">
            <v>37929.416666666664</v>
          </cell>
          <cell r="E374">
            <v>0</v>
          </cell>
          <cell r="F374">
            <v>0</v>
          </cell>
          <cell r="G374">
            <v>12053</v>
          </cell>
          <cell r="H374">
            <v>1.02</v>
          </cell>
          <cell r="I374">
            <v>11817</v>
          </cell>
        </row>
        <row r="375">
          <cell r="B375">
            <v>37926</v>
          </cell>
          <cell r="C375" t="str">
            <v>Wed</v>
          </cell>
          <cell r="D375">
            <v>37930.416666666664</v>
          </cell>
          <cell r="E375">
            <v>0</v>
          </cell>
          <cell r="F375">
            <v>0</v>
          </cell>
          <cell r="G375">
            <v>12092</v>
          </cell>
          <cell r="H375">
            <v>1.02</v>
          </cell>
          <cell r="I375">
            <v>11855</v>
          </cell>
        </row>
        <row r="376">
          <cell r="B376">
            <v>37926</v>
          </cell>
          <cell r="C376" t="str">
            <v>Thu</v>
          </cell>
          <cell r="D376">
            <v>37931.416666666664</v>
          </cell>
          <cell r="E376">
            <v>0</v>
          </cell>
          <cell r="F376">
            <v>0</v>
          </cell>
          <cell r="G376">
            <v>12134</v>
          </cell>
          <cell r="H376">
            <v>1.02075</v>
          </cell>
          <cell r="I376">
            <v>11887</v>
          </cell>
        </row>
        <row r="377">
          <cell r="B377">
            <v>37926</v>
          </cell>
          <cell r="C377" t="str">
            <v>Fri</v>
          </cell>
          <cell r="D377">
            <v>37932.416666666664</v>
          </cell>
          <cell r="E377">
            <v>0</v>
          </cell>
          <cell r="F377">
            <v>0</v>
          </cell>
          <cell r="G377">
            <v>10104</v>
          </cell>
          <cell r="H377">
            <v>1.0209999999999999</v>
          </cell>
          <cell r="I377">
            <v>9896</v>
          </cell>
        </row>
        <row r="378">
          <cell r="B378">
            <v>37926</v>
          </cell>
          <cell r="C378" t="str">
            <v>Sat</v>
          </cell>
          <cell r="D378">
            <v>37933.416666666664</v>
          </cell>
          <cell r="E378">
            <v>2</v>
          </cell>
          <cell r="F378">
            <v>3</v>
          </cell>
          <cell r="G378">
            <v>8948</v>
          </cell>
          <cell r="H378">
            <v>1.0209999999999999</v>
          </cell>
          <cell r="I378">
            <v>8764</v>
          </cell>
        </row>
        <row r="379">
          <cell r="B379">
            <v>37926</v>
          </cell>
          <cell r="C379" t="str">
            <v>Sun</v>
          </cell>
          <cell r="D379">
            <v>37934.416666666664</v>
          </cell>
          <cell r="E379">
            <v>9</v>
          </cell>
          <cell r="F379">
            <v>9</v>
          </cell>
          <cell r="G379">
            <v>13787</v>
          </cell>
          <cell r="H379">
            <v>1.0209999999999999</v>
          </cell>
          <cell r="I379">
            <v>13503</v>
          </cell>
        </row>
        <row r="380">
          <cell r="B380">
            <v>37926</v>
          </cell>
          <cell r="C380" t="str">
            <v>Mon</v>
          </cell>
          <cell r="D380">
            <v>37935.416666666664</v>
          </cell>
          <cell r="E380">
            <v>7</v>
          </cell>
          <cell r="F380">
            <v>8</v>
          </cell>
          <cell r="G380">
            <v>17030</v>
          </cell>
          <cell r="H380">
            <v>1.0209999999999999</v>
          </cell>
          <cell r="I380">
            <v>16680</v>
          </cell>
        </row>
        <row r="381">
          <cell r="B381">
            <v>37926</v>
          </cell>
          <cell r="C381" t="str">
            <v>Tue</v>
          </cell>
          <cell r="D381">
            <v>37936.416666666664</v>
          </cell>
          <cell r="E381">
            <v>1</v>
          </cell>
          <cell r="F381">
            <v>1</v>
          </cell>
          <cell r="G381">
            <v>14923</v>
          </cell>
          <cell r="H381">
            <v>1.02125</v>
          </cell>
          <cell r="I381">
            <v>14612</v>
          </cell>
        </row>
        <row r="382">
          <cell r="B382">
            <v>37926</v>
          </cell>
          <cell r="C382" t="str">
            <v>Wed</v>
          </cell>
          <cell r="D382">
            <v>37937.416666666664</v>
          </cell>
          <cell r="E382">
            <v>0</v>
          </cell>
          <cell r="F382">
            <v>0</v>
          </cell>
          <cell r="G382">
            <v>13333</v>
          </cell>
          <cell r="H382">
            <v>1.02125</v>
          </cell>
          <cell r="I382">
            <v>13056</v>
          </cell>
        </row>
        <row r="383">
          <cell r="B383">
            <v>37926</v>
          </cell>
          <cell r="C383" t="str">
            <v>Thu</v>
          </cell>
          <cell r="D383">
            <v>37938.416666666664</v>
          </cell>
          <cell r="E383">
            <v>15</v>
          </cell>
          <cell r="F383">
            <v>16</v>
          </cell>
          <cell r="G383">
            <v>22172</v>
          </cell>
          <cell r="H383">
            <v>1.02075</v>
          </cell>
          <cell r="I383">
            <v>21721</v>
          </cell>
        </row>
        <row r="384">
          <cell r="B384">
            <v>37926</v>
          </cell>
          <cell r="C384" t="str">
            <v>Fri</v>
          </cell>
          <cell r="D384">
            <v>37939.416666666664</v>
          </cell>
          <cell r="E384">
            <v>15</v>
          </cell>
          <cell r="F384">
            <v>15</v>
          </cell>
          <cell r="G384">
            <v>22265</v>
          </cell>
          <cell r="H384">
            <v>1.0217499999999999</v>
          </cell>
          <cell r="I384">
            <v>21791</v>
          </cell>
        </row>
        <row r="385">
          <cell r="B385">
            <v>37926</v>
          </cell>
          <cell r="C385" t="str">
            <v>Sat</v>
          </cell>
          <cell r="D385">
            <v>37940.416666666664</v>
          </cell>
          <cell r="E385">
            <v>5</v>
          </cell>
          <cell r="F385">
            <v>5</v>
          </cell>
          <cell r="G385">
            <v>14914</v>
          </cell>
          <cell r="H385">
            <v>1.0225</v>
          </cell>
          <cell r="I385">
            <v>14586</v>
          </cell>
        </row>
        <row r="386">
          <cell r="B386">
            <v>37926</v>
          </cell>
          <cell r="C386" t="str">
            <v>Sun</v>
          </cell>
          <cell r="D386">
            <v>37941.416666666664</v>
          </cell>
          <cell r="E386">
            <v>0</v>
          </cell>
          <cell r="F386">
            <v>0</v>
          </cell>
          <cell r="G386">
            <v>12250</v>
          </cell>
          <cell r="H386">
            <v>1.0217499999999999</v>
          </cell>
          <cell r="I386">
            <v>11989</v>
          </cell>
        </row>
        <row r="387">
          <cell r="B387">
            <v>37926</v>
          </cell>
          <cell r="C387" t="str">
            <v>Mon</v>
          </cell>
          <cell r="D387">
            <v>37942.416666666664</v>
          </cell>
          <cell r="E387">
            <v>0</v>
          </cell>
          <cell r="F387">
            <v>0</v>
          </cell>
          <cell r="G387">
            <v>13175</v>
          </cell>
          <cell r="H387">
            <v>1.0209999999999999</v>
          </cell>
          <cell r="I387">
            <v>12904</v>
          </cell>
        </row>
        <row r="388">
          <cell r="B388">
            <v>37926</v>
          </cell>
          <cell r="C388" t="str">
            <v>Tue</v>
          </cell>
          <cell r="D388">
            <v>37943.416666666664</v>
          </cell>
          <cell r="E388">
            <v>0</v>
          </cell>
          <cell r="F388">
            <v>0</v>
          </cell>
          <cell r="G388">
            <v>12753</v>
          </cell>
          <cell r="H388">
            <v>1.02075</v>
          </cell>
          <cell r="I388">
            <v>12494</v>
          </cell>
        </row>
        <row r="389">
          <cell r="B389">
            <v>37926</v>
          </cell>
          <cell r="C389" t="str">
            <v>Wed</v>
          </cell>
          <cell r="D389">
            <v>37944.416666666664</v>
          </cell>
          <cell r="E389">
            <v>11</v>
          </cell>
          <cell r="F389">
            <v>12</v>
          </cell>
          <cell r="G389">
            <v>19448</v>
          </cell>
          <cell r="H389">
            <v>1.02125</v>
          </cell>
          <cell r="I389">
            <v>19043</v>
          </cell>
        </row>
        <row r="390">
          <cell r="B390">
            <v>37926</v>
          </cell>
          <cell r="C390" t="str">
            <v>Thu</v>
          </cell>
          <cell r="D390">
            <v>37945.416666666664</v>
          </cell>
          <cell r="E390">
            <v>9</v>
          </cell>
          <cell r="F390">
            <v>9</v>
          </cell>
          <cell r="G390">
            <v>19600</v>
          </cell>
          <cell r="H390">
            <v>1.0209999999999999</v>
          </cell>
          <cell r="I390">
            <v>19197</v>
          </cell>
        </row>
        <row r="391">
          <cell r="B391">
            <v>37926</v>
          </cell>
          <cell r="C391" t="str">
            <v>Fri</v>
          </cell>
          <cell r="D391">
            <v>37946.416666666664</v>
          </cell>
          <cell r="E391">
            <v>7</v>
          </cell>
          <cell r="F391">
            <v>7</v>
          </cell>
          <cell r="G391">
            <v>16390</v>
          </cell>
          <cell r="H391">
            <v>1.0205</v>
          </cell>
          <cell r="I391">
            <v>16061</v>
          </cell>
        </row>
        <row r="392">
          <cell r="B392">
            <v>37926</v>
          </cell>
          <cell r="C392" t="str">
            <v>Sat</v>
          </cell>
          <cell r="D392">
            <v>37947.416666666664</v>
          </cell>
          <cell r="E392">
            <v>7</v>
          </cell>
          <cell r="F392">
            <v>7</v>
          </cell>
          <cell r="G392">
            <v>14245</v>
          </cell>
          <cell r="H392">
            <v>1.0215000000000001</v>
          </cell>
          <cell r="I392">
            <v>13945</v>
          </cell>
        </row>
        <row r="393">
          <cell r="B393">
            <v>37926</v>
          </cell>
          <cell r="C393" t="str">
            <v>Sun</v>
          </cell>
          <cell r="D393">
            <v>37948.416666666664</v>
          </cell>
          <cell r="E393">
            <v>1</v>
          </cell>
          <cell r="F393">
            <v>1</v>
          </cell>
          <cell r="G393">
            <v>12734</v>
          </cell>
          <cell r="H393">
            <v>1.0209999999999999</v>
          </cell>
          <cell r="I393">
            <v>12472</v>
          </cell>
        </row>
        <row r="394">
          <cell r="B394">
            <v>37926</v>
          </cell>
          <cell r="C394" t="str">
            <v>Mon</v>
          </cell>
          <cell r="D394">
            <v>37949.416666666664</v>
          </cell>
          <cell r="E394">
            <v>22</v>
          </cell>
          <cell r="F394">
            <v>23</v>
          </cell>
          <cell r="G394">
            <v>28667</v>
          </cell>
          <cell r="H394">
            <v>1.0209999999999999</v>
          </cell>
          <cell r="I394">
            <v>28077</v>
          </cell>
        </row>
        <row r="395">
          <cell r="B395">
            <v>37926</v>
          </cell>
          <cell r="C395" t="str">
            <v>Tue</v>
          </cell>
          <cell r="D395">
            <v>37950.416666666664</v>
          </cell>
          <cell r="E395">
            <v>19</v>
          </cell>
          <cell r="F395">
            <v>19</v>
          </cell>
          <cell r="G395">
            <v>28616</v>
          </cell>
          <cell r="H395">
            <v>1.02125</v>
          </cell>
          <cell r="I395">
            <v>28021</v>
          </cell>
        </row>
        <row r="396">
          <cell r="B396">
            <v>37926</v>
          </cell>
          <cell r="C396" t="str">
            <v>Wed</v>
          </cell>
          <cell r="D396">
            <v>37951.416666666664</v>
          </cell>
          <cell r="E396">
            <v>8</v>
          </cell>
          <cell r="F396">
            <v>9</v>
          </cell>
          <cell r="G396">
            <v>17818</v>
          </cell>
          <cell r="H396">
            <v>1.0215000000000001</v>
          </cell>
          <cell r="I396">
            <v>17443</v>
          </cell>
        </row>
        <row r="397">
          <cell r="B397">
            <v>37926</v>
          </cell>
          <cell r="C397" t="str">
            <v>Thu</v>
          </cell>
          <cell r="D397">
            <v>37952.416666666664</v>
          </cell>
          <cell r="E397">
            <v>0</v>
          </cell>
          <cell r="F397">
            <v>1</v>
          </cell>
          <cell r="G397">
            <v>10115</v>
          </cell>
          <cell r="H397">
            <v>1.0215000000000001</v>
          </cell>
          <cell r="I397">
            <v>9902</v>
          </cell>
        </row>
        <row r="398">
          <cell r="B398">
            <v>37926</v>
          </cell>
          <cell r="C398" t="str">
            <v>Fri</v>
          </cell>
          <cell r="D398">
            <v>37953.416666666664</v>
          </cell>
          <cell r="E398">
            <v>22</v>
          </cell>
          <cell r="F398">
            <v>24</v>
          </cell>
          <cell r="G398">
            <v>25839</v>
          </cell>
          <cell r="H398">
            <v>1.02</v>
          </cell>
          <cell r="I398">
            <v>25332</v>
          </cell>
        </row>
        <row r="399">
          <cell r="B399">
            <v>37926</v>
          </cell>
          <cell r="C399" t="str">
            <v>Sat</v>
          </cell>
          <cell r="D399">
            <v>37954.416666666664</v>
          </cell>
          <cell r="E399">
            <v>27</v>
          </cell>
          <cell r="F399">
            <v>28</v>
          </cell>
          <cell r="G399">
            <v>33052</v>
          </cell>
          <cell r="H399">
            <v>1.02</v>
          </cell>
          <cell r="I399">
            <v>32404</v>
          </cell>
        </row>
        <row r="400">
          <cell r="B400">
            <v>37926</v>
          </cell>
          <cell r="C400" t="str">
            <v>Sun</v>
          </cell>
          <cell r="D400">
            <v>37955.416666666664</v>
          </cell>
          <cell r="E400">
            <v>20</v>
          </cell>
          <cell r="F400">
            <v>21</v>
          </cell>
          <cell r="G400">
            <v>31012</v>
          </cell>
          <cell r="H400">
            <v>1.0209999999999999</v>
          </cell>
          <cell r="I400">
            <v>30374</v>
          </cell>
        </row>
        <row r="401">
          <cell r="B401">
            <v>37956</v>
          </cell>
          <cell r="C401" t="str">
            <v>Mon</v>
          </cell>
          <cell r="D401">
            <v>37956.416666666664</v>
          </cell>
          <cell r="E401">
            <v>11</v>
          </cell>
          <cell r="F401">
            <v>12</v>
          </cell>
          <cell r="G401">
            <v>26700</v>
          </cell>
          <cell r="H401">
            <v>1.0229999999999999</v>
          </cell>
          <cell r="I401">
            <v>26100</v>
          </cell>
        </row>
        <row r="402">
          <cell r="B402">
            <v>37956</v>
          </cell>
          <cell r="C402" t="str">
            <v>Tue</v>
          </cell>
          <cell r="D402">
            <v>37957.416666666664</v>
          </cell>
          <cell r="E402">
            <v>15</v>
          </cell>
          <cell r="F402">
            <v>16</v>
          </cell>
          <cell r="G402">
            <v>27534</v>
          </cell>
          <cell r="H402">
            <v>1.0229999999999999</v>
          </cell>
          <cell r="I402">
            <v>26915</v>
          </cell>
        </row>
        <row r="403">
          <cell r="B403">
            <v>37956</v>
          </cell>
          <cell r="C403" t="str">
            <v>Wed</v>
          </cell>
          <cell r="D403">
            <v>37958.416666666664</v>
          </cell>
          <cell r="E403">
            <v>16</v>
          </cell>
          <cell r="F403">
            <v>17</v>
          </cell>
          <cell r="G403">
            <v>28085</v>
          </cell>
          <cell r="H403">
            <v>1.0225</v>
          </cell>
          <cell r="I403">
            <v>27467</v>
          </cell>
        </row>
        <row r="404">
          <cell r="B404">
            <v>37956</v>
          </cell>
          <cell r="C404" t="str">
            <v>Thu</v>
          </cell>
          <cell r="D404">
            <v>37959.416666666664</v>
          </cell>
          <cell r="E404">
            <v>22</v>
          </cell>
          <cell r="F404">
            <v>23</v>
          </cell>
          <cell r="G404">
            <v>33522</v>
          </cell>
          <cell r="H404">
            <v>1.0229999999999999</v>
          </cell>
          <cell r="I404">
            <v>32768</v>
          </cell>
        </row>
        <row r="405">
          <cell r="B405">
            <v>37956</v>
          </cell>
          <cell r="C405" t="str">
            <v>Fri</v>
          </cell>
          <cell r="D405">
            <v>37960.416666666664</v>
          </cell>
          <cell r="E405">
            <v>23</v>
          </cell>
          <cell r="F405">
            <v>25</v>
          </cell>
          <cell r="G405">
            <v>34748</v>
          </cell>
          <cell r="H405">
            <v>1.028</v>
          </cell>
          <cell r="I405">
            <v>33802</v>
          </cell>
        </row>
        <row r="406">
          <cell r="B406">
            <v>37956</v>
          </cell>
          <cell r="C406" t="str">
            <v>Sat</v>
          </cell>
          <cell r="D406">
            <v>37961.416666666664</v>
          </cell>
          <cell r="E406">
            <v>25</v>
          </cell>
          <cell r="F406">
            <v>26</v>
          </cell>
          <cell r="G406">
            <v>36445</v>
          </cell>
          <cell r="H406">
            <v>1.0269999999999999</v>
          </cell>
          <cell r="I406">
            <v>35487</v>
          </cell>
        </row>
        <row r="407">
          <cell r="B407">
            <v>37956</v>
          </cell>
          <cell r="C407" t="str">
            <v>Sun</v>
          </cell>
          <cell r="D407">
            <v>37962.416666666664</v>
          </cell>
          <cell r="E407">
            <v>24</v>
          </cell>
          <cell r="F407">
            <v>24</v>
          </cell>
          <cell r="G407">
            <v>37138</v>
          </cell>
          <cell r="H407">
            <v>1.024</v>
          </cell>
          <cell r="I407">
            <v>36268</v>
          </cell>
        </row>
        <row r="408">
          <cell r="B408">
            <v>37956</v>
          </cell>
          <cell r="C408" t="str">
            <v>Mon</v>
          </cell>
          <cell r="D408">
            <v>37963.416666666664</v>
          </cell>
          <cell r="E408">
            <v>16</v>
          </cell>
          <cell r="F408">
            <v>17</v>
          </cell>
          <cell r="G408">
            <v>32487</v>
          </cell>
          <cell r="H408">
            <v>1.02475</v>
          </cell>
          <cell r="I408">
            <v>31702</v>
          </cell>
        </row>
        <row r="409">
          <cell r="B409">
            <v>37956</v>
          </cell>
          <cell r="C409" t="str">
            <v>Tue</v>
          </cell>
          <cell r="D409">
            <v>37964.416666666664</v>
          </cell>
          <cell r="E409">
            <v>5</v>
          </cell>
          <cell r="F409">
            <v>6</v>
          </cell>
          <cell r="G409">
            <v>21649</v>
          </cell>
          <cell r="H409">
            <v>1.026</v>
          </cell>
          <cell r="I409">
            <v>21100</v>
          </cell>
        </row>
        <row r="410">
          <cell r="B410">
            <v>37956</v>
          </cell>
          <cell r="C410" t="str">
            <v>Wed</v>
          </cell>
          <cell r="D410">
            <v>37965.416666666664</v>
          </cell>
          <cell r="E410">
            <v>21</v>
          </cell>
          <cell r="F410">
            <v>24</v>
          </cell>
          <cell r="G410">
            <v>35356</v>
          </cell>
          <cell r="H410">
            <v>1.026</v>
          </cell>
          <cell r="I410">
            <v>34460</v>
          </cell>
        </row>
        <row r="411">
          <cell r="B411">
            <v>37956</v>
          </cell>
          <cell r="C411" t="str">
            <v>Thu</v>
          </cell>
          <cell r="D411">
            <v>37966.416666666664</v>
          </cell>
          <cell r="E411">
            <v>23</v>
          </cell>
          <cell r="F411">
            <v>24</v>
          </cell>
          <cell r="G411">
            <v>37966</v>
          </cell>
          <cell r="H411">
            <v>1.0249999999999999</v>
          </cell>
          <cell r="I411">
            <v>37040</v>
          </cell>
        </row>
        <row r="412">
          <cell r="B412">
            <v>37956</v>
          </cell>
          <cell r="C412" t="str">
            <v>Fri</v>
          </cell>
          <cell r="D412">
            <v>37967.416666666664</v>
          </cell>
          <cell r="E412">
            <v>20</v>
          </cell>
          <cell r="F412">
            <v>21</v>
          </cell>
          <cell r="G412">
            <v>33563</v>
          </cell>
          <cell r="H412">
            <v>1.026</v>
          </cell>
          <cell r="I412">
            <v>32712</v>
          </cell>
        </row>
        <row r="413">
          <cell r="B413">
            <v>37956</v>
          </cell>
          <cell r="C413" t="str">
            <v>Sat</v>
          </cell>
          <cell r="D413">
            <v>37968.416666666664</v>
          </cell>
          <cell r="E413">
            <v>20</v>
          </cell>
          <cell r="F413">
            <v>22</v>
          </cell>
          <cell r="G413">
            <v>32044</v>
          </cell>
          <cell r="H413">
            <v>1.0269999999999999</v>
          </cell>
          <cell r="I413">
            <v>31202</v>
          </cell>
        </row>
        <row r="414">
          <cell r="B414">
            <v>37956</v>
          </cell>
          <cell r="C414" t="str">
            <v>Sun</v>
          </cell>
          <cell r="D414">
            <v>37969.416666666664</v>
          </cell>
          <cell r="E414">
            <v>23</v>
          </cell>
          <cell r="F414">
            <v>25</v>
          </cell>
          <cell r="G414">
            <v>36935</v>
          </cell>
          <cell r="H414">
            <v>1.02725</v>
          </cell>
          <cell r="I414">
            <v>35955</v>
          </cell>
        </row>
        <row r="415">
          <cell r="B415">
            <v>37956</v>
          </cell>
          <cell r="C415" t="str">
            <v>Mon</v>
          </cell>
          <cell r="D415">
            <v>37970.416666666664</v>
          </cell>
          <cell r="E415">
            <v>21</v>
          </cell>
          <cell r="F415">
            <v>21</v>
          </cell>
          <cell r="G415">
            <v>37682</v>
          </cell>
          <cell r="H415">
            <v>1.0269999999999999</v>
          </cell>
          <cell r="I415">
            <v>36691</v>
          </cell>
        </row>
        <row r="416">
          <cell r="B416">
            <v>37956</v>
          </cell>
          <cell r="C416" t="str">
            <v>Tue</v>
          </cell>
          <cell r="D416">
            <v>37971.416666666664</v>
          </cell>
          <cell r="E416">
            <v>14</v>
          </cell>
          <cell r="F416">
            <v>15</v>
          </cell>
          <cell r="G416">
            <v>29960</v>
          </cell>
          <cell r="H416">
            <v>1.028</v>
          </cell>
          <cell r="I416">
            <v>29144</v>
          </cell>
        </row>
        <row r="417">
          <cell r="B417">
            <v>37956</v>
          </cell>
          <cell r="C417" t="str">
            <v>Wed</v>
          </cell>
          <cell r="D417">
            <v>37972.416666666664</v>
          </cell>
          <cell r="E417">
            <v>25</v>
          </cell>
          <cell r="F417">
            <v>27</v>
          </cell>
          <cell r="G417">
            <v>37669</v>
          </cell>
          <cell r="H417">
            <v>1.02725</v>
          </cell>
          <cell r="I417">
            <v>36670</v>
          </cell>
        </row>
        <row r="418">
          <cell r="B418">
            <v>37956</v>
          </cell>
          <cell r="C418" t="str">
            <v>Thu</v>
          </cell>
          <cell r="D418">
            <v>37973.416666666664</v>
          </cell>
          <cell r="E418">
            <v>18</v>
          </cell>
          <cell r="F418">
            <v>19</v>
          </cell>
          <cell r="G418">
            <v>31364</v>
          </cell>
          <cell r="H418">
            <v>1.028</v>
          </cell>
          <cell r="I418">
            <v>30510</v>
          </cell>
        </row>
        <row r="419">
          <cell r="B419">
            <v>37956</v>
          </cell>
          <cell r="C419" t="str">
            <v>Fri</v>
          </cell>
          <cell r="D419">
            <v>37974.416666666664</v>
          </cell>
          <cell r="E419">
            <v>23</v>
          </cell>
          <cell r="F419">
            <v>25</v>
          </cell>
          <cell r="G419">
            <v>36661</v>
          </cell>
          <cell r="H419">
            <v>1.0269999999999999</v>
          </cell>
          <cell r="I419">
            <v>35697</v>
          </cell>
        </row>
        <row r="420">
          <cell r="B420">
            <v>37956</v>
          </cell>
          <cell r="C420" t="str">
            <v>Sat</v>
          </cell>
          <cell r="D420">
            <v>37975.416666666664</v>
          </cell>
          <cell r="E420">
            <v>29</v>
          </cell>
          <cell r="F420">
            <v>30</v>
          </cell>
          <cell r="G420">
            <v>41093</v>
          </cell>
          <cell r="H420">
            <v>1.0269999999999999</v>
          </cell>
          <cell r="I420">
            <v>40013</v>
          </cell>
        </row>
        <row r="421">
          <cell r="B421">
            <v>37956</v>
          </cell>
          <cell r="C421" t="str">
            <v>Sun</v>
          </cell>
          <cell r="D421">
            <v>37976.416666666664</v>
          </cell>
          <cell r="E421">
            <v>26</v>
          </cell>
          <cell r="F421">
            <v>26</v>
          </cell>
          <cell r="G421">
            <v>38546</v>
          </cell>
          <cell r="H421">
            <v>1.0289999999999999</v>
          </cell>
          <cell r="I421">
            <v>37460</v>
          </cell>
        </row>
        <row r="422">
          <cell r="B422">
            <v>37956</v>
          </cell>
          <cell r="C422" t="str">
            <v>Mon</v>
          </cell>
          <cell r="D422">
            <v>37977.416666666664</v>
          </cell>
          <cell r="E422">
            <v>17</v>
          </cell>
          <cell r="F422">
            <v>17</v>
          </cell>
          <cell r="G422">
            <v>30408</v>
          </cell>
          <cell r="H422">
            <v>1.0277499999999999</v>
          </cell>
          <cell r="I422">
            <v>29587</v>
          </cell>
        </row>
        <row r="423">
          <cell r="B423">
            <v>37956</v>
          </cell>
          <cell r="C423" t="str">
            <v>Tue</v>
          </cell>
          <cell r="D423">
            <v>37978.416666666664</v>
          </cell>
          <cell r="E423">
            <v>7</v>
          </cell>
          <cell r="F423">
            <v>7</v>
          </cell>
          <cell r="G423">
            <v>18303</v>
          </cell>
          <cell r="H423">
            <v>1.0277499999999999</v>
          </cell>
          <cell r="I423">
            <v>17809</v>
          </cell>
        </row>
        <row r="424">
          <cell r="B424">
            <v>37956</v>
          </cell>
          <cell r="C424" t="str">
            <v>Wed</v>
          </cell>
          <cell r="D424">
            <v>37979.416666666664</v>
          </cell>
          <cell r="E424">
            <v>25</v>
          </cell>
          <cell r="F424">
            <v>27</v>
          </cell>
          <cell r="G424">
            <v>31122</v>
          </cell>
          <cell r="H424">
            <v>1.0269999999999999</v>
          </cell>
          <cell r="I424">
            <v>30304</v>
          </cell>
        </row>
        <row r="425">
          <cell r="B425">
            <v>37956</v>
          </cell>
          <cell r="C425" t="str">
            <v>Thu</v>
          </cell>
          <cell r="D425">
            <v>37980.416666666664</v>
          </cell>
          <cell r="E425">
            <v>27</v>
          </cell>
          <cell r="F425">
            <v>28</v>
          </cell>
          <cell r="G425">
            <v>35373</v>
          </cell>
          <cell r="H425">
            <v>1.0269999999999999</v>
          </cell>
          <cell r="I425">
            <v>34443</v>
          </cell>
        </row>
        <row r="426">
          <cell r="B426">
            <v>37956</v>
          </cell>
          <cell r="C426" t="str">
            <v>Fri</v>
          </cell>
          <cell r="D426">
            <v>37981.416666666664</v>
          </cell>
          <cell r="E426">
            <v>22</v>
          </cell>
          <cell r="F426">
            <v>22</v>
          </cell>
          <cell r="G426">
            <v>32577</v>
          </cell>
          <cell r="H426">
            <v>1.026</v>
          </cell>
          <cell r="I426">
            <v>31751</v>
          </cell>
        </row>
        <row r="427">
          <cell r="B427">
            <v>37956</v>
          </cell>
          <cell r="C427" t="str">
            <v>Sat</v>
          </cell>
          <cell r="D427">
            <v>37982.416666666664</v>
          </cell>
          <cell r="E427">
            <v>17</v>
          </cell>
          <cell r="F427">
            <v>17</v>
          </cell>
          <cell r="G427">
            <v>28845</v>
          </cell>
          <cell r="H427">
            <v>1.0277499999999999</v>
          </cell>
          <cell r="I427">
            <v>28066</v>
          </cell>
        </row>
        <row r="428">
          <cell r="B428">
            <v>37956</v>
          </cell>
          <cell r="C428" t="str">
            <v>Sun</v>
          </cell>
          <cell r="D428">
            <v>37983.416666666664</v>
          </cell>
          <cell r="E428">
            <v>12</v>
          </cell>
          <cell r="F428">
            <v>12</v>
          </cell>
          <cell r="G428">
            <v>25179</v>
          </cell>
          <cell r="H428">
            <v>1.0287500000000001</v>
          </cell>
          <cell r="I428">
            <v>24475</v>
          </cell>
        </row>
        <row r="429">
          <cell r="B429">
            <v>37956</v>
          </cell>
          <cell r="C429" t="str">
            <v>Mon</v>
          </cell>
          <cell r="D429">
            <v>37984.416666666664</v>
          </cell>
          <cell r="E429">
            <v>8</v>
          </cell>
          <cell r="F429">
            <v>9</v>
          </cell>
          <cell r="G429">
            <v>21258</v>
          </cell>
          <cell r="H429">
            <v>1.0282499999999999</v>
          </cell>
          <cell r="I429">
            <v>20674</v>
          </cell>
        </row>
        <row r="430">
          <cell r="B430">
            <v>37956</v>
          </cell>
          <cell r="C430" t="str">
            <v>Tue</v>
          </cell>
          <cell r="D430">
            <v>37985.416666666664</v>
          </cell>
          <cell r="E430">
            <v>22</v>
          </cell>
          <cell r="F430">
            <v>22</v>
          </cell>
          <cell r="G430">
            <v>32610</v>
          </cell>
          <cell r="H430">
            <v>1.0274999999999999</v>
          </cell>
          <cell r="I430">
            <v>31737</v>
          </cell>
        </row>
        <row r="431">
          <cell r="B431">
            <v>37956</v>
          </cell>
          <cell r="C431" t="str">
            <v>Wed</v>
          </cell>
          <cell r="D431">
            <v>37986.416666666664</v>
          </cell>
          <cell r="E431">
            <v>19</v>
          </cell>
          <cell r="F431">
            <v>19</v>
          </cell>
          <cell r="G431">
            <v>29106</v>
          </cell>
          <cell r="H431">
            <v>1.0257499999999999</v>
          </cell>
          <cell r="I431">
            <v>28375</v>
          </cell>
        </row>
        <row r="432">
          <cell r="B432">
            <v>37987</v>
          </cell>
          <cell r="C432" t="str">
            <v>Thu</v>
          </cell>
          <cell r="D432">
            <v>37987.416666666664</v>
          </cell>
          <cell r="E432">
            <v>12</v>
          </cell>
          <cell r="F432">
            <v>12</v>
          </cell>
          <cell r="G432">
            <v>22765</v>
          </cell>
          <cell r="H432">
            <v>1.022</v>
          </cell>
          <cell r="I432">
            <v>22275</v>
          </cell>
        </row>
        <row r="433">
          <cell r="B433">
            <v>37987</v>
          </cell>
          <cell r="C433" t="str">
            <v>Fri</v>
          </cell>
          <cell r="D433">
            <v>37988.416666666664</v>
          </cell>
          <cell r="E433">
            <v>8</v>
          </cell>
          <cell r="F433">
            <v>8</v>
          </cell>
          <cell r="G433">
            <v>18404</v>
          </cell>
          <cell r="H433">
            <v>1.0229999999999999</v>
          </cell>
          <cell r="I433">
            <v>17990</v>
          </cell>
        </row>
        <row r="434">
          <cell r="B434">
            <v>37987</v>
          </cell>
          <cell r="C434" t="str">
            <v>Sat</v>
          </cell>
          <cell r="D434">
            <v>37989.416666666664</v>
          </cell>
          <cell r="E434">
            <v>4</v>
          </cell>
          <cell r="F434">
            <v>4</v>
          </cell>
          <cell r="G434">
            <v>14735</v>
          </cell>
          <cell r="H434">
            <v>1.0229999999999999</v>
          </cell>
          <cell r="I434">
            <v>14404</v>
          </cell>
        </row>
        <row r="435">
          <cell r="B435">
            <v>37987</v>
          </cell>
          <cell r="C435" t="str">
            <v>Sun</v>
          </cell>
          <cell r="D435">
            <v>37990.416666666664</v>
          </cell>
          <cell r="E435">
            <v>0</v>
          </cell>
          <cell r="F435">
            <v>0</v>
          </cell>
          <cell r="G435">
            <v>14786</v>
          </cell>
          <cell r="H435">
            <v>1.024</v>
          </cell>
          <cell r="I435">
            <v>14439</v>
          </cell>
        </row>
        <row r="436">
          <cell r="B436">
            <v>37987</v>
          </cell>
          <cell r="C436" t="str">
            <v>Mon</v>
          </cell>
          <cell r="D436">
            <v>37991.416666666664</v>
          </cell>
          <cell r="E436">
            <v>14</v>
          </cell>
          <cell r="F436">
            <v>15</v>
          </cell>
          <cell r="G436">
            <v>25651</v>
          </cell>
          <cell r="H436">
            <v>1.022</v>
          </cell>
          <cell r="I436">
            <v>25099</v>
          </cell>
        </row>
        <row r="437">
          <cell r="B437">
            <v>37987</v>
          </cell>
          <cell r="C437" t="str">
            <v>Tue</v>
          </cell>
          <cell r="D437">
            <v>37992.416666666664</v>
          </cell>
          <cell r="E437">
            <v>30</v>
          </cell>
          <cell r="F437">
            <v>32</v>
          </cell>
          <cell r="G437">
            <v>47047</v>
          </cell>
          <cell r="H437">
            <v>1.0209999999999999</v>
          </cell>
          <cell r="I437">
            <v>46079</v>
          </cell>
        </row>
        <row r="438">
          <cell r="B438">
            <v>37987</v>
          </cell>
          <cell r="C438" t="str">
            <v>Wed</v>
          </cell>
          <cell r="D438">
            <v>37993.416666666664</v>
          </cell>
          <cell r="E438">
            <v>31</v>
          </cell>
          <cell r="F438">
            <v>32</v>
          </cell>
          <cell r="G438">
            <v>51704</v>
          </cell>
          <cell r="H438">
            <v>1.0255000000000001</v>
          </cell>
          <cell r="I438">
            <v>50418</v>
          </cell>
        </row>
        <row r="439">
          <cell r="B439">
            <v>37987</v>
          </cell>
          <cell r="C439" t="str">
            <v>Thu</v>
          </cell>
          <cell r="D439">
            <v>37994.416666666664</v>
          </cell>
          <cell r="E439">
            <v>27</v>
          </cell>
          <cell r="F439">
            <v>27</v>
          </cell>
          <cell r="G439">
            <v>47236</v>
          </cell>
          <cell r="H439">
            <v>1.0269999999999999</v>
          </cell>
          <cell r="I439">
            <v>45994</v>
          </cell>
        </row>
        <row r="440">
          <cell r="B440">
            <v>37987</v>
          </cell>
          <cell r="C440" t="str">
            <v>Fri</v>
          </cell>
          <cell r="D440">
            <v>37995.416666666664</v>
          </cell>
          <cell r="E440">
            <v>25</v>
          </cell>
          <cell r="F440">
            <v>26</v>
          </cell>
          <cell r="G440">
            <v>41477</v>
          </cell>
          <cell r="H440">
            <v>1.026</v>
          </cell>
          <cell r="I440">
            <v>40426</v>
          </cell>
        </row>
        <row r="441">
          <cell r="B441">
            <v>37987</v>
          </cell>
          <cell r="C441" t="str">
            <v>Sat</v>
          </cell>
          <cell r="D441">
            <v>37996.416666666664</v>
          </cell>
          <cell r="E441">
            <v>31</v>
          </cell>
          <cell r="F441">
            <v>32</v>
          </cell>
          <cell r="G441">
            <v>46275</v>
          </cell>
          <cell r="H441">
            <v>1.0269999999999999</v>
          </cell>
          <cell r="I441">
            <v>45058</v>
          </cell>
        </row>
        <row r="442">
          <cell r="B442">
            <v>37987</v>
          </cell>
          <cell r="C442" t="str">
            <v>Sun</v>
          </cell>
          <cell r="D442">
            <v>37997.416666666664</v>
          </cell>
          <cell r="E442">
            <v>28</v>
          </cell>
          <cell r="F442">
            <v>28</v>
          </cell>
          <cell r="G442">
            <v>45016</v>
          </cell>
          <cell r="H442">
            <v>1.024</v>
          </cell>
          <cell r="I442">
            <v>43961</v>
          </cell>
        </row>
        <row r="443">
          <cell r="B443">
            <v>37987</v>
          </cell>
          <cell r="C443" t="str">
            <v>Mon</v>
          </cell>
          <cell r="D443">
            <v>37998.416666666664</v>
          </cell>
          <cell r="E443">
            <v>18</v>
          </cell>
          <cell r="F443">
            <v>19</v>
          </cell>
          <cell r="G443">
            <v>38171</v>
          </cell>
          <cell r="H443">
            <v>1.024</v>
          </cell>
          <cell r="I443">
            <v>37276</v>
          </cell>
        </row>
        <row r="444">
          <cell r="B444">
            <v>37987</v>
          </cell>
          <cell r="C444" t="str">
            <v>Tue</v>
          </cell>
          <cell r="D444">
            <v>37999.416666666664</v>
          </cell>
          <cell r="E444">
            <v>16</v>
          </cell>
          <cell r="F444">
            <v>16</v>
          </cell>
          <cell r="G444">
            <v>33074</v>
          </cell>
          <cell r="H444">
            <v>1.02725</v>
          </cell>
          <cell r="I444">
            <v>32197</v>
          </cell>
        </row>
        <row r="445">
          <cell r="B445">
            <v>37987</v>
          </cell>
          <cell r="C445" t="str">
            <v>Wed</v>
          </cell>
          <cell r="D445">
            <v>38000.416666666664</v>
          </cell>
          <cell r="E445">
            <v>10</v>
          </cell>
          <cell r="F445">
            <v>11</v>
          </cell>
          <cell r="G445">
            <v>27378</v>
          </cell>
          <cell r="H445">
            <v>1.0297499999999999</v>
          </cell>
          <cell r="I445">
            <v>26587</v>
          </cell>
        </row>
        <row r="446">
          <cell r="B446">
            <v>37987</v>
          </cell>
          <cell r="C446" t="str">
            <v>Thu</v>
          </cell>
          <cell r="D446">
            <v>38001.416666666664</v>
          </cell>
          <cell r="E446">
            <v>17</v>
          </cell>
          <cell r="F446">
            <v>18</v>
          </cell>
          <cell r="G446">
            <v>32549</v>
          </cell>
          <cell r="H446">
            <v>1.0329999999999999</v>
          </cell>
          <cell r="I446">
            <v>31509</v>
          </cell>
        </row>
        <row r="447">
          <cell r="B447">
            <v>37987</v>
          </cell>
          <cell r="C447" t="str">
            <v>Fri</v>
          </cell>
          <cell r="D447">
            <v>38002.416666666664</v>
          </cell>
          <cell r="E447">
            <v>16</v>
          </cell>
          <cell r="F447">
            <v>17</v>
          </cell>
          <cell r="G447">
            <v>29628</v>
          </cell>
          <cell r="H447">
            <v>1.0267499999999998</v>
          </cell>
          <cell r="I447">
            <v>28856</v>
          </cell>
        </row>
        <row r="448">
          <cell r="B448">
            <v>37987</v>
          </cell>
          <cell r="C448" t="str">
            <v>Sat</v>
          </cell>
          <cell r="D448">
            <v>38003.416666666664</v>
          </cell>
          <cell r="E448">
            <v>11</v>
          </cell>
          <cell r="F448">
            <v>11</v>
          </cell>
          <cell r="G448">
            <v>23668</v>
          </cell>
          <cell r="H448">
            <v>1.0227499999999998</v>
          </cell>
          <cell r="I448">
            <v>23142</v>
          </cell>
        </row>
        <row r="449">
          <cell r="B449">
            <v>37987</v>
          </cell>
          <cell r="C449" t="str">
            <v>Sun</v>
          </cell>
          <cell r="D449">
            <v>38004.416666666664</v>
          </cell>
          <cell r="E449">
            <v>12</v>
          </cell>
          <cell r="F449">
            <v>13</v>
          </cell>
          <cell r="G449">
            <v>22231</v>
          </cell>
          <cell r="H449">
            <v>1.02325</v>
          </cell>
          <cell r="I449">
            <v>21726</v>
          </cell>
        </row>
        <row r="450">
          <cell r="B450">
            <v>37987</v>
          </cell>
          <cell r="C450" t="str">
            <v>Mon</v>
          </cell>
          <cell r="D450">
            <v>38005.416666666664</v>
          </cell>
          <cell r="E450">
            <v>29</v>
          </cell>
          <cell r="F450">
            <v>32</v>
          </cell>
          <cell r="G450">
            <v>46135</v>
          </cell>
          <cell r="H450">
            <v>1.0209999999999999</v>
          </cell>
          <cell r="I450">
            <v>45186</v>
          </cell>
        </row>
        <row r="451">
          <cell r="B451">
            <v>37987</v>
          </cell>
          <cell r="C451" t="str">
            <v>Tue</v>
          </cell>
          <cell r="D451">
            <v>38006.416666666664</v>
          </cell>
          <cell r="E451">
            <v>27</v>
          </cell>
          <cell r="F451">
            <v>27</v>
          </cell>
          <cell r="G451">
            <v>45717</v>
          </cell>
          <cell r="H451">
            <v>1.0229999999999999</v>
          </cell>
          <cell r="I451">
            <v>44689</v>
          </cell>
        </row>
        <row r="452">
          <cell r="B452">
            <v>37987</v>
          </cell>
          <cell r="C452" t="str">
            <v>Wed</v>
          </cell>
          <cell r="D452">
            <v>38007.416666666664</v>
          </cell>
          <cell r="E452">
            <v>22</v>
          </cell>
          <cell r="F452">
            <v>23</v>
          </cell>
          <cell r="G452">
            <v>41615</v>
          </cell>
          <cell r="H452">
            <v>1.02525</v>
          </cell>
          <cell r="I452">
            <v>40590</v>
          </cell>
        </row>
        <row r="453">
          <cell r="B453">
            <v>37987</v>
          </cell>
          <cell r="C453" t="str">
            <v>Thu</v>
          </cell>
          <cell r="D453">
            <v>38008.416666666664</v>
          </cell>
          <cell r="E453">
            <v>19</v>
          </cell>
          <cell r="F453">
            <v>21</v>
          </cell>
          <cell r="G453">
            <v>38466</v>
          </cell>
          <cell r="H453">
            <v>1.0249999999999999</v>
          </cell>
          <cell r="I453">
            <v>37528</v>
          </cell>
        </row>
        <row r="454">
          <cell r="B454">
            <v>37987</v>
          </cell>
          <cell r="C454" t="str">
            <v>Fri</v>
          </cell>
          <cell r="D454">
            <v>38009.416666666664</v>
          </cell>
          <cell r="E454">
            <v>23</v>
          </cell>
          <cell r="F454">
            <v>24</v>
          </cell>
          <cell r="G454">
            <v>36983</v>
          </cell>
          <cell r="H454">
            <v>1.024</v>
          </cell>
          <cell r="I454">
            <v>36116</v>
          </cell>
        </row>
        <row r="455">
          <cell r="B455">
            <v>37987</v>
          </cell>
          <cell r="C455" t="str">
            <v>Sat</v>
          </cell>
          <cell r="D455">
            <v>38010.416666666664</v>
          </cell>
          <cell r="E455">
            <v>8</v>
          </cell>
          <cell r="F455">
            <v>9</v>
          </cell>
          <cell r="G455">
            <v>19850</v>
          </cell>
          <cell r="H455">
            <v>1.0255000000000001</v>
          </cell>
          <cell r="I455">
            <v>19356</v>
          </cell>
        </row>
        <row r="456">
          <cell r="B456">
            <v>37987</v>
          </cell>
          <cell r="C456" t="str">
            <v>Sun</v>
          </cell>
          <cell r="D456">
            <v>38011.416666666664</v>
          </cell>
          <cell r="E456">
            <v>15</v>
          </cell>
          <cell r="F456">
            <v>16</v>
          </cell>
          <cell r="G456">
            <v>25779</v>
          </cell>
          <cell r="H456">
            <v>1.0227499999999998</v>
          </cell>
          <cell r="I456">
            <v>25206</v>
          </cell>
        </row>
        <row r="457">
          <cell r="B457">
            <v>37987</v>
          </cell>
          <cell r="C457" t="str">
            <v>Mon</v>
          </cell>
          <cell r="D457">
            <v>38012.416666666664</v>
          </cell>
          <cell r="E457">
            <v>25</v>
          </cell>
          <cell r="F457">
            <v>26</v>
          </cell>
          <cell r="G457">
            <v>41488</v>
          </cell>
          <cell r="H457">
            <v>1.0229999999999999</v>
          </cell>
          <cell r="I457">
            <v>40555</v>
          </cell>
        </row>
        <row r="458">
          <cell r="B458">
            <v>37987</v>
          </cell>
          <cell r="C458" t="str">
            <v>Tue</v>
          </cell>
          <cell r="D458">
            <v>38013.416666666664</v>
          </cell>
          <cell r="E458">
            <v>26</v>
          </cell>
          <cell r="F458">
            <v>29</v>
          </cell>
          <cell r="G458">
            <v>44078</v>
          </cell>
          <cell r="H458">
            <v>1.0245</v>
          </cell>
          <cell r="I458">
            <v>43024</v>
          </cell>
        </row>
        <row r="459">
          <cell r="B459">
            <v>37987</v>
          </cell>
          <cell r="C459" t="str">
            <v>Wed</v>
          </cell>
          <cell r="D459">
            <v>38014.416666666664</v>
          </cell>
          <cell r="E459">
            <v>30</v>
          </cell>
          <cell r="F459">
            <v>31</v>
          </cell>
          <cell r="G459">
            <v>49353</v>
          </cell>
          <cell r="H459">
            <v>1.0255000000000001</v>
          </cell>
          <cell r="I459">
            <v>48126</v>
          </cell>
        </row>
        <row r="460">
          <cell r="B460">
            <v>37987</v>
          </cell>
          <cell r="C460" t="str">
            <v>Thu</v>
          </cell>
          <cell r="D460">
            <v>38015.416666666664</v>
          </cell>
          <cell r="E460">
            <v>22</v>
          </cell>
          <cell r="F460">
            <v>23</v>
          </cell>
          <cell r="G460">
            <v>41069</v>
          </cell>
          <cell r="H460">
            <v>1.03</v>
          </cell>
          <cell r="I460">
            <v>39873</v>
          </cell>
        </row>
        <row r="461">
          <cell r="B461">
            <v>37987</v>
          </cell>
          <cell r="C461" t="str">
            <v>Fri</v>
          </cell>
          <cell r="D461">
            <v>38016.416666666664</v>
          </cell>
          <cell r="E461">
            <v>20</v>
          </cell>
          <cell r="F461">
            <v>21</v>
          </cell>
          <cell r="G461">
            <v>34571</v>
          </cell>
          <cell r="H461">
            <v>1.02925</v>
          </cell>
          <cell r="I461">
            <v>33589</v>
          </cell>
        </row>
        <row r="462">
          <cell r="B462">
            <v>37987</v>
          </cell>
          <cell r="C462" t="str">
            <v>Sat</v>
          </cell>
          <cell r="D462">
            <v>38017.416666666664</v>
          </cell>
          <cell r="E462">
            <v>19</v>
          </cell>
          <cell r="F462">
            <v>20</v>
          </cell>
          <cell r="G462">
            <v>30984</v>
          </cell>
          <cell r="H462">
            <v>1.0262500000000001</v>
          </cell>
          <cell r="I462">
            <v>30191</v>
          </cell>
        </row>
        <row r="463">
          <cell r="B463">
            <v>38018</v>
          </cell>
          <cell r="C463" t="str">
            <v>Sun</v>
          </cell>
          <cell r="D463">
            <v>38018.416666666664</v>
          </cell>
          <cell r="E463">
            <v>20</v>
          </cell>
          <cell r="F463">
            <v>23</v>
          </cell>
          <cell r="G463">
            <v>35555</v>
          </cell>
          <cell r="H463">
            <v>1.0249999999999999</v>
          </cell>
          <cell r="I463">
            <v>34688</v>
          </cell>
        </row>
        <row r="464">
          <cell r="B464">
            <v>38018</v>
          </cell>
          <cell r="C464" t="str">
            <v>Mon</v>
          </cell>
          <cell r="D464">
            <v>38019.416666666664</v>
          </cell>
          <cell r="E464">
            <v>25</v>
          </cell>
          <cell r="F464">
            <v>27</v>
          </cell>
          <cell r="G464">
            <v>42851</v>
          </cell>
          <cell r="H464">
            <v>1.0229999999999999</v>
          </cell>
          <cell r="I464">
            <v>41888</v>
          </cell>
        </row>
        <row r="465">
          <cell r="B465">
            <v>38018</v>
          </cell>
          <cell r="C465" t="str">
            <v>Tue</v>
          </cell>
          <cell r="D465">
            <v>38020.416666666664</v>
          </cell>
          <cell r="E465">
            <v>23</v>
          </cell>
          <cell r="F465">
            <v>24</v>
          </cell>
          <cell r="G465">
            <v>37494</v>
          </cell>
          <cell r="H465">
            <v>1.026</v>
          </cell>
          <cell r="I465">
            <v>36544</v>
          </cell>
        </row>
        <row r="466">
          <cell r="B466">
            <v>38018</v>
          </cell>
          <cell r="C466" t="str">
            <v>Wed</v>
          </cell>
          <cell r="D466">
            <v>38021.416666666664</v>
          </cell>
          <cell r="E466">
            <v>18</v>
          </cell>
          <cell r="F466">
            <v>19</v>
          </cell>
          <cell r="G466">
            <v>35127</v>
          </cell>
          <cell r="H466">
            <v>1.02475</v>
          </cell>
          <cell r="I466">
            <v>34279</v>
          </cell>
        </row>
        <row r="467">
          <cell r="B467">
            <v>38018</v>
          </cell>
          <cell r="C467" t="str">
            <v>Thu</v>
          </cell>
          <cell r="D467">
            <v>38022.416666666664</v>
          </cell>
          <cell r="E467">
            <v>5</v>
          </cell>
          <cell r="F467">
            <v>5</v>
          </cell>
          <cell r="G467">
            <v>23248</v>
          </cell>
          <cell r="H467">
            <v>1.0227499999999998</v>
          </cell>
          <cell r="I467">
            <v>22731</v>
          </cell>
        </row>
        <row r="468">
          <cell r="B468">
            <v>38018</v>
          </cell>
          <cell r="C468" t="str">
            <v>Fri</v>
          </cell>
          <cell r="D468">
            <v>38023.416666666664</v>
          </cell>
          <cell r="E468">
            <v>13</v>
          </cell>
          <cell r="F468">
            <v>14</v>
          </cell>
          <cell r="G468">
            <v>23491</v>
          </cell>
          <cell r="H468">
            <v>1.02275</v>
          </cell>
          <cell r="I468">
            <v>22968</v>
          </cell>
        </row>
        <row r="469">
          <cell r="B469">
            <v>38018</v>
          </cell>
          <cell r="C469" t="str">
            <v>Sat</v>
          </cell>
          <cell r="D469">
            <v>38024.416666666664</v>
          </cell>
          <cell r="E469">
            <v>28</v>
          </cell>
          <cell r="F469">
            <v>31</v>
          </cell>
          <cell r="G469">
            <v>39803</v>
          </cell>
          <cell r="H469">
            <v>1.0229999999999999</v>
          </cell>
          <cell r="I469">
            <v>38908</v>
          </cell>
        </row>
        <row r="470">
          <cell r="B470">
            <v>38018</v>
          </cell>
          <cell r="C470" t="str">
            <v>Sun</v>
          </cell>
          <cell r="D470">
            <v>38025.416666666664</v>
          </cell>
          <cell r="E470">
            <v>22</v>
          </cell>
          <cell r="F470">
            <v>23</v>
          </cell>
          <cell r="G470">
            <v>37773</v>
          </cell>
          <cell r="H470">
            <v>1.0229999999999999</v>
          </cell>
          <cell r="I470">
            <v>36924</v>
          </cell>
        </row>
        <row r="471">
          <cell r="B471">
            <v>38018</v>
          </cell>
          <cell r="C471" t="str">
            <v>Mon</v>
          </cell>
          <cell r="D471">
            <v>38026.416666666664</v>
          </cell>
          <cell r="E471">
            <v>17</v>
          </cell>
          <cell r="F471">
            <v>17</v>
          </cell>
          <cell r="G471">
            <v>33624</v>
          </cell>
          <cell r="H471">
            <v>1.0229999999999999</v>
          </cell>
          <cell r="I471">
            <v>32868</v>
          </cell>
        </row>
        <row r="472">
          <cell r="B472">
            <v>38018</v>
          </cell>
          <cell r="C472" t="str">
            <v>Tue</v>
          </cell>
          <cell r="D472">
            <v>38027.416666666664</v>
          </cell>
          <cell r="E472">
            <v>13</v>
          </cell>
          <cell r="F472">
            <v>13</v>
          </cell>
          <cell r="G472">
            <v>29824</v>
          </cell>
          <cell r="H472">
            <v>1.0229999999999999</v>
          </cell>
          <cell r="I472">
            <v>29153</v>
          </cell>
        </row>
        <row r="473">
          <cell r="B473">
            <v>38018</v>
          </cell>
          <cell r="C473" t="str">
            <v>Wed</v>
          </cell>
          <cell r="D473">
            <v>38028.416666666664</v>
          </cell>
          <cell r="E473">
            <v>17</v>
          </cell>
          <cell r="F473">
            <v>18</v>
          </cell>
          <cell r="G473">
            <v>32934</v>
          </cell>
          <cell r="H473">
            <v>1.024</v>
          </cell>
          <cell r="I473">
            <v>32162</v>
          </cell>
        </row>
        <row r="474">
          <cell r="B474">
            <v>38018</v>
          </cell>
          <cell r="C474" t="str">
            <v>Thu</v>
          </cell>
          <cell r="D474">
            <v>38029.416666666664</v>
          </cell>
          <cell r="E474">
            <v>19</v>
          </cell>
          <cell r="F474">
            <v>21</v>
          </cell>
          <cell r="G474">
            <v>36585</v>
          </cell>
          <cell r="H474">
            <v>1.02525</v>
          </cell>
          <cell r="I474">
            <v>35684</v>
          </cell>
        </row>
        <row r="475">
          <cell r="B475">
            <v>38018</v>
          </cell>
          <cell r="C475" t="str">
            <v>Fri</v>
          </cell>
          <cell r="D475">
            <v>38030.416666666664</v>
          </cell>
          <cell r="E475">
            <v>15</v>
          </cell>
          <cell r="F475">
            <v>15</v>
          </cell>
          <cell r="G475">
            <v>26624</v>
          </cell>
          <cell r="H475">
            <v>1.0242499999999999</v>
          </cell>
          <cell r="I475">
            <v>25994</v>
          </cell>
        </row>
        <row r="476">
          <cell r="B476">
            <v>38018</v>
          </cell>
          <cell r="C476" t="str">
            <v>Sat</v>
          </cell>
          <cell r="D476">
            <v>38031.416666666664</v>
          </cell>
          <cell r="E476">
            <v>18</v>
          </cell>
          <cell r="F476">
            <v>19</v>
          </cell>
          <cell r="G476">
            <v>35000</v>
          </cell>
          <cell r="H476">
            <v>1.024</v>
          </cell>
          <cell r="I476">
            <v>34180</v>
          </cell>
        </row>
        <row r="477">
          <cell r="B477">
            <v>38018</v>
          </cell>
          <cell r="C477" t="str">
            <v>Sun</v>
          </cell>
          <cell r="D477">
            <v>38032.416666666664</v>
          </cell>
          <cell r="E477">
            <v>22</v>
          </cell>
          <cell r="F477">
            <v>24</v>
          </cell>
          <cell r="G477">
            <v>35321</v>
          </cell>
          <cell r="H477">
            <v>1.024</v>
          </cell>
          <cell r="I477">
            <v>34493</v>
          </cell>
        </row>
        <row r="478">
          <cell r="B478">
            <v>38018</v>
          </cell>
          <cell r="C478" t="str">
            <v>Mon</v>
          </cell>
          <cell r="D478">
            <v>38033.416666666664</v>
          </cell>
          <cell r="E478">
            <v>23</v>
          </cell>
          <cell r="F478">
            <v>25</v>
          </cell>
          <cell r="G478">
            <v>42330</v>
          </cell>
          <cell r="H478">
            <v>1.024</v>
          </cell>
          <cell r="I478">
            <v>41338</v>
          </cell>
        </row>
        <row r="479">
          <cell r="B479">
            <v>38018</v>
          </cell>
          <cell r="C479" t="str">
            <v>Tue</v>
          </cell>
          <cell r="D479">
            <v>38034.416666666664</v>
          </cell>
          <cell r="E479">
            <v>24</v>
          </cell>
          <cell r="F479">
            <v>25</v>
          </cell>
          <cell r="G479">
            <v>44640</v>
          </cell>
          <cell r="H479">
            <v>1.0249999999999999</v>
          </cell>
          <cell r="I479">
            <v>43551</v>
          </cell>
        </row>
        <row r="480">
          <cell r="B480">
            <v>38018</v>
          </cell>
          <cell r="C480" t="str">
            <v>Wed</v>
          </cell>
          <cell r="D480">
            <v>38035.416666666664</v>
          </cell>
          <cell r="E480">
            <v>20</v>
          </cell>
          <cell r="F480">
            <v>21</v>
          </cell>
          <cell r="G480">
            <v>39278</v>
          </cell>
          <cell r="H480">
            <v>1.0242499999999999</v>
          </cell>
          <cell r="I480">
            <v>38348</v>
          </cell>
        </row>
        <row r="481">
          <cell r="B481">
            <v>38018</v>
          </cell>
          <cell r="C481" t="str">
            <v>Thu</v>
          </cell>
          <cell r="D481">
            <v>38036.416666666664</v>
          </cell>
          <cell r="E481">
            <v>14</v>
          </cell>
          <cell r="F481">
            <v>14</v>
          </cell>
          <cell r="G481">
            <v>32025</v>
          </cell>
          <cell r="H481">
            <v>1.022</v>
          </cell>
          <cell r="I481">
            <v>31336</v>
          </cell>
        </row>
        <row r="482">
          <cell r="B482">
            <v>38018</v>
          </cell>
          <cell r="C482" t="str">
            <v>Fri</v>
          </cell>
          <cell r="D482">
            <v>38037.416666666664</v>
          </cell>
          <cell r="E482">
            <v>6</v>
          </cell>
          <cell r="F482">
            <v>6</v>
          </cell>
          <cell r="G482">
            <v>21695</v>
          </cell>
          <cell r="H482">
            <v>1.0232499999999998</v>
          </cell>
          <cell r="I482">
            <v>21202</v>
          </cell>
        </row>
        <row r="483">
          <cell r="B483">
            <v>38018</v>
          </cell>
          <cell r="C483" t="str">
            <v>Sat</v>
          </cell>
          <cell r="D483">
            <v>38038.416666666664</v>
          </cell>
          <cell r="E483">
            <v>13</v>
          </cell>
          <cell r="F483">
            <v>14</v>
          </cell>
          <cell r="G483">
            <v>23265</v>
          </cell>
          <cell r="H483">
            <v>1.0229999999999999</v>
          </cell>
          <cell r="I483">
            <v>22742</v>
          </cell>
        </row>
        <row r="484">
          <cell r="B484">
            <v>38018</v>
          </cell>
          <cell r="C484" t="str">
            <v>Sun</v>
          </cell>
          <cell r="D484">
            <v>38039.416666666664</v>
          </cell>
          <cell r="E484">
            <v>14</v>
          </cell>
          <cell r="F484">
            <v>14</v>
          </cell>
          <cell r="G484">
            <v>26340</v>
          </cell>
          <cell r="H484">
            <v>1.022</v>
          </cell>
          <cell r="I484">
            <v>25773</v>
          </cell>
        </row>
        <row r="485">
          <cell r="B485">
            <v>38018</v>
          </cell>
          <cell r="C485" t="str">
            <v>Mon</v>
          </cell>
          <cell r="D485">
            <v>38040.416666666664</v>
          </cell>
          <cell r="E485">
            <v>14</v>
          </cell>
          <cell r="F485">
            <v>15</v>
          </cell>
          <cell r="G485">
            <v>32514</v>
          </cell>
          <cell r="H485">
            <v>1.0225</v>
          </cell>
          <cell r="I485">
            <v>31799</v>
          </cell>
        </row>
        <row r="486">
          <cell r="B486">
            <v>38018</v>
          </cell>
          <cell r="C486" t="str">
            <v>Tue</v>
          </cell>
          <cell r="D486">
            <v>38041.416666666664</v>
          </cell>
          <cell r="E486">
            <v>10</v>
          </cell>
          <cell r="F486">
            <v>11</v>
          </cell>
          <cell r="G486">
            <v>26063</v>
          </cell>
          <cell r="H486">
            <v>1.02325</v>
          </cell>
          <cell r="I486">
            <v>25471</v>
          </cell>
        </row>
        <row r="487">
          <cell r="B487">
            <v>38018</v>
          </cell>
          <cell r="C487" t="str">
            <v>Wed</v>
          </cell>
          <cell r="D487">
            <v>38042.416666666664</v>
          </cell>
          <cell r="E487">
            <v>23</v>
          </cell>
          <cell r="F487">
            <v>26</v>
          </cell>
          <cell r="G487">
            <v>42149</v>
          </cell>
          <cell r="H487">
            <v>1.0249999999999999</v>
          </cell>
          <cell r="I487">
            <v>41121</v>
          </cell>
        </row>
        <row r="488">
          <cell r="B488">
            <v>38018</v>
          </cell>
          <cell r="C488" t="str">
            <v>Thu</v>
          </cell>
          <cell r="D488">
            <v>38043.416666666664</v>
          </cell>
          <cell r="E488">
            <v>27</v>
          </cell>
          <cell r="F488">
            <v>29</v>
          </cell>
          <cell r="G488">
            <v>48832</v>
          </cell>
          <cell r="H488">
            <v>1.022</v>
          </cell>
          <cell r="I488">
            <v>47781</v>
          </cell>
        </row>
        <row r="489">
          <cell r="B489">
            <v>38018</v>
          </cell>
          <cell r="C489" t="str">
            <v>Fri</v>
          </cell>
          <cell r="D489">
            <v>38044.416666666664</v>
          </cell>
          <cell r="E489">
            <v>23</v>
          </cell>
          <cell r="F489">
            <v>24</v>
          </cell>
          <cell r="G489">
            <v>40306</v>
          </cell>
          <cell r="H489">
            <v>1.0229999999999999</v>
          </cell>
          <cell r="I489">
            <v>39400</v>
          </cell>
        </row>
        <row r="490">
          <cell r="B490">
            <v>38018</v>
          </cell>
          <cell r="C490" t="str">
            <v>Sat</v>
          </cell>
          <cell r="D490">
            <v>38045.416666666664</v>
          </cell>
          <cell r="E490">
            <v>16</v>
          </cell>
          <cell r="F490">
            <v>17</v>
          </cell>
          <cell r="G490">
            <v>30320</v>
          </cell>
          <cell r="H490">
            <v>1.0229999999999999</v>
          </cell>
          <cell r="I490">
            <v>29638</v>
          </cell>
        </row>
        <row r="491">
          <cell r="B491">
            <v>38018</v>
          </cell>
          <cell r="C491" t="str">
            <v>Sun</v>
          </cell>
          <cell r="D491">
            <v>38046.416666666664</v>
          </cell>
          <cell r="E491">
            <v>5</v>
          </cell>
          <cell r="F491">
            <v>6</v>
          </cell>
          <cell r="G491">
            <v>24312</v>
          </cell>
          <cell r="H491">
            <v>1.0222500000000001</v>
          </cell>
          <cell r="I491">
            <v>23783</v>
          </cell>
        </row>
        <row r="492">
          <cell r="B492">
            <v>38047</v>
          </cell>
          <cell r="C492" t="str">
            <v>Mon</v>
          </cell>
          <cell r="D492">
            <v>38047.416666666664</v>
          </cell>
          <cell r="E492">
            <v>0</v>
          </cell>
          <cell r="F492">
            <v>0</v>
          </cell>
          <cell r="G492">
            <v>18704</v>
          </cell>
          <cell r="H492">
            <v>1.022</v>
          </cell>
          <cell r="I492">
            <v>18301</v>
          </cell>
        </row>
        <row r="493">
          <cell r="B493">
            <v>38047</v>
          </cell>
          <cell r="C493" t="str">
            <v>Tue</v>
          </cell>
          <cell r="D493">
            <v>38048.416666666664</v>
          </cell>
          <cell r="E493">
            <v>0</v>
          </cell>
          <cell r="F493">
            <v>0</v>
          </cell>
          <cell r="G493">
            <v>16509</v>
          </cell>
          <cell r="H493">
            <v>1.0229999999999999</v>
          </cell>
          <cell r="I493">
            <v>16138</v>
          </cell>
        </row>
        <row r="494">
          <cell r="B494">
            <v>38047</v>
          </cell>
          <cell r="C494" t="str">
            <v>Wed</v>
          </cell>
          <cell r="D494">
            <v>38049.416666666664</v>
          </cell>
          <cell r="E494">
            <v>0</v>
          </cell>
          <cell r="F494">
            <v>0</v>
          </cell>
          <cell r="G494">
            <v>15680</v>
          </cell>
          <cell r="H494">
            <v>1.0217500000000002</v>
          </cell>
          <cell r="I494">
            <v>15346</v>
          </cell>
        </row>
        <row r="495">
          <cell r="B495">
            <v>38047</v>
          </cell>
          <cell r="C495" t="str">
            <v>Thu</v>
          </cell>
          <cell r="D495">
            <v>38050.416666666664</v>
          </cell>
          <cell r="E495">
            <v>0</v>
          </cell>
          <cell r="F495">
            <v>0</v>
          </cell>
          <cell r="G495">
            <v>14856</v>
          </cell>
          <cell r="H495">
            <v>1.0222499999999999</v>
          </cell>
          <cell r="I495">
            <v>14533</v>
          </cell>
        </row>
        <row r="496">
          <cell r="B496">
            <v>38047</v>
          </cell>
          <cell r="C496" t="str">
            <v>Fri</v>
          </cell>
          <cell r="D496">
            <v>38051.416666666664</v>
          </cell>
          <cell r="E496">
            <v>0</v>
          </cell>
          <cell r="F496">
            <v>0</v>
          </cell>
          <cell r="G496">
            <v>11916</v>
          </cell>
          <cell r="H496">
            <v>1.0217499999999999</v>
          </cell>
          <cell r="I496">
            <v>11662</v>
          </cell>
        </row>
        <row r="497">
          <cell r="B497">
            <v>38047</v>
          </cell>
          <cell r="C497" t="str">
            <v>Sat</v>
          </cell>
          <cell r="D497">
            <v>38052.416666666664</v>
          </cell>
          <cell r="E497">
            <v>3</v>
          </cell>
          <cell r="F497">
            <v>4</v>
          </cell>
          <cell r="G497">
            <v>11475</v>
          </cell>
          <cell r="H497">
            <v>1.022</v>
          </cell>
          <cell r="I497">
            <v>11228</v>
          </cell>
        </row>
        <row r="498">
          <cell r="B498">
            <v>38047</v>
          </cell>
          <cell r="C498" t="str">
            <v>Sun</v>
          </cell>
          <cell r="D498">
            <v>38053.416666666664</v>
          </cell>
          <cell r="E498">
            <v>4</v>
          </cell>
          <cell r="F498">
            <v>4</v>
          </cell>
          <cell r="G498">
            <v>16576</v>
          </cell>
          <cell r="H498">
            <v>1.0229999999999999</v>
          </cell>
          <cell r="I498">
            <v>16203</v>
          </cell>
        </row>
        <row r="499">
          <cell r="B499">
            <v>38047</v>
          </cell>
          <cell r="C499" t="str">
            <v>Mon</v>
          </cell>
          <cell r="D499">
            <v>38054.416666666664</v>
          </cell>
          <cell r="E499">
            <v>14</v>
          </cell>
          <cell r="F499">
            <v>15</v>
          </cell>
          <cell r="G499">
            <v>27393</v>
          </cell>
          <cell r="H499">
            <v>1.0222500000000001</v>
          </cell>
          <cell r="I499">
            <v>26797</v>
          </cell>
        </row>
        <row r="500">
          <cell r="B500">
            <v>38047</v>
          </cell>
          <cell r="C500" t="str">
            <v>Tue</v>
          </cell>
          <cell r="D500">
            <v>38055.416666666664</v>
          </cell>
          <cell r="E500">
            <v>15</v>
          </cell>
          <cell r="F500">
            <v>16</v>
          </cell>
          <cell r="G500">
            <v>31364</v>
          </cell>
          <cell r="H500">
            <v>1.0225</v>
          </cell>
          <cell r="I500">
            <v>30674</v>
          </cell>
        </row>
        <row r="501">
          <cell r="B501">
            <v>38047</v>
          </cell>
          <cell r="C501" t="str">
            <v>Wed</v>
          </cell>
          <cell r="D501">
            <v>38056.416666666664</v>
          </cell>
          <cell r="E501">
            <v>18</v>
          </cell>
          <cell r="F501">
            <v>18</v>
          </cell>
          <cell r="G501">
            <v>31106</v>
          </cell>
          <cell r="H501">
            <v>1.0237499999999999</v>
          </cell>
          <cell r="I501">
            <v>30384</v>
          </cell>
        </row>
        <row r="502">
          <cell r="B502">
            <v>38047</v>
          </cell>
          <cell r="C502" t="str">
            <v>Thu</v>
          </cell>
          <cell r="D502">
            <v>38057.416666666664</v>
          </cell>
          <cell r="E502">
            <v>10</v>
          </cell>
          <cell r="F502">
            <v>11</v>
          </cell>
          <cell r="G502">
            <v>26152</v>
          </cell>
          <cell r="H502">
            <v>1.0222499999999999</v>
          </cell>
          <cell r="I502">
            <v>25583</v>
          </cell>
        </row>
        <row r="503">
          <cell r="B503">
            <v>38047</v>
          </cell>
          <cell r="C503" t="str">
            <v>Fri</v>
          </cell>
          <cell r="D503">
            <v>38058.416666666664</v>
          </cell>
          <cell r="E503">
            <v>7</v>
          </cell>
          <cell r="F503">
            <v>7</v>
          </cell>
          <cell r="G503">
            <v>20241</v>
          </cell>
          <cell r="H503">
            <v>1.022</v>
          </cell>
          <cell r="I503">
            <v>19805</v>
          </cell>
        </row>
        <row r="504">
          <cell r="B504">
            <v>38047</v>
          </cell>
          <cell r="C504" t="str">
            <v>Sat</v>
          </cell>
          <cell r="D504">
            <v>38059.416666666664</v>
          </cell>
          <cell r="E504">
            <v>5</v>
          </cell>
          <cell r="F504">
            <v>6</v>
          </cell>
          <cell r="G504">
            <v>15022</v>
          </cell>
          <cell r="H504">
            <v>1.022</v>
          </cell>
          <cell r="I504">
            <v>14699</v>
          </cell>
        </row>
        <row r="505">
          <cell r="B505">
            <v>38047</v>
          </cell>
          <cell r="C505" t="str">
            <v>Sun</v>
          </cell>
          <cell r="D505">
            <v>38060.416666666664</v>
          </cell>
          <cell r="E505">
            <v>0</v>
          </cell>
          <cell r="F505">
            <v>0</v>
          </cell>
          <cell r="G505">
            <v>14281</v>
          </cell>
          <cell r="H505">
            <v>1.0209999999999999</v>
          </cell>
          <cell r="I505">
            <v>13987</v>
          </cell>
        </row>
        <row r="506">
          <cell r="B506">
            <v>38047</v>
          </cell>
          <cell r="C506" t="str">
            <v>Mon</v>
          </cell>
          <cell r="D506">
            <v>38061.416666666664</v>
          </cell>
          <cell r="E506">
            <v>0</v>
          </cell>
          <cell r="F506">
            <v>0</v>
          </cell>
          <cell r="G506">
            <v>15191</v>
          </cell>
          <cell r="H506">
            <v>1.0209999999999999</v>
          </cell>
          <cell r="I506">
            <v>14879</v>
          </cell>
        </row>
        <row r="507">
          <cell r="B507">
            <v>38047</v>
          </cell>
          <cell r="C507" t="str">
            <v>Tue</v>
          </cell>
          <cell r="D507">
            <v>38062.416666666664</v>
          </cell>
          <cell r="E507">
            <v>3</v>
          </cell>
          <cell r="F507">
            <v>4</v>
          </cell>
          <cell r="G507">
            <v>17540</v>
          </cell>
          <cell r="H507">
            <v>1.0215000000000001</v>
          </cell>
          <cell r="I507">
            <v>17171</v>
          </cell>
        </row>
        <row r="508">
          <cell r="B508">
            <v>38047</v>
          </cell>
          <cell r="C508" t="str">
            <v>Wed</v>
          </cell>
          <cell r="D508">
            <v>38063.416666666664</v>
          </cell>
          <cell r="E508">
            <v>8</v>
          </cell>
          <cell r="F508">
            <v>8</v>
          </cell>
          <cell r="G508">
            <v>20069</v>
          </cell>
          <cell r="H508">
            <v>1.0222500000000001</v>
          </cell>
          <cell r="I508">
            <v>19632</v>
          </cell>
        </row>
        <row r="509">
          <cell r="B509">
            <v>38047</v>
          </cell>
          <cell r="C509" t="str">
            <v>Thu</v>
          </cell>
          <cell r="D509">
            <v>38064.416666666664</v>
          </cell>
          <cell r="E509">
            <v>0</v>
          </cell>
          <cell r="F509">
            <v>0</v>
          </cell>
          <cell r="G509">
            <v>15785</v>
          </cell>
          <cell r="H509">
            <v>1.02125</v>
          </cell>
          <cell r="I509">
            <v>15457</v>
          </cell>
        </row>
        <row r="510">
          <cell r="B510">
            <v>38047</v>
          </cell>
          <cell r="C510" t="str">
            <v>Fri</v>
          </cell>
          <cell r="D510">
            <v>38065.416666666664</v>
          </cell>
          <cell r="E510">
            <v>0</v>
          </cell>
          <cell r="F510">
            <v>0</v>
          </cell>
          <cell r="G510">
            <v>13153</v>
          </cell>
          <cell r="H510">
            <v>1.0202499999999999</v>
          </cell>
          <cell r="I510">
            <v>12892</v>
          </cell>
        </row>
        <row r="511">
          <cell r="B511">
            <v>38047</v>
          </cell>
          <cell r="C511" t="str">
            <v>Sat</v>
          </cell>
          <cell r="D511">
            <v>38066.416666666664</v>
          </cell>
          <cell r="E511">
            <v>0</v>
          </cell>
          <cell r="F511">
            <v>0</v>
          </cell>
          <cell r="G511">
            <v>9446</v>
          </cell>
          <cell r="H511">
            <v>1.0209999999999999</v>
          </cell>
          <cell r="I511">
            <v>9252</v>
          </cell>
        </row>
        <row r="512">
          <cell r="B512">
            <v>38047</v>
          </cell>
          <cell r="C512" t="str">
            <v>Sun</v>
          </cell>
          <cell r="D512">
            <v>38067.416666666664</v>
          </cell>
          <cell r="E512">
            <v>12</v>
          </cell>
          <cell r="F512">
            <v>13</v>
          </cell>
          <cell r="G512">
            <v>18106</v>
          </cell>
          <cell r="H512">
            <v>1.0209999999999999</v>
          </cell>
          <cell r="I512">
            <v>17734</v>
          </cell>
        </row>
        <row r="513">
          <cell r="B513">
            <v>38047</v>
          </cell>
          <cell r="C513" t="str">
            <v>Mon</v>
          </cell>
          <cell r="D513">
            <v>38068.416666666664</v>
          </cell>
          <cell r="E513">
            <v>17</v>
          </cell>
          <cell r="F513">
            <v>18</v>
          </cell>
          <cell r="G513">
            <v>29379</v>
          </cell>
          <cell r="H513">
            <v>1.02125</v>
          </cell>
          <cell r="I513">
            <v>28768</v>
          </cell>
        </row>
        <row r="514">
          <cell r="B514">
            <v>38047</v>
          </cell>
          <cell r="C514" t="str">
            <v>Tue</v>
          </cell>
          <cell r="D514">
            <v>38069.416666666664</v>
          </cell>
          <cell r="E514">
            <v>12</v>
          </cell>
          <cell r="F514">
            <v>13</v>
          </cell>
          <cell r="G514">
            <v>25345</v>
          </cell>
          <cell r="H514">
            <v>1.0225</v>
          </cell>
          <cell r="I514">
            <v>24787</v>
          </cell>
        </row>
        <row r="515">
          <cell r="B515">
            <v>38047</v>
          </cell>
          <cell r="C515" t="str">
            <v>Wed</v>
          </cell>
          <cell r="D515">
            <v>38070.416666666664</v>
          </cell>
          <cell r="E515">
            <v>3</v>
          </cell>
          <cell r="F515">
            <v>4</v>
          </cell>
          <cell r="G515">
            <v>18197</v>
          </cell>
          <cell r="H515">
            <v>1.0234999999999999</v>
          </cell>
          <cell r="I515">
            <v>17779</v>
          </cell>
        </row>
        <row r="516">
          <cell r="B516">
            <v>38047</v>
          </cell>
          <cell r="C516" t="str">
            <v>Thu</v>
          </cell>
          <cell r="D516">
            <v>38071.416666666664</v>
          </cell>
          <cell r="E516">
            <v>0</v>
          </cell>
          <cell r="F516">
            <v>0</v>
          </cell>
          <cell r="G516">
            <v>14401</v>
          </cell>
          <cell r="H516">
            <v>1.0237499999999999</v>
          </cell>
          <cell r="I516">
            <v>14067</v>
          </cell>
        </row>
        <row r="517">
          <cell r="B517">
            <v>38047</v>
          </cell>
          <cell r="C517" t="str">
            <v>Fri</v>
          </cell>
          <cell r="D517">
            <v>38072.416666666664</v>
          </cell>
          <cell r="E517">
            <v>0</v>
          </cell>
          <cell r="F517">
            <v>0</v>
          </cell>
          <cell r="G517">
            <v>11972</v>
          </cell>
          <cell r="H517">
            <v>1.024</v>
          </cell>
          <cell r="I517">
            <v>11691</v>
          </cell>
        </row>
        <row r="518">
          <cell r="B518">
            <v>38047</v>
          </cell>
          <cell r="C518" t="str">
            <v>Sat</v>
          </cell>
          <cell r="D518">
            <v>38073.416666666664</v>
          </cell>
          <cell r="E518">
            <v>0</v>
          </cell>
          <cell r="F518">
            <v>0</v>
          </cell>
          <cell r="G518">
            <v>9770</v>
          </cell>
          <cell r="H518">
            <v>1.0217500000000002</v>
          </cell>
          <cell r="I518">
            <v>9562</v>
          </cell>
        </row>
        <row r="519">
          <cell r="B519">
            <v>38047</v>
          </cell>
          <cell r="C519" t="str">
            <v>Sun</v>
          </cell>
          <cell r="D519">
            <v>38074.416666666664</v>
          </cell>
          <cell r="E519">
            <v>0</v>
          </cell>
          <cell r="F519">
            <v>0</v>
          </cell>
          <cell r="G519">
            <v>11592</v>
          </cell>
          <cell r="H519">
            <v>1.0194999999999999</v>
          </cell>
          <cell r="I519">
            <v>11370</v>
          </cell>
        </row>
        <row r="520">
          <cell r="B520">
            <v>38047</v>
          </cell>
          <cell r="C520" t="str">
            <v>Mon</v>
          </cell>
          <cell r="D520">
            <v>38075.416666666664</v>
          </cell>
          <cell r="E520">
            <v>0</v>
          </cell>
          <cell r="F520">
            <v>0</v>
          </cell>
          <cell r="G520">
            <v>14556</v>
          </cell>
          <cell r="H520">
            <v>1.0202499999999999</v>
          </cell>
          <cell r="I520">
            <v>14267</v>
          </cell>
        </row>
        <row r="521">
          <cell r="B521">
            <v>38047</v>
          </cell>
          <cell r="C521" t="str">
            <v>Tue</v>
          </cell>
          <cell r="D521">
            <v>38076.416666666664</v>
          </cell>
          <cell r="E521">
            <v>6</v>
          </cell>
          <cell r="F521">
            <v>7</v>
          </cell>
          <cell r="G521">
            <v>16299</v>
          </cell>
          <cell r="H521">
            <v>1.02075</v>
          </cell>
          <cell r="I521">
            <v>15968</v>
          </cell>
        </row>
        <row r="522">
          <cell r="B522">
            <v>38047</v>
          </cell>
          <cell r="C522" t="str">
            <v>Wed</v>
          </cell>
          <cell r="D522">
            <v>38077.416666666664</v>
          </cell>
          <cell r="E522">
            <v>16</v>
          </cell>
          <cell r="F522">
            <v>17</v>
          </cell>
          <cell r="G522">
            <v>26746</v>
          </cell>
          <cell r="H522">
            <v>1.022</v>
          </cell>
          <cell r="I522">
            <v>26170</v>
          </cell>
        </row>
        <row r="523">
          <cell r="B523">
            <v>38078</v>
          </cell>
          <cell r="C523" t="str">
            <v>Thu</v>
          </cell>
          <cell r="D523">
            <v>38078.416666666664</v>
          </cell>
          <cell r="E523">
            <v>12</v>
          </cell>
          <cell r="F523">
            <v>13</v>
          </cell>
          <cell r="G523">
            <v>25252</v>
          </cell>
          <cell r="H523">
            <v>1.022</v>
          </cell>
          <cell r="I523">
            <v>24708</v>
          </cell>
        </row>
        <row r="524">
          <cell r="B524">
            <v>38078</v>
          </cell>
          <cell r="C524" t="str">
            <v>Fri</v>
          </cell>
          <cell r="D524">
            <v>38079.416666666664</v>
          </cell>
          <cell r="E524">
            <v>8</v>
          </cell>
          <cell r="F524">
            <v>8</v>
          </cell>
          <cell r="G524">
            <v>20879</v>
          </cell>
          <cell r="H524">
            <v>1.0234999999999999</v>
          </cell>
          <cell r="I524">
            <v>20400</v>
          </cell>
        </row>
        <row r="525">
          <cell r="B525">
            <v>38078</v>
          </cell>
          <cell r="C525" t="str">
            <v>Sat</v>
          </cell>
          <cell r="D525">
            <v>38080.416666666664</v>
          </cell>
          <cell r="E525">
            <v>7</v>
          </cell>
          <cell r="F525">
            <v>8</v>
          </cell>
          <cell r="G525">
            <v>16033</v>
          </cell>
          <cell r="H525">
            <v>1.0235000000000001</v>
          </cell>
          <cell r="I525">
            <v>15665</v>
          </cell>
        </row>
        <row r="526">
          <cell r="B526">
            <v>38078</v>
          </cell>
          <cell r="C526" t="str">
            <v>Sun</v>
          </cell>
          <cell r="D526">
            <v>38081.416666666664</v>
          </cell>
          <cell r="E526">
            <v>7</v>
          </cell>
          <cell r="F526">
            <v>8</v>
          </cell>
          <cell r="G526">
            <v>19301</v>
          </cell>
          <cell r="H526">
            <v>1.0242499999999999</v>
          </cell>
          <cell r="I526">
            <v>18844</v>
          </cell>
        </row>
        <row r="527">
          <cell r="B527">
            <v>38078</v>
          </cell>
          <cell r="C527" t="str">
            <v>Mon</v>
          </cell>
          <cell r="D527">
            <v>38082.416666666664</v>
          </cell>
          <cell r="E527">
            <v>6</v>
          </cell>
          <cell r="F527">
            <v>6</v>
          </cell>
          <cell r="G527">
            <v>20458</v>
          </cell>
          <cell r="H527">
            <v>1.022</v>
          </cell>
          <cell r="I527">
            <v>20018</v>
          </cell>
        </row>
        <row r="528">
          <cell r="B528">
            <v>38078</v>
          </cell>
          <cell r="C528" t="str">
            <v>Tue</v>
          </cell>
          <cell r="D528">
            <v>38083.416666666664</v>
          </cell>
          <cell r="E528">
            <v>2</v>
          </cell>
          <cell r="F528">
            <v>2</v>
          </cell>
          <cell r="G528">
            <v>17822</v>
          </cell>
          <cell r="H528">
            <v>1.0217500000000002</v>
          </cell>
          <cell r="I528">
            <v>17443</v>
          </cell>
        </row>
        <row r="529">
          <cell r="B529">
            <v>38078</v>
          </cell>
          <cell r="C529" t="str">
            <v>Wed</v>
          </cell>
          <cell r="D529">
            <v>38084.416666666664</v>
          </cell>
          <cell r="E529">
            <v>0</v>
          </cell>
          <cell r="F529">
            <v>0</v>
          </cell>
          <cell r="G529">
            <v>15765</v>
          </cell>
          <cell r="H529">
            <v>1.022</v>
          </cell>
          <cell r="I529">
            <v>15426</v>
          </cell>
        </row>
        <row r="530">
          <cell r="B530">
            <v>38078</v>
          </cell>
          <cell r="C530" t="str">
            <v>Thu</v>
          </cell>
          <cell r="D530">
            <v>38085.416666666664</v>
          </cell>
          <cell r="E530">
            <v>0</v>
          </cell>
          <cell r="F530">
            <v>0</v>
          </cell>
          <cell r="G530">
            <v>13693</v>
          </cell>
          <cell r="H530">
            <v>1.0222500000000001</v>
          </cell>
          <cell r="I530">
            <v>13395</v>
          </cell>
        </row>
        <row r="531">
          <cell r="B531">
            <v>38078</v>
          </cell>
          <cell r="C531" t="str">
            <v>Fri</v>
          </cell>
          <cell r="D531">
            <v>38086.416666666664</v>
          </cell>
          <cell r="E531">
            <v>1</v>
          </cell>
          <cell r="F531">
            <v>1</v>
          </cell>
          <cell r="G531">
            <v>12318</v>
          </cell>
          <cell r="H531">
            <v>1.02125</v>
          </cell>
          <cell r="I531">
            <v>12062</v>
          </cell>
        </row>
        <row r="532">
          <cell r="B532">
            <v>38078</v>
          </cell>
          <cell r="C532" t="str">
            <v>Sat</v>
          </cell>
          <cell r="D532">
            <v>38087.416666666664</v>
          </cell>
          <cell r="E532">
            <v>0</v>
          </cell>
          <cell r="F532">
            <v>0</v>
          </cell>
          <cell r="G532">
            <v>9646</v>
          </cell>
          <cell r="H532">
            <v>1.022</v>
          </cell>
          <cell r="I532">
            <v>9438</v>
          </cell>
        </row>
        <row r="533">
          <cell r="B533">
            <v>38078</v>
          </cell>
          <cell r="C533" t="str">
            <v>Sun</v>
          </cell>
          <cell r="D533">
            <v>38088.416666666664</v>
          </cell>
          <cell r="E533">
            <v>0</v>
          </cell>
          <cell r="F533">
            <v>0</v>
          </cell>
          <cell r="G533">
            <v>10500</v>
          </cell>
          <cell r="H533">
            <v>1.02</v>
          </cell>
          <cell r="I533">
            <v>10294</v>
          </cell>
        </row>
        <row r="534">
          <cell r="B534">
            <v>38078</v>
          </cell>
          <cell r="C534" t="str">
            <v>Mon</v>
          </cell>
          <cell r="D534">
            <v>38089.416666666664</v>
          </cell>
          <cell r="E534">
            <v>0</v>
          </cell>
          <cell r="F534">
            <v>0</v>
          </cell>
          <cell r="G534">
            <v>13367</v>
          </cell>
          <cell r="H534">
            <v>1.0202499999999999</v>
          </cell>
          <cell r="I534">
            <v>13102</v>
          </cell>
        </row>
        <row r="535">
          <cell r="B535">
            <v>38078</v>
          </cell>
          <cell r="C535" t="str">
            <v>Tue</v>
          </cell>
          <cell r="D535">
            <v>38090.416666666664</v>
          </cell>
          <cell r="E535">
            <v>20</v>
          </cell>
          <cell r="F535">
            <v>23</v>
          </cell>
          <cell r="G535">
            <v>30286</v>
          </cell>
          <cell r="H535">
            <v>1.0202499999999999</v>
          </cell>
          <cell r="I535">
            <v>29685</v>
          </cell>
        </row>
        <row r="536">
          <cell r="B536">
            <v>38078</v>
          </cell>
          <cell r="C536" t="str">
            <v>Wed</v>
          </cell>
          <cell r="D536">
            <v>38091.416666666664</v>
          </cell>
          <cell r="E536">
            <v>10</v>
          </cell>
          <cell r="F536">
            <v>11</v>
          </cell>
          <cell r="G536">
            <v>24622</v>
          </cell>
          <cell r="H536">
            <v>1.0222499999999999</v>
          </cell>
          <cell r="I536">
            <v>24086</v>
          </cell>
        </row>
        <row r="537">
          <cell r="B537">
            <v>38078</v>
          </cell>
          <cell r="C537" t="str">
            <v>Thu</v>
          </cell>
          <cell r="D537">
            <v>38092.416666666664</v>
          </cell>
          <cell r="E537">
            <v>6</v>
          </cell>
          <cell r="F537">
            <v>6</v>
          </cell>
          <cell r="G537">
            <v>19526</v>
          </cell>
          <cell r="H537">
            <v>1.02475</v>
          </cell>
          <cell r="I537">
            <v>19054</v>
          </cell>
        </row>
        <row r="538">
          <cell r="B538">
            <v>38078</v>
          </cell>
          <cell r="C538" t="str">
            <v>Fri</v>
          </cell>
          <cell r="D538">
            <v>38093.416666666664</v>
          </cell>
          <cell r="E538">
            <v>1</v>
          </cell>
          <cell r="F538">
            <v>1</v>
          </cell>
          <cell r="G538">
            <v>14570</v>
          </cell>
          <cell r="H538">
            <v>1.0234999999999999</v>
          </cell>
          <cell r="I538">
            <v>14235</v>
          </cell>
        </row>
        <row r="539">
          <cell r="B539">
            <v>38078</v>
          </cell>
          <cell r="C539" t="str">
            <v>Sat</v>
          </cell>
          <cell r="D539">
            <v>38094.416666666664</v>
          </cell>
          <cell r="E539">
            <v>0</v>
          </cell>
          <cell r="F539">
            <v>0</v>
          </cell>
          <cell r="G539">
            <v>11685</v>
          </cell>
          <cell r="H539">
            <v>1.0215000000000001</v>
          </cell>
          <cell r="I539">
            <v>11439</v>
          </cell>
        </row>
        <row r="540">
          <cell r="B540">
            <v>38078</v>
          </cell>
          <cell r="C540" t="str">
            <v>Sun</v>
          </cell>
          <cell r="D540">
            <v>38095.416666666664</v>
          </cell>
          <cell r="E540">
            <v>0</v>
          </cell>
          <cell r="F540">
            <v>0</v>
          </cell>
          <cell r="G540">
            <v>12636</v>
          </cell>
          <cell r="H540">
            <v>1.02125</v>
          </cell>
          <cell r="I540">
            <v>12373</v>
          </cell>
        </row>
        <row r="541">
          <cell r="B541">
            <v>38078</v>
          </cell>
          <cell r="C541" t="str">
            <v>Mon</v>
          </cell>
          <cell r="D541">
            <v>38096.416666666664</v>
          </cell>
          <cell r="E541">
            <v>0</v>
          </cell>
          <cell r="F541">
            <v>0</v>
          </cell>
          <cell r="G541">
            <v>13614</v>
          </cell>
          <cell r="H541">
            <v>1.0205</v>
          </cell>
          <cell r="I541">
            <v>13341</v>
          </cell>
        </row>
        <row r="542">
          <cell r="B542">
            <v>38078</v>
          </cell>
          <cell r="C542" t="str">
            <v>Tue</v>
          </cell>
          <cell r="D542">
            <v>38097.416666666664</v>
          </cell>
          <cell r="E542">
            <v>0</v>
          </cell>
          <cell r="F542">
            <v>0</v>
          </cell>
          <cell r="G542">
            <v>13289</v>
          </cell>
          <cell r="H542">
            <v>1.02</v>
          </cell>
          <cell r="I542">
            <v>13028</v>
          </cell>
        </row>
        <row r="543">
          <cell r="B543">
            <v>38078</v>
          </cell>
          <cell r="C543" t="str">
            <v>Wed</v>
          </cell>
          <cell r="D543">
            <v>38098.416666666664</v>
          </cell>
          <cell r="E543">
            <v>0</v>
          </cell>
          <cell r="F543">
            <v>0</v>
          </cell>
          <cell r="G543">
            <v>13810</v>
          </cell>
          <cell r="H543">
            <v>1.0215000000000001</v>
          </cell>
          <cell r="I543">
            <v>13519</v>
          </cell>
        </row>
        <row r="544">
          <cell r="B544">
            <v>38078</v>
          </cell>
          <cell r="C544" t="str">
            <v>Thu</v>
          </cell>
          <cell r="D544">
            <v>38099.416666666664</v>
          </cell>
          <cell r="E544">
            <v>0</v>
          </cell>
          <cell r="F544">
            <v>0</v>
          </cell>
          <cell r="G544">
            <v>13394</v>
          </cell>
          <cell r="H544">
            <v>1.0217500000000002</v>
          </cell>
          <cell r="I544">
            <v>13109</v>
          </cell>
        </row>
        <row r="545">
          <cell r="B545">
            <v>38078</v>
          </cell>
          <cell r="C545" t="str">
            <v>Fri</v>
          </cell>
          <cell r="D545">
            <v>38100.416666666664</v>
          </cell>
          <cell r="E545">
            <v>0</v>
          </cell>
          <cell r="F545">
            <v>0</v>
          </cell>
          <cell r="G545">
            <v>11043</v>
          </cell>
          <cell r="H545">
            <v>1.0217500000000002</v>
          </cell>
          <cell r="I545">
            <v>10808</v>
          </cell>
        </row>
        <row r="546">
          <cell r="B546">
            <v>38078</v>
          </cell>
          <cell r="C546" t="str">
            <v>Sat</v>
          </cell>
          <cell r="D546">
            <v>38101.416666666664</v>
          </cell>
          <cell r="E546">
            <v>0</v>
          </cell>
          <cell r="F546">
            <v>0</v>
          </cell>
          <cell r="G546">
            <v>9897</v>
          </cell>
          <cell r="H546">
            <v>1.022</v>
          </cell>
          <cell r="I546">
            <v>9684</v>
          </cell>
        </row>
        <row r="547">
          <cell r="B547">
            <v>38078</v>
          </cell>
          <cell r="C547" t="str">
            <v>Sun</v>
          </cell>
          <cell r="D547">
            <v>38102.416666666664</v>
          </cell>
          <cell r="E547">
            <v>0</v>
          </cell>
          <cell r="F547">
            <v>0</v>
          </cell>
          <cell r="G547">
            <v>11103</v>
          </cell>
          <cell r="H547">
            <v>1.0215000000000001</v>
          </cell>
          <cell r="I547">
            <v>10869</v>
          </cell>
        </row>
        <row r="548">
          <cell r="B548">
            <v>38078</v>
          </cell>
          <cell r="C548" t="str">
            <v>Mon</v>
          </cell>
          <cell r="D548">
            <v>38103.416666666664</v>
          </cell>
          <cell r="E548">
            <v>3</v>
          </cell>
          <cell r="F548">
            <v>3</v>
          </cell>
          <cell r="G548">
            <v>14050</v>
          </cell>
          <cell r="H548">
            <v>1.022</v>
          </cell>
          <cell r="I548">
            <v>13748</v>
          </cell>
        </row>
        <row r="549">
          <cell r="B549">
            <v>38078</v>
          </cell>
          <cell r="C549" t="str">
            <v>Tue</v>
          </cell>
          <cell r="D549">
            <v>38104.416666666664</v>
          </cell>
          <cell r="E549">
            <v>2</v>
          </cell>
          <cell r="F549">
            <v>2</v>
          </cell>
          <cell r="G549">
            <v>14643</v>
          </cell>
          <cell r="H549">
            <v>1.0227499999999998</v>
          </cell>
          <cell r="I549">
            <v>14317</v>
          </cell>
        </row>
        <row r="550">
          <cell r="B550">
            <v>38078</v>
          </cell>
          <cell r="C550" t="str">
            <v>Wed</v>
          </cell>
          <cell r="D550">
            <v>38105.416666666664</v>
          </cell>
          <cell r="E550">
            <v>0</v>
          </cell>
          <cell r="F550">
            <v>0</v>
          </cell>
          <cell r="G550">
            <v>13919</v>
          </cell>
          <cell r="H550">
            <v>1.0265</v>
          </cell>
          <cell r="I550">
            <v>13560</v>
          </cell>
        </row>
        <row r="551">
          <cell r="B551">
            <v>38078</v>
          </cell>
          <cell r="C551" t="str">
            <v>Thu</v>
          </cell>
          <cell r="D551">
            <v>38106.416666666664</v>
          </cell>
          <cell r="E551">
            <v>0</v>
          </cell>
          <cell r="F551">
            <v>0</v>
          </cell>
          <cell r="G551">
            <v>12911</v>
          </cell>
          <cell r="H551">
            <v>1.0222500000000001</v>
          </cell>
          <cell r="I551">
            <v>12630</v>
          </cell>
        </row>
        <row r="552">
          <cell r="B552">
            <v>38078</v>
          </cell>
          <cell r="C552" t="str">
            <v>Fri</v>
          </cell>
          <cell r="D552">
            <v>38107.416666666664</v>
          </cell>
          <cell r="E552">
            <v>0</v>
          </cell>
          <cell r="F552">
            <v>0</v>
          </cell>
          <cell r="G552">
            <v>11362</v>
          </cell>
          <cell r="H552">
            <v>1.02075</v>
          </cell>
          <cell r="I552">
            <v>11131</v>
          </cell>
        </row>
        <row r="553">
          <cell r="B553">
            <v>38108</v>
          </cell>
          <cell r="C553" t="str">
            <v>Sat</v>
          </cell>
          <cell r="D553">
            <v>38108.416666666664</v>
          </cell>
          <cell r="E553">
            <v>0</v>
          </cell>
          <cell r="F553">
            <v>0</v>
          </cell>
          <cell r="G553">
            <v>8786</v>
          </cell>
          <cell r="H553">
            <v>1.0202499999999999</v>
          </cell>
          <cell r="I553">
            <v>8612</v>
          </cell>
        </row>
        <row r="554">
          <cell r="B554">
            <v>38108</v>
          </cell>
          <cell r="C554" t="str">
            <v>Sun</v>
          </cell>
          <cell r="D554">
            <v>38109.416666666664</v>
          </cell>
          <cell r="E554">
            <v>3</v>
          </cell>
          <cell r="F554">
            <v>3</v>
          </cell>
          <cell r="G554">
            <v>12248</v>
          </cell>
          <cell r="H554">
            <v>1.0205</v>
          </cell>
          <cell r="I554">
            <v>12002</v>
          </cell>
        </row>
        <row r="555">
          <cell r="B555">
            <v>38108</v>
          </cell>
          <cell r="C555" t="str">
            <v>Mon</v>
          </cell>
          <cell r="D555">
            <v>38110.416666666664</v>
          </cell>
          <cell r="E555">
            <v>7</v>
          </cell>
          <cell r="F555">
            <v>7</v>
          </cell>
          <cell r="G555">
            <v>15642</v>
          </cell>
          <cell r="H555">
            <v>1.0205</v>
          </cell>
          <cell r="I555">
            <v>15328</v>
          </cell>
        </row>
        <row r="556">
          <cell r="B556">
            <v>38108</v>
          </cell>
          <cell r="C556" t="str">
            <v>Tue</v>
          </cell>
          <cell r="D556">
            <v>38111.416666666664</v>
          </cell>
          <cell r="E556">
            <v>4</v>
          </cell>
          <cell r="F556">
            <v>4</v>
          </cell>
          <cell r="G556">
            <v>14982</v>
          </cell>
          <cell r="H556">
            <v>1.02075</v>
          </cell>
          <cell r="I556">
            <v>14677</v>
          </cell>
        </row>
        <row r="557">
          <cell r="B557">
            <v>38108</v>
          </cell>
          <cell r="C557" t="str">
            <v>Wed</v>
          </cell>
          <cell r="D557">
            <v>38112.416666666664</v>
          </cell>
          <cell r="E557">
            <v>0</v>
          </cell>
          <cell r="F557">
            <v>0</v>
          </cell>
          <cell r="G557">
            <v>13370</v>
          </cell>
          <cell r="H557">
            <v>1.022</v>
          </cell>
          <cell r="I557">
            <v>13082</v>
          </cell>
        </row>
        <row r="558">
          <cell r="B558">
            <v>38108</v>
          </cell>
          <cell r="C558" t="str">
            <v>Thu</v>
          </cell>
          <cell r="D558">
            <v>38113.416666666664</v>
          </cell>
          <cell r="E558">
            <v>0</v>
          </cell>
          <cell r="F558">
            <v>0</v>
          </cell>
          <cell r="G558">
            <v>12788</v>
          </cell>
          <cell r="H558">
            <v>1.0209999999999999</v>
          </cell>
          <cell r="I558">
            <v>12525</v>
          </cell>
        </row>
        <row r="559">
          <cell r="B559">
            <v>38108</v>
          </cell>
          <cell r="C559" t="str">
            <v>Fri</v>
          </cell>
          <cell r="D559">
            <v>38114.416666666664</v>
          </cell>
          <cell r="E559">
            <v>0</v>
          </cell>
          <cell r="F559">
            <v>0</v>
          </cell>
          <cell r="G559">
            <v>10938</v>
          </cell>
          <cell r="H559">
            <v>1.0209999999999999</v>
          </cell>
          <cell r="I559">
            <v>10713</v>
          </cell>
        </row>
        <row r="560">
          <cell r="B560">
            <v>38108</v>
          </cell>
          <cell r="C560" t="str">
            <v>Sat</v>
          </cell>
          <cell r="D560">
            <v>38115.416666666664</v>
          </cell>
          <cell r="E560">
            <v>0</v>
          </cell>
          <cell r="F560">
            <v>0</v>
          </cell>
          <cell r="G560">
            <v>9262</v>
          </cell>
          <cell r="H560">
            <v>1.02075</v>
          </cell>
          <cell r="I560">
            <v>9074</v>
          </cell>
        </row>
        <row r="561">
          <cell r="B561">
            <v>38108</v>
          </cell>
          <cell r="C561" t="str">
            <v>Sun</v>
          </cell>
          <cell r="D561">
            <v>38116.416666666664</v>
          </cell>
          <cell r="E561">
            <v>0</v>
          </cell>
          <cell r="F561">
            <v>0</v>
          </cell>
          <cell r="G561">
            <v>11147</v>
          </cell>
          <cell r="H561">
            <v>1.0222500000000001</v>
          </cell>
          <cell r="I561">
            <v>10904</v>
          </cell>
        </row>
        <row r="562">
          <cell r="B562">
            <v>38108</v>
          </cell>
          <cell r="C562" t="str">
            <v>Mon</v>
          </cell>
          <cell r="D562">
            <v>38117.416666666664</v>
          </cell>
          <cell r="E562">
            <v>0</v>
          </cell>
          <cell r="F562">
            <v>0</v>
          </cell>
          <cell r="G562">
            <v>12665</v>
          </cell>
          <cell r="H562">
            <v>1.0214999999999999</v>
          </cell>
          <cell r="I562">
            <v>12398</v>
          </cell>
        </row>
        <row r="563">
          <cell r="B563">
            <v>38108</v>
          </cell>
          <cell r="C563" t="str">
            <v>Tue</v>
          </cell>
          <cell r="D563">
            <v>38118.416666666664</v>
          </cell>
          <cell r="E563">
            <v>0</v>
          </cell>
          <cell r="F563">
            <v>0</v>
          </cell>
          <cell r="G563">
            <v>12746</v>
          </cell>
          <cell r="H563">
            <v>1.0202499999999999</v>
          </cell>
          <cell r="I563">
            <v>12493</v>
          </cell>
        </row>
        <row r="564">
          <cell r="B564">
            <v>38108</v>
          </cell>
          <cell r="C564" t="str">
            <v>Wed</v>
          </cell>
          <cell r="D564">
            <v>38119.416666666664</v>
          </cell>
          <cell r="E564">
            <v>0</v>
          </cell>
          <cell r="F564">
            <v>0</v>
          </cell>
          <cell r="G564">
            <v>12796</v>
          </cell>
          <cell r="H564">
            <v>1.0229999999999999</v>
          </cell>
          <cell r="I564">
            <v>12508</v>
          </cell>
        </row>
        <row r="565">
          <cell r="B565">
            <v>38108</v>
          </cell>
          <cell r="C565" t="str">
            <v>Thu</v>
          </cell>
          <cell r="D565">
            <v>38120.416666666664</v>
          </cell>
          <cell r="E565">
            <v>0</v>
          </cell>
          <cell r="F565">
            <v>0</v>
          </cell>
          <cell r="G565">
            <v>12280</v>
          </cell>
          <cell r="H565">
            <v>1.022</v>
          </cell>
          <cell r="I565">
            <v>12016</v>
          </cell>
        </row>
        <row r="566">
          <cell r="B566">
            <v>38108</v>
          </cell>
          <cell r="C566" t="str">
            <v>Fri</v>
          </cell>
          <cell r="D566">
            <v>38121.416666666664</v>
          </cell>
          <cell r="E566">
            <v>0</v>
          </cell>
          <cell r="F566">
            <v>0</v>
          </cell>
          <cell r="G566">
            <v>10681</v>
          </cell>
          <cell r="H566">
            <v>1.0209999999999999</v>
          </cell>
          <cell r="I566">
            <v>10461</v>
          </cell>
        </row>
        <row r="567">
          <cell r="B567">
            <v>38108</v>
          </cell>
          <cell r="C567" t="str">
            <v>Sat</v>
          </cell>
          <cell r="D567">
            <v>38122.416666666664</v>
          </cell>
          <cell r="E567">
            <v>0</v>
          </cell>
          <cell r="F567">
            <v>0</v>
          </cell>
          <cell r="G567">
            <v>9101</v>
          </cell>
          <cell r="H567">
            <v>1.02075</v>
          </cell>
          <cell r="I567">
            <v>8916</v>
          </cell>
        </row>
        <row r="568">
          <cell r="B568">
            <v>38108</v>
          </cell>
          <cell r="C568" t="str">
            <v>Sun</v>
          </cell>
          <cell r="D568">
            <v>38123.416666666664</v>
          </cell>
          <cell r="E568">
            <v>0</v>
          </cell>
          <cell r="F568">
            <v>0</v>
          </cell>
          <cell r="G568">
            <v>10849</v>
          </cell>
          <cell r="H568">
            <v>1.0237499999999999</v>
          </cell>
          <cell r="I568">
            <v>10597</v>
          </cell>
        </row>
        <row r="569">
          <cell r="B569">
            <v>38108</v>
          </cell>
          <cell r="C569" t="str">
            <v>Mon</v>
          </cell>
          <cell r="D569">
            <v>38124.416666666664</v>
          </cell>
          <cell r="E569">
            <v>0</v>
          </cell>
          <cell r="F569">
            <v>0</v>
          </cell>
          <cell r="G569">
            <v>12012</v>
          </cell>
          <cell r="H569">
            <v>1.0217500000000002</v>
          </cell>
          <cell r="I569">
            <v>11756</v>
          </cell>
        </row>
        <row r="570">
          <cell r="B570">
            <v>38108</v>
          </cell>
          <cell r="C570" t="str">
            <v>Tue</v>
          </cell>
          <cell r="D570">
            <v>38125.416666666664</v>
          </cell>
          <cell r="E570">
            <v>0</v>
          </cell>
          <cell r="F570">
            <v>0</v>
          </cell>
          <cell r="G570">
            <v>12228</v>
          </cell>
          <cell r="H570">
            <v>1.02125</v>
          </cell>
          <cell r="I570">
            <v>11974</v>
          </cell>
        </row>
        <row r="571">
          <cell r="B571">
            <v>38108</v>
          </cell>
          <cell r="C571" t="str">
            <v>Wed</v>
          </cell>
          <cell r="D571">
            <v>38126.416666666664</v>
          </cell>
          <cell r="E571">
            <v>0</v>
          </cell>
          <cell r="F571">
            <v>0</v>
          </cell>
          <cell r="G571">
            <v>12283</v>
          </cell>
          <cell r="H571">
            <v>1.0212500000000002</v>
          </cell>
          <cell r="I571">
            <v>12027</v>
          </cell>
        </row>
        <row r="572">
          <cell r="B572">
            <v>38108</v>
          </cell>
          <cell r="C572" t="str">
            <v>Thu</v>
          </cell>
          <cell r="D572">
            <v>38127.416666666664</v>
          </cell>
          <cell r="E572">
            <v>0</v>
          </cell>
          <cell r="F572">
            <v>0</v>
          </cell>
          <cell r="G572">
            <v>11989</v>
          </cell>
          <cell r="H572">
            <v>1.0255000000000001</v>
          </cell>
          <cell r="I572">
            <v>11691</v>
          </cell>
        </row>
        <row r="573">
          <cell r="B573">
            <v>38108</v>
          </cell>
          <cell r="C573" t="str">
            <v>Fri</v>
          </cell>
          <cell r="D573">
            <v>38128.416666666664</v>
          </cell>
          <cell r="E573">
            <v>0</v>
          </cell>
          <cell r="F573">
            <v>0</v>
          </cell>
          <cell r="G573">
            <v>10252</v>
          </cell>
          <cell r="H573">
            <v>1.024</v>
          </cell>
          <cell r="I573">
            <v>10012</v>
          </cell>
        </row>
        <row r="574">
          <cell r="B574">
            <v>38108</v>
          </cell>
          <cell r="C574" t="str">
            <v>Sat</v>
          </cell>
          <cell r="D574">
            <v>38129.416666666664</v>
          </cell>
          <cell r="E574">
            <v>0</v>
          </cell>
          <cell r="F574">
            <v>0</v>
          </cell>
          <cell r="G574">
            <v>8777</v>
          </cell>
          <cell r="H574">
            <v>1.0232499999999998</v>
          </cell>
          <cell r="I574">
            <v>8578</v>
          </cell>
        </row>
        <row r="575">
          <cell r="B575">
            <v>38108</v>
          </cell>
          <cell r="C575" t="str">
            <v>Sun</v>
          </cell>
          <cell r="D575">
            <v>38130.416666666664</v>
          </cell>
          <cell r="E575">
            <v>0</v>
          </cell>
          <cell r="F575">
            <v>0</v>
          </cell>
          <cell r="G575">
            <v>10511</v>
          </cell>
          <cell r="H575">
            <v>1.0229999999999999</v>
          </cell>
          <cell r="I575">
            <v>10275</v>
          </cell>
        </row>
        <row r="576">
          <cell r="B576">
            <v>38108</v>
          </cell>
          <cell r="C576" t="str">
            <v>Mon</v>
          </cell>
          <cell r="D576">
            <v>38131.416666666664</v>
          </cell>
          <cell r="E576">
            <v>0</v>
          </cell>
          <cell r="F576">
            <v>0</v>
          </cell>
          <cell r="G576">
            <v>12085</v>
          </cell>
          <cell r="H576">
            <v>1.0222500000000001</v>
          </cell>
          <cell r="I576">
            <v>11822</v>
          </cell>
        </row>
        <row r="577">
          <cell r="B577">
            <v>38108</v>
          </cell>
          <cell r="C577" t="str">
            <v>Tue</v>
          </cell>
          <cell r="D577">
            <v>38132.416666666664</v>
          </cell>
          <cell r="E577">
            <v>0</v>
          </cell>
          <cell r="F577">
            <v>0</v>
          </cell>
          <cell r="G577">
            <v>11817</v>
          </cell>
          <cell r="H577">
            <v>1.02</v>
          </cell>
          <cell r="I577">
            <v>11585</v>
          </cell>
        </row>
        <row r="578">
          <cell r="B578">
            <v>38108</v>
          </cell>
          <cell r="C578" t="str">
            <v>Wed</v>
          </cell>
          <cell r="D578">
            <v>38133.416666666664</v>
          </cell>
          <cell r="E578">
            <v>0</v>
          </cell>
          <cell r="F578">
            <v>0</v>
          </cell>
          <cell r="G578">
            <v>11546</v>
          </cell>
          <cell r="H578">
            <v>1.0234999999999999</v>
          </cell>
          <cell r="I578">
            <v>11281</v>
          </cell>
        </row>
        <row r="579">
          <cell r="B579">
            <v>38108</v>
          </cell>
          <cell r="C579" t="str">
            <v>Thu</v>
          </cell>
          <cell r="D579">
            <v>38134.416666666664</v>
          </cell>
          <cell r="E579">
            <v>0</v>
          </cell>
          <cell r="F579">
            <v>0</v>
          </cell>
          <cell r="G579">
            <v>11201</v>
          </cell>
          <cell r="H579">
            <v>1.0215000000000001</v>
          </cell>
          <cell r="I579">
            <v>10965</v>
          </cell>
        </row>
        <row r="580">
          <cell r="B580">
            <v>38108</v>
          </cell>
          <cell r="C580" t="str">
            <v>Fri</v>
          </cell>
          <cell r="D580">
            <v>38135.416666666664</v>
          </cell>
          <cell r="E580">
            <v>0</v>
          </cell>
          <cell r="F580">
            <v>0</v>
          </cell>
          <cell r="G580">
            <v>9558</v>
          </cell>
          <cell r="H580">
            <v>1.02325</v>
          </cell>
          <cell r="I580">
            <v>9341</v>
          </cell>
        </row>
        <row r="581">
          <cell r="B581">
            <v>38108</v>
          </cell>
          <cell r="C581" t="str">
            <v>Sat</v>
          </cell>
          <cell r="D581">
            <v>38136.416666666664</v>
          </cell>
          <cell r="E581">
            <v>0</v>
          </cell>
          <cell r="F581">
            <v>0</v>
          </cell>
          <cell r="G581">
            <v>8120</v>
          </cell>
          <cell r="H581">
            <v>1.0227499999999998</v>
          </cell>
          <cell r="I581">
            <v>7939</v>
          </cell>
        </row>
        <row r="582">
          <cell r="B582">
            <v>38108</v>
          </cell>
          <cell r="C582" t="str">
            <v>Sun</v>
          </cell>
          <cell r="D582">
            <v>38137.416666666664</v>
          </cell>
          <cell r="E582">
            <v>0</v>
          </cell>
          <cell r="F582">
            <v>0</v>
          </cell>
          <cell r="G582">
            <v>7562</v>
          </cell>
          <cell r="H582">
            <v>1.0229999999999999</v>
          </cell>
          <cell r="I582">
            <v>7392</v>
          </cell>
        </row>
        <row r="583">
          <cell r="B583">
            <v>38108</v>
          </cell>
          <cell r="C583" t="str">
            <v>Mon</v>
          </cell>
          <cell r="D583">
            <v>38138.416666666664</v>
          </cell>
          <cell r="E583">
            <v>0</v>
          </cell>
          <cell r="F583">
            <v>0</v>
          </cell>
          <cell r="G583">
            <v>10294</v>
          </cell>
          <cell r="H583">
            <v>1.0222500000000001</v>
          </cell>
          <cell r="I583">
            <v>10070</v>
          </cell>
        </row>
        <row r="584">
          <cell r="B584">
            <v>38139</v>
          </cell>
          <cell r="C584" t="str">
            <v>Tue</v>
          </cell>
          <cell r="D584">
            <v>38139.416666666664</v>
          </cell>
          <cell r="E584">
            <v>0</v>
          </cell>
          <cell r="F584">
            <v>0</v>
          </cell>
          <cell r="G584">
            <v>12033</v>
          </cell>
          <cell r="H584">
            <v>1.0217499999999999</v>
          </cell>
          <cell r="I584">
            <v>11777</v>
          </cell>
        </row>
        <row r="585">
          <cell r="B585">
            <v>38139</v>
          </cell>
          <cell r="C585" t="str">
            <v>Wed</v>
          </cell>
          <cell r="D585">
            <v>38140.416666666664</v>
          </cell>
          <cell r="E585">
            <v>0</v>
          </cell>
          <cell r="F585">
            <v>0</v>
          </cell>
          <cell r="G585">
            <v>11992</v>
          </cell>
          <cell r="H585">
            <v>1.02325</v>
          </cell>
          <cell r="I585">
            <v>11720</v>
          </cell>
        </row>
        <row r="586">
          <cell r="B586">
            <v>38139</v>
          </cell>
          <cell r="C586" t="str">
            <v>Thu</v>
          </cell>
          <cell r="D586">
            <v>38141.416666666664</v>
          </cell>
          <cell r="E586">
            <v>0</v>
          </cell>
          <cell r="F586">
            <v>0</v>
          </cell>
          <cell r="G586">
            <v>11588</v>
          </cell>
          <cell r="H586">
            <v>1.0227499999999998</v>
          </cell>
          <cell r="I586">
            <v>11330</v>
          </cell>
        </row>
        <row r="587">
          <cell r="B587">
            <v>38139</v>
          </cell>
          <cell r="C587" t="str">
            <v>Fri</v>
          </cell>
          <cell r="D587">
            <v>38142.416666666664</v>
          </cell>
          <cell r="E587">
            <v>0</v>
          </cell>
          <cell r="F587">
            <v>0</v>
          </cell>
          <cell r="G587">
            <v>10571</v>
          </cell>
          <cell r="H587">
            <v>1.0222499999999999</v>
          </cell>
          <cell r="I587">
            <v>10341</v>
          </cell>
        </row>
        <row r="588">
          <cell r="B588">
            <v>38139</v>
          </cell>
          <cell r="C588" t="str">
            <v>Sat</v>
          </cell>
          <cell r="D588">
            <v>38143.416666666664</v>
          </cell>
          <cell r="E588">
            <v>0</v>
          </cell>
          <cell r="F588">
            <v>0</v>
          </cell>
          <cell r="G588">
            <v>8896</v>
          </cell>
          <cell r="H588">
            <v>1.0217500000000002</v>
          </cell>
          <cell r="I588">
            <v>8707</v>
          </cell>
        </row>
        <row r="589">
          <cell r="B589">
            <v>38139</v>
          </cell>
          <cell r="C589" t="str">
            <v>Sun</v>
          </cell>
          <cell r="D589">
            <v>38144.416666666664</v>
          </cell>
          <cell r="E589">
            <v>0</v>
          </cell>
          <cell r="F589">
            <v>0</v>
          </cell>
          <cell r="G589">
            <v>10161</v>
          </cell>
          <cell r="H589">
            <v>1.0222500000000001</v>
          </cell>
          <cell r="I589">
            <v>9940</v>
          </cell>
        </row>
        <row r="590">
          <cell r="B590">
            <v>38139</v>
          </cell>
          <cell r="C590" t="str">
            <v>Mon</v>
          </cell>
          <cell r="D590">
            <v>38145.416666666664</v>
          </cell>
          <cell r="E590">
            <v>0</v>
          </cell>
          <cell r="F590">
            <v>0</v>
          </cell>
          <cell r="G590">
            <v>11494</v>
          </cell>
          <cell r="H590">
            <v>1.02075</v>
          </cell>
          <cell r="I590">
            <v>11260</v>
          </cell>
        </row>
        <row r="591">
          <cell r="B591">
            <v>38139</v>
          </cell>
          <cell r="C591" t="str">
            <v>Tue</v>
          </cell>
          <cell r="D591">
            <v>38146.416666666664</v>
          </cell>
          <cell r="E591">
            <v>0</v>
          </cell>
          <cell r="F591">
            <v>0</v>
          </cell>
          <cell r="G591">
            <v>11361</v>
          </cell>
          <cell r="H591">
            <v>1.0222499999999999</v>
          </cell>
          <cell r="I591">
            <v>11114</v>
          </cell>
        </row>
        <row r="592">
          <cell r="B592">
            <v>38139</v>
          </cell>
          <cell r="C592" t="str">
            <v>Wed</v>
          </cell>
          <cell r="D592">
            <v>38147.416666666664</v>
          </cell>
          <cell r="E592">
            <v>0</v>
          </cell>
          <cell r="F592">
            <v>0</v>
          </cell>
          <cell r="G592">
            <v>11604</v>
          </cell>
          <cell r="H592">
            <v>1.0329999999999999</v>
          </cell>
          <cell r="I592">
            <v>11233</v>
          </cell>
        </row>
        <row r="593">
          <cell r="B593">
            <v>38139</v>
          </cell>
          <cell r="C593" t="str">
            <v>Thu</v>
          </cell>
          <cell r="D593">
            <v>38148.416666666664</v>
          </cell>
          <cell r="E593">
            <v>0</v>
          </cell>
          <cell r="F593">
            <v>0</v>
          </cell>
          <cell r="G593">
            <v>11234</v>
          </cell>
          <cell r="H593">
            <v>1.0402499999999999</v>
          </cell>
          <cell r="I593">
            <v>10799</v>
          </cell>
        </row>
        <row r="594">
          <cell r="B594">
            <v>38139</v>
          </cell>
          <cell r="C594" t="str">
            <v>Fri</v>
          </cell>
          <cell r="D594">
            <v>38149.416666666664</v>
          </cell>
          <cell r="E594">
            <v>0</v>
          </cell>
          <cell r="F594">
            <v>0</v>
          </cell>
          <cell r="G594">
            <v>9650</v>
          </cell>
          <cell r="H594">
            <v>1.0369999999999999</v>
          </cell>
          <cell r="I594">
            <v>9306</v>
          </cell>
        </row>
        <row r="595">
          <cell r="B595">
            <v>38139</v>
          </cell>
          <cell r="C595" t="str">
            <v>Sat</v>
          </cell>
          <cell r="D595">
            <v>38150.416666666664</v>
          </cell>
          <cell r="E595">
            <v>0</v>
          </cell>
          <cell r="F595">
            <v>0</v>
          </cell>
          <cell r="G595">
            <v>8440</v>
          </cell>
          <cell r="H595">
            <v>1.0379999999999998</v>
          </cell>
          <cell r="I595">
            <v>8131</v>
          </cell>
        </row>
        <row r="596">
          <cell r="B596">
            <v>38139</v>
          </cell>
          <cell r="C596" t="str">
            <v>Sun</v>
          </cell>
          <cell r="D596">
            <v>38151.416666666664</v>
          </cell>
          <cell r="E596">
            <v>0</v>
          </cell>
          <cell r="F596">
            <v>0</v>
          </cell>
          <cell r="G596">
            <v>9576</v>
          </cell>
          <cell r="H596">
            <v>1.0387499999999998</v>
          </cell>
          <cell r="I596">
            <v>9219</v>
          </cell>
        </row>
        <row r="597">
          <cell r="B597">
            <v>38139</v>
          </cell>
          <cell r="C597" t="str">
            <v>Mon</v>
          </cell>
          <cell r="D597">
            <v>38152.416666666664</v>
          </cell>
          <cell r="E597">
            <v>0</v>
          </cell>
          <cell r="F597">
            <v>0</v>
          </cell>
          <cell r="G597">
            <v>11400</v>
          </cell>
          <cell r="H597">
            <v>1.03775</v>
          </cell>
          <cell r="I597">
            <v>10985</v>
          </cell>
        </row>
        <row r="598">
          <cell r="B598">
            <v>38139</v>
          </cell>
          <cell r="C598" t="str">
            <v>Tue</v>
          </cell>
          <cell r="D598">
            <v>38153.416666666664</v>
          </cell>
          <cell r="E598">
            <v>0</v>
          </cell>
          <cell r="F598">
            <v>0</v>
          </cell>
          <cell r="G598">
            <v>11211</v>
          </cell>
          <cell r="H598">
            <v>1.0392499999999998</v>
          </cell>
          <cell r="I598">
            <v>10788</v>
          </cell>
        </row>
        <row r="599">
          <cell r="B599">
            <v>38139</v>
          </cell>
          <cell r="C599" t="str">
            <v>Wed</v>
          </cell>
          <cell r="D599">
            <v>38154.416666666664</v>
          </cell>
          <cell r="E599">
            <v>0</v>
          </cell>
          <cell r="F599">
            <v>0</v>
          </cell>
          <cell r="G599">
            <v>11244</v>
          </cell>
          <cell r="H599">
            <v>1.0345</v>
          </cell>
          <cell r="I599">
            <v>10869</v>
          </cell>
        </row>
        <row r="600">
          <cell r="B600">
            <v>38139</v>
          </cell>
          <cell r="C600" t="str">
            <v>Thu</v>
          </cell>
          <cell r="D600">
            <v>38155.416666666664</v>
          </cell>
          <cell r="E600">
            <v>0</v>
          </cell>
          <cell r="F600">
            <v>0</v>
          </cell>
          <cell r="G600">
            <v>11023</v>
          </cell>
          <cell r="H600">
            <v>1.0237499999999999</v>
          </cell>
          <cell r="I600">
            <v>10767</v>
          </cell>
        </row>
        <row r="601">
          <cell r="B601">
            <v>38139</v>
          </cell>
          <cell r="C601" t="str">
            <v>Fri</v>
          </cell>
          <cell r="D601">
            <v>38156.416666666664</v>
          </cell>
          <cell r="E601">
            <v>0</v>
          </cell>
          <cell r="F601">
            <v>0</v>
          </cell>
          <cell r="G601">
            <v>9914</v>
          </cell>
          <cell r="H601">
            <v>1.0255000000000001</v>
          </cell>
          <cell r="I601">
            <v>9667</v>
          </cell>
        </row>
        <row r="602">
          <cell r="B602">
            <v>38139</v>
          </cell>
          <cell r="C602" t="str">
            <v>Sat</v>
          </cell>
          <cell r="D602">
            <v>38157.416666666664</v>
          </cell>
          <cell r="E602">
            <v>0</v>
          </cell>
          <cell r="F602">
            <v>0</v>
          </cell>
          <cell r="G602">
            <v>8454</v>
          </cell>
          <cell r="H602">
            <v>1.0277499999999999</v>
          </cell>
          <cell r="I602">
            <v>8226</v>
          </cell>
        </row>
        <row r="603">
          <cell r="B603">
            <v>38139</v>
          </cell>
          <cell r="C603" t="str">
            <v>Sun</v>
          </cell>
          <cell r="D603">
            <v>38158.416666666664</v>
          </cell>
          <cell r="E603">
            <v>0</v>
          </cell>
          <cell r="F603">
            <v>0</v>
          </cell>
          <cell r="G603">
            <v>9478</v>
          </cell>
          <cell r="H603">
            <v>1.0257499999999999</v>
          </cell>
          <cell r="I603">
            <v>9240</v>
          </cell>
        </row>
        <row r="604">
          <cell r="B604">
            <v>38139</v>
          </cell>
          <cell r="C604" t="str">
            <v>Mon</v>
          </cell>
          <cell r="D604">
            <v>38159.416666666664</v>
          </cell>
          <cell r="E604">
            <v>0</v>
          </cell>
          <cell r="F604">
            <v>0</v>
          </cell>
          <cell r="G604">
            <v>10985</v>
          </cell>
          <cell r="H604">
            <v>1.0249999999999999</v>
          </cell>
          <cell r="I604">
            <v>10717</v>
          </cell>
        </row>
        <row r="605">
          <cell r="B605">
            <v>38139</v>
          </cell>
          <cell r="C605" t="str">
            <v>Tue</v>
          </cell>
          <cell r="D605">
            <v>38160.416666666664</v>
          </cell>
          <cell r="E605">
            <v>0</v>
          </cell>
          <cell r="F605">
            <v>0</v>
          </cell>
          <cell r="G605">
            <v>11249</v>
          </cell>
          <cell r="H605">
            <v>1.0255000000000001</v>
          </cell>
          <cell r="I605">
            <v>10969</v>
          </cell>
        </row>
        <row r="606">
          <cell r="B606">
            <v>38139</v>
          </cell>
          <cell r="C606" t="str">
            <v>Wed</v>
          </cell>
          <cell r="D606">
            <v>38161.416666666664</v>
          </cell>
          <cell r="E606">
            <v>0</v>
          </cell>
          <cell r="F606">
            <v>0</v>
          </cell>
          <cell r="G606">
            <v>11417</v>
          </cell>
          <cell r="H606">
            <v>1.0242499999999999</v>
          </cell>
          <cell r="I606">
            <v>11147</v>
          </cell>
        </row>
        <row r="607">
          <cell r="B607">
            <v>38139</v>
          </cell>
          <cell r="C607" t="str">
            <v>Thu</v>
          </cell>
          <cell r="D607">
            <v>38162.416666666664</v>
          </cell>
          <cell r="E607">
            <v>0</v>
          </cell>
          <cell r="F607">
            <v>0</v>
          </cell>
          <cell r="G607">
            <v>11289</v>
          </cell>
          <cell r="H607">
            <v>1.0322499999999999</v>
          </cell>
          <cell r="I607">
            <v>10936</v>
          </cell>
        </row>
        <row r="608">
          <cell r="B608">
            <v>38139</v>
          </cell>
          <cell r="C608" t="str">
            <v>Fri</v>
          </cell>
          <cell r="D608">
            <v>38163.416666666664</v>
          </cell>
          <cell r="E608">
            <v>0</v>
          </cell>
          <cell r="F608">
            <v>0</v>
          </cell>
          <cell r="G608">
            <v>10166</v>
          </cell>
          <cell r="H608">
            <v>1.0405</v>
          </cell>
          <cell r="I608">
            <v>9770</v>
          </cell>
        </row>
        <row r="609">
          <cell r="B609">
            <v>38139</v>
          </cell>
          <cell r="C609" t="str">
            <v>Sat</v>
          </cell>
          <cell r="D609">
            <v>38164.416666666664</v>
          </cell>
          <cell r="E609">
            <v>0</v>
          </cell>
          <cell r="F609">
            <v>0</v>
          </cell>
          <cell r="G609">
            <v>8442</v>
          </cell>
          <cell r="H609">
            <v>1.0265</v>
          </cell>
          <cell r="I609">
            <v>8224</v>
          </cell>
        </row>
        <row r="610">
          <cell r="B610">
            <v>38139</v>
          </cell>
          <cell r="C610" t="str">
            <v>Sun</v>
          </cell>
          <cell r="D610">
            <v>38165.416666666664</v>
          </cell>
          <cell r="E610">
            <v>0</v>
          </cell>
          <cell r="F610">
            <v>0</v>
          </cell>
          <cell r="G610">
            <v>9989</v>
          </cell>
          <cell r="H610">
            <v>1.02475</v>
          </cell>
          <cell r="I610">
            <v>9748</v>
          </cell>
        </row>
        <row r="611">
          <cell r="B611">
            <v>38139</v>
          </cell>
          <cell r="C611" t="str">
            <v>Mon</v>
          </cell>
          <cell r="D611">
            <v>38166.416666666664</v>
          </cell>
          <cell r="E611">
            <v>0</v>
          </cell>
          <cell r="F611">
            <v>0</v>
          </cell>
          <cell r="G611">
            <v>11114</v>
          </cell>
          <cell r="H611">
            <v>1.0227499999999998</v>
          </cell>
          <cell r="I611">
            <v>10867</v>
          </cell>
        </row>
        <row r="612">
          <cell r="B612">
            <v>38139</v>
          </cell>
          <cell r="C612" t="str">
            <v>Tue</v>
          </cell>
          <cell r="D612">
            <v>38167.416666666664</v>
          </cell>
          <cell r="E612">
            <v>0</v>
          </cell>
          <cell r="F612">
            <v>0</v>
          </cell>
          <cell r="G612">
            <v>10877</v>
          </cell>
          <cell r="H612">
            <v>1.022</v>
          </cell>
          <cell r="I612">
            <v>10643</v>
          </cell>
        </row>
        <row r="613">
          <cell r="B613">
            <v>38139</v>
          </cell>
          <cell r="C613" t="str">
            <v>Wed</v>
          </cell>
          <cell r="D613">
            <v>38168.416666666664</v>
          </cell>
          <cell r="E613">
            <v>0</v>
          </cell>
          <cell r="F613">
            <v>0</v>
          </cell>
          <cell r="G613">
            <v>10561</v>
          </cell>
          <cell r="H613">
            <v>1.0234999999999999</v>
          </cell>
          <cell r="I613">
            <v>10319</v>
          </cell>
        </row>
        <row r="614">
          <cell r="B614">
            <v>38169</v>
          </cell>
          <cell r="C614" t="str">
            <v>Thu</v>
          </cell>
          <cell r="D614">
            <v>38169.416666666664</v>
          </cell>
          <cell r="E614">
            <v>0</v>
          </cell>
          <cell r="F614">
            <v>0</v>
          </cell>
          <cell r="G614">
            <v>10694</v>
          </cell>
          <cell r="H614">
            <v>1.0249999999999999</v>
          </cell>
          <cell r="I614">
            <v>10433</v>
          </cell>
        </row>
        <row r="615">
          <cell r="B615">
            <v>38169</v>
          </cell>
          <cell r="C615" t="str">
            <v>Fri</v>
          </cell>
          <cell r="D615">
            <v>38170.416666666664</v>
          </cell>
          <cell r="E615">
            <v>0</v>
          </cell>
          <cell r="F615">
            <v>0</v>
          </cell>
          <cell r="G615">
            <v>9016</v>
          </cell>
          <cell r="H615">
            <v>1.0255000000000001</v>
          </cell>
          <cell r="I615">
            <v>8792</v>
          </cell>
        </row>
        <row r="616">
          <cell r="B616">
            <v>38169</v>
          </cell>
          <cell r="C616" t="str">
            <v>Sat</v>
          </cell>
          <cell r="D616">
            <v>38171.416666666664</v>
          </cell>
          <cell r="E616">
            <v>0</v>
          </cell>
          <cell r="F616">
            <v>0</v>
          </cell>
          <cell r="G616">
            <v>7020</v>
          </cell>
          <cell r="H616">
            <v>1.0267500000000001</v>
          </cell>
          <cell r="I616">
            <v>6837</v>
          </cell>
        </row>
        <row r="617">
          <cell r="B617">
            <v>38169</v>
          </cell>
          <cell r="C617" t="str">
            <v>Sun</v>
          </cell>
          <cell r="D617">
            <v>38172.416666666664</v>
          </cell>
          <cell r="E617">
            <v>0</v>
          </cell>
          <cell r="F617">
            <v>0</v>
          </cell>
          <cell r="G617">
            <v>5764</v>
          </cell>
          <cell r="H617">
            <v>1.0285</v>
          </cell>
          <cell r="I617">
            <v>5604</v>
          </cell>
        </row>
        <row r="618">
          <cell r="B618">
            <v>38169</v>
          </cell>
          <cell r="C618" t="str">
            <v>Mon</v>
          </cell>
          <cell r="D618">
            <v>38173.416666666664</v>
          </cell>
          <cell r="E618">
            <v>0</v>
          </cell>
          <cell r="F618">
            <v>0</v>
          </cell>
          <cell r="G618">
            <v>7290</v>
          </cell>
          <cell r="H618">
            <v>1.0274999999999999</v>
          </cell>
          <cell r="I618">
            <v>7095</v>
          </cell>
        </row>
        <row r="619">
          <cell r="B619">
            <v>38169</v>
          </cell>
          <cell r="C619" t="str">
            <v>Tue</v>
          </cell>
          <cell r="D619">
            <v>38174.416666666664</v>
          </cell>
          <cell r="E619">
            <v>0</v>
          </cell>
          <cell r="F619">
            <v>0</v>
          </cell>
          <cell r="G619">
            <v>8527</v>
          </cell>
          <cell r="H619">
            <v>1.02725</v>
          </cell>
          <cell r="I619">
            <v>8301</v>
          </cell>
        </row>
        <row r="620">
          <cell r="B620">
            <v>38169</v>
          </cell>
          <cell r="C620" t="str">
            <v>Wed</v>
          </cell>
          <cell r="D620">
            <v>38175.416666666664</v>
          </cell>
          <cell r="E620">
            <v>0</v>
          </cell>
          <cell r="F620">
            <v>0</v>
          </cell>
          <cell r="G620">
            <v>9667</v>
          </cell>
          <cell r="H620">
            <v>1.0287500000000001</v>
          </cell>
          <cell r="I620">
            <v>9397</v>
          </cell>
        </row>
        <row r="621">
          <cell r="B621">
            <v>38169</v>
          </cell>
          <cell r="C621" t="str">
            <v>Thu</v>
          </cell>
          <cell r="D621">
            <v>38176.416666666664</v>
          </cell>
          <cell r="E621">
            <v>0</v>
          </cell>
          <cell r="F621">
            <v>0</v>
          </cell>
          <cell r="G621">
            <v>9652</v>
          </cell>
          <cell r="H621">
            <v>1.0305</v>
          </cell>
          <cell r="I621">
            <v>9366</v>
          </cell>
        </row>
        <row r="622">
          <cell r="B622">
            <v>38169</v>
          </cell>
          <cell r="C622" t="str">
            <v>Fri</v>
          </cell>
          <cell r="D622">
            <v>38177.416666666664</v>
          </cell>
          <cell r="E622">
            <v>0</v>
          </cell>
          <cell r="F622">
            <v>0</v>
          </cell>
          <cell r="G622">
            <v>9270</v>
          </cell>
          <cell r="H622">
            <v>1.0325</v>
          </cell>
          <cell r="I622">
            <v>8978</v>
          </cell>
        </row>
        <row r="623">
          <cell r="B623">
            <v>38169</v>
          </cell>
          <cell r="C623" t="str">
            <v>Sat</v>
          </cell>
          <cell r="D623">
            <v>38178.416666666664</v>
          </cell>
          <cell r="E623">
            <v>0</v>
          </cell>
          <cell r="F623">
            <v>0</v>
          </cell>
          <cell r="G623">
            <v>8220</v>
          </cell>
          <cell r="H623">
            <v>1.0307499999999998</v>
          </cell>
          <cell r="I623">
            <v>7975</v>
          </cell>
        </row>
        <row r="624">
          <cell r="B624">
            <v>38169</v>
          </cell>
          <cell r="C624" t="str">
            <v>Sun</v>
          </cell>
          <cell r="D624">
            <v>38179.416666666664</v>
          </cell>
          <cell r="E624">
            <v>0</v>
          </cell>
          <cell r="F624">
            <v>0</v>
          </cell>
          <cell r="G624">
            <v>9406</v>
          </cell>
          <cell r="H624">
            <v>1.0289999999999999</v>
          </cell>
          <cell r="I624">
            <v>9141</v>
          </cell>
        </row>
        <row r="625">
          <cell r="B625">
            <v>38169</v>
          </cell>
          <cell r="C625" t="str">
            <v>Mon</v>
          </cell>
          <cell r="D625">
            <v>38180.416666666664</v>
          </cell>
          <cell r="E625">
            <v>0</v>
          </cell>
          <cell r="F625">
            <v>0</v>
          </cell>
          <cell r="G625">
            <v>10663</v>
          </cell>
          <cell r="H625">
            <v>1.03</v>
          </cell>
          <cell r="I625">
            <v>10352</v>
          </cell>
        </row>
        <row r="626">
          <cell r="B626">
            <v>38169</v>
          </cell>
          <cell r="C626" t="str">
            <v>Tue</v>
          </cell>
          <cell r="D626">
            <v>38181.416666666664</v>
          </cell>
          <cell r="E626">
            <v>0</v>
          </cell>
          <cell r="F626">
            <v>0</v>
          </cell>
          <cell r="G626">
            <v>10669</v>
          </cell>
          <cell r="H626">
            <v>1.0297499999999999</v>
          </cell>
          <cell r="I626">
            <v>10361</v>
          </cell>
        </row>
        <row r="627">
          <cell r="B627">
            <v>38169</v>
          </cell>
          <cell r="C627" t="str">
            <v>Wed</v>
          </cell>
          <cell r="D627">
            <v>38182.416666666664</v>
          </cell>
          <cell r="E627">
            <v>0</v>
          </cell>
          <cell r="F627">
            <v>0</v>
          </cell>
          <cell r="G627">
            <v>10484</v>
          </cell>
          <cell r="H627">
            <v>1.0317499999999997</v>
          </cell>
          <cell r="I627">
            <v>10161</v>
          </cell>
        </row>
        <row r="628">
          <cell r="B628">
            <v>38169</v>
          </cell>
          <cell r="C628" t="str">
            <v>Thu</v>
          </cell>
          <cell r="D628">
            <v>38183.416666666664</v>
          </cell>
          <cell r="E628">
            <v>0</v>
          </cell>
          <cell r="F628">
            <v>0</v>
          </cell>
          <cell r="G628">
            <v>10472</v>
          </cell>
          <cell r="H628">
            <v>1.0305</v>
          </cell>
          <cell r="I628">
            <v>10162</v>
          </cell>
        </row>
        <row r="629">
          <cell r="B629">
            <v>38169</v>
          </cell>
          <cell r="C629" t="str">
            <v>Fri</v>
          </cell>
          <cell r="D629">
            <v>38184.416666666664</v>
          </cell>
          <cell r="E629">
            <v>0</v>
          </cell>
          <cell r="F629">
            <v>0</v>
          </cell>
          <cell r="G629">
            <v>9710</v>
          </cell>
          <cell r="H629">
            <v>1.0294999999999999</v>
          </cell>
          <cell r="I629">
            <v>9432</v>
          </cell>
        </row>
        <row r="630">
          <cell r="B630">
            <v>38169</v>
          </cell>
          <cell r="C630" t="str">
            <v>Sat</v>
          </cell>
          <cell r="D630">
            <v>38185.416666666664</v>
          </cell>
          <cell r="E630">
            <v>0</v>
          </cell>
          <cell r="F630">
            <v>0</v>
          </cell>
          <cell r="G630">
            <v>8085</v>
          </cell>
          <cell r="H630">
            <v>1.0234999999999999</v>
          </cell>
          <cell r="I630">
            <v>7899</v>
          </cell>
        </row>
        <row r="631">
          <cell r="B631">
            <v>38169</v>
          </cell>
          <cell r="C631" t="str">
            <v>Sun</v>
          </cell>
          <cell r="D631">
            <v>38186.416666666664</v>
          </cell>
          <cell r="E631">
            <v>0</v>
          </cell>
          <cell r="F631">
            <v>0</v>
          </cell>
          <cell r="G631">
            <v>9686</v>
          </cell>
          <cell r="H631">
            <v>1.026</v>
          </cell>
          <cell r="I631">
            <v>9441</v>
          </cell>
        </row>
        <row r="632">
          <cell r="B632">
            <v>38169</v>
          </cell>
          <cell r="C632" t="str">
            <v>Mon</v>
          </cell>
          <cell r="D632">
            <v>38187.416666666664</v>
          </cell>
          <cell r="E632">
            <v>0</v>
          </cell>
          <cell r="F632">
            <v>0</v>
          </cell>
          <cell r="G632">
            <v>11284</v>
          </cell>
          <cell r="H632">
            <v>1.026</v>
          </cell>
          <cell r="I632">
            <v>10998</v>
          </cell>
        </row>
        <row r="633">
          <cell r="B633">
            <v>38169</v>
          </cell>
          <cell r="C633" t="str">
            <v>Tue</v>
          </cell>
          <cell r="D633">
            <v>38188.416666666664</v>
          </cell>
          <cell r="E633">
            <v>0</v>
          </cell>
          <cell r="F633">
            <v>0</v>
          </cell>
          <cell r="G633">
            <v>10712</v>
          </cell>
          <cell r="H633">
            <v>1.0262500000000001</v>
          </cell>
          <cell r="I633">
            <v>10438</v>
          </cell>
        </row>
        <row r="634">
          <cell r="B634">
            <v>38169</v>
          </cell>
          <cell r="C634" t="str">
            <v>Wed</v>
          </cell>
          <cell r="D634">
            <v>38189.416666666664</v>
          </cell>
          <cell r="E634">
            <v>0</v>
          </cell>
          <cell r="F634">
            <v>0</v>
          </cell>
          <cell r="G634">
            <v>10658</v>
          </cell>
          <cell r="H634">
            <v>1.02475</v>
          </cell>
          <cell r="I634">
            <v>10401</v>
          </cell>
        </row>
        <row r="635">
          <cell r="B635">
            <v>38169</v>
          </cell>
          <cell r="C635" t="str">
            <v>Thu</v>
          </cell>
          <cell r="D635">
            <v>38190.416666666664</v>
          </cell>
          <cell r="E635">
            <v>0</v>
          </cell>
          <cell r="F635">
            <v>0</v>
          </cell>
          <cell r="G635">
            <v>10538</v>
          </cell>
          <cell r="H635">
            <v>1.03125</v>
          </cell>
          <cell r="I635">
            <v>10219</v>
          </cell>
        </row>
        <row r="636">
          <cell r="B636">
            <v>38169</v>
          </cell>
          <cell r="C636" t="str">
            <v>Fri</v>
          </cell>
          <cell r="D636">
            <v>38191.416666666664</v>
          </cell>
          <cell r="E636">
            <v>0</v>
          </cell>
          <cell r="F636">
            <v>0</v>
          </cell>
          <cell r="G636">
            <v>9397</v>
          </cell>
          <cell r="H636">
            <v>1.0325</v>
          </cell>
          <cell r="I636">
            <v>9101</v>
          </cell>
        </row>
        <row r="637">
          <cell r="B637">
            <v>38169</v>
          </cell>
          <cell r="C637" t="str">
            <v>Sat</v>
          </cell>
          <cell r="D637">
            <v>38192.416666666664</v>
          </cell>
          <cell r="E637">
            <v>0</v>
          </cell>
          <cell r="F637">
            <v>0</v>
          </cell>
          <cell r="G637">
            <v>7926</v>
          </cell>
          <cell r="H637">
            <v>1.0282499999999999</v>
          </cell>
          <cell r="I637">
            <v>7708</v>
          </cell>
        </row>
        <row r="638">
          <cell r="B638">
            <v>38169</v>
          </cell>
          <cell r="C638" t="str">
            <v>Sun</v>
          </cell>
          <cell r="D638">
            <v>38193.416666666664</v>
          </cell>
          <cell r="E638">
            <v>0</v>
          </cell>
          <cell r="F638">
            <v>0</v>
          </cell>
          <cell r="G638">
            <v>9337</v>
          </cell>
          <cell r="H638">
            <v>1.0282499999999999</v>
          </cell>
          <cell r="I638">
            <v>9080</v>
          </cell>
        </row>
        <row r="639">
          <cell r="B639">
            <v>38169</v>
          </cell>
          <cell r="C639" t="str">
            <v>Mon</v>
          </cell>
          <cell r="D639">
            <v>38194.416666666664</v>
          </cell>
          <cell r="E639">
            <v>0</v>
          </cell>
          <cell r="F639">
            <v>0</v>
          </cell>
          <cell r="G639">
            <v>10688</v>
          </cell>
          <cell r="H639">
            <v>1.032</v>
          </cell>
          <cell r="I639">
            <v>10357</v>
          </cell>
        </row>
        <row r="640">
          <cell r="B640">
            <v>38169</v>
          </cell>
          <cell r="C640" t="str">
            <v>Tue</v>
          </cell>
          <cell r="D640">
            <v>38195.416666666664</v>
          </cell>
          <cell r="E640">
            <v>0</v>
          </cell>
          <cell r="F640">
            <v>0</v>
          </cell>
          <cell r="G640">
            <v>10679</v>
          </cell>
          <cell r="H640">
            <v>1.0327500000000001</v>
          </cell>
          <cell r="I640">
            <v>10340</v>
          </cell>
        </row>
        <row r="641">
          <cell r="B641">
            <v>38169</v>
          </cell>
          <cell r="C641" t="str">
            <v>Wed</v>
          </cell>
          <cell r="D641">
            <v>38196.416666666664</v>
          </cell>
          <cell r="E641">
            <v>0</v>
          </cell>
          <cell r="F641">
            <v>0</v>
          </cell>
          <cell r="G641">
            <v>10880</v>
          </cell>
          <cell r="H641">
            <v>1.03325</v>
          </cell>
          <cell r="I641">
            <v>10530</v>
          </cell>
        </row>
        <row r="642">
          <cell r="B642">
            <v>38169</v>
          </cell>
          <cell r="C642" t="str">
            <v>Thu</v>
          </cell>
          <cell r="D642">
            <v>38197.416666666664</v>
          </cell>
          <cell r="E642">
            <v>0</v>
          </cell>
          <cell r="F642">
            <v>0</v>
          </cell>
          <cell r="G642">
            <v>10054</v>
          </cell>
          <cell r="H642">
            <v>1.0289999999999999</v>
          </cell>
          <cell r="I642">
            <v>9771</v>
          </cell>
        </row>
        <row r="643">
          <cell r="B643">
            <v>38169</v>
          </cell>
          <cell r="C643" t="str">
            <v>Fri</v>
          </cell>
          <cell r="D643">
            <v>38198.416666666664</v>
          </cell>
          <cell r="E643">
            <v>0</v>
          </cell>
          <cell r="F643">
            <v>0</v>
          </cell>
          <cell r="G643">
            <v>9075</v>
          </cell>
          <cell r="H643">
            <v>1.0297499999999999</v>
          </cell>
          <cell r="I643">
            <v>8813</v>
          </cell>
        </row>
        <row r="644">
          <cell r="B644">
            <v>38169</v>
          </cell>
          <cell r="C644" t="str">
            <v>Sat</v>
          </cell>
          <cell r="D644">
            <v>38199.416666666664</v>
          </cell>
          <cell r="E644">
            <v>0</v>
          </cell>
          <cell r="F644">
            <v>0</v>
          </cell>
          <cell r="G644">
            <v>7816</v>
          </cell>
          <cell r="H644">
            <v>1.0327500000000001</v>
          </cell>
          <cell r="I644">
            <v>7568</v>
          </cell>
        </row>
        <row r="645">
          <cell r="B645">
            <v>38200</v>
          </cell>
          <cell r="C645" t="str">
            <v>Sun</v>
          </cell>
          <cell r="D645">
            <v>38200.416666666664</v>
          </cell>
          <cell r="E645">
            <v>0</v>
          </cell>
          <cell r="F645">
            <v>0</v>
          </cell>
          <cell r="G645">
            <v>9106</v>
          </cell>
          <cell r="H645">
            <v>1.0332499999999998</v>
          </cell>
          <cell r="I645">
            <v>8813</v>
          </cell>
        </row>
        <row r="646">
          <cell r="B646">
            <v>38200</v>
          </cell>
          <cell r="C646" t="str">
            <v>Mon</v>
          </cell>
          <cell r="D646">
            <v>38201.416666666664</v>
          </cell>
          <cell r="E646">
            <v>0</v>
          </cell>
          <cell r="F646">
            <v>0</v>
          </cell>
          <cell r="G646">
            <v>10717</v>
          </cell>
          <cell r="H646">
            <v>1.0365</v>
          </cell>
          <cell r="I646">
            <v>10340</v>
          </cell>
        </row>
        <row r="647">
          <cell r="B647">
            <v>38200</v>
          </cell>
          <cell r="C647" t="str">
            <v>Tue</v>
          </cell>
          <cell r="D647">
            <v>38202.416666666664</v>
          </cell>
          <cell r="E647">
            <v>0</v>
          </cell>
          <cell r="F647">
            <v>0</v>
          </cell>
          <cell r="G647">
            <v>10556</v>
          </cell>
          <cell r="H647">
            <v>1.04775</v>
          </cell>
          <cell r="I647">
            <v>10075</v>
          </cell>
        </row>
        <row r="648">
          <cell r="B648">
            <v>38200</v>
          </cell>
          <cell r="C648" t="str">
            <v>Wed</v>
          </cell>
          <cell r="D648">
            <v>38203.416666666664</v>
          </cell>
          <cell r="E648">
            <v>0</v>
          </cell>
          <cell r="F648">
            <v>0</v>
          </cell>
          <cell r="G648">
            <v>10320</v>
          </cell>
          <cell r="H648">
            <v>1.0385</v>
          </cell>
          <cell r="I648">
            <v>9937</v>
          </cell>
        </row>
        <row r="649">
          <cell r="B649">
            <v>38200</v>
          </cell>
          <cell r="C649" t="str">
            <v>Thu</v>
          </cell>
          <cell r="D649">
            <v>38204.416666666664</v>
          </cell>
          <cell r="E649">
            <v>0</v>
          </cell>
          <cell r="F649">
            <v>0</v>
          </cell>
          <cell r="G649">
            <v>10683</v>
          </cell>
          <cell r="H649">
            <v>1.0409999999999999</v>
          </cell>
          <cell r="I649">
            <v>10262</v>
          </cell>
        </row>
        <row r="650">
          <cell r="B650">
            <v>38200</v>
          </cell>
          <cell r="C650" t="str">
            <v>Fri</v>
          </cell>
          <cell r="D650">
            <v>38205.416666666664</v>
          </cell>
          <cell r="E650">
            <v>0</v>
          </cell>
          <cell r="F650">
            <v>0</v>
          </cell>
          <cell r="G650">
            <v>9661</v>
          </cell>
          <cell r="H650">
            <v>1.0385</v>
          </cell>
          <cell r="I650">
            <v>9303</v>
          </cell>
        </row>
        <row r="651">
          <cell r="B651">
            <v>38200</v>
          </cell>
          <cell r="C651" t="str">
            <v>Sat</v>
          </cell>
          <cell r="D651">
            <v>38206.416666666664</v>
          </cell>
          <cell r="E651">
            <v>0</v>
          </cell>
          <cell r="F651">
            <v>0</v>
          </cell>
          <cell r="G651">
            <v>7927</v>
          </cell>
          <cell r="H651">
            <v>1.0394999999999999</v>
          </cell>
          <cell r="I651">
            <v>7626</v>
          </cell>
        </row>
        <row r="652">
          <cell r="B652">
            <v>38200</v>
          </cell>
          <cell r="C652" t="str">
            <v>Sun</v>
          </cell>
          <cell r="D652">
            <v>38207.416666666664</v>
          </cell>
          <cell r="E652">
            <v>0</v>
          </cell>
          <cell r="F652">
            <v>0</v>
          </cell>
          <cell r="G652">
            <v>9483</v>
          </cell>
          <cell r="H652">
            <v>1.0382499999999999</v>
          </cell>
          <cell r="I652">
            <v>9134</v>
          </cell>
        </row>
        <row r="653">
          <cell r="B653">
            <v>38200</v>
          </cell>
          <cell r="C653" t="str">
            <v>Mon</v>
          </cell>
          <cell r="D653">
            <v>38208.416666666664</v>
          </cell>
          <cell r="E653">
            <v>0</v>
          </cell>
          <cell r="F653">
            <v>0</v>
          </cell>
          <cell r="G653">
            <v>10872</v>
          </cell>
          <cell r="H653">
            <v>1.0387499999999998</v>
          </cell>
          <cell r="I653">
            <v>10466</v>
          </cell>
        </row>
        <row r="654">
          <cell r="B654">
            <v>38200</v>
          </cell>
          <cell r="C654" t="str">
            <v>Tue</v>
          </cell>
          <cell r="D654">
            <v>38209.416666666664</v>
          </cell>
          <cell r="E654">
            <v>0</v>
          </cell>
          <cell r="F654">
            <v>0</v>
          </cell>
          <cell r="G654">
            <v>11700</v>
          </cell>
          <cell r="H654">
            <v>1.0425</v>
          </cell>
          <cell r="I654">
            <v>11223</v>
          </cell>
        </row>
        <row r="655">
          <cell r="B655">
            <v>38200</v>
          </cell>
          <cell r="C655" t="str">
            <v>Wed</v>
          </cell>
          <cell r="D655">
            <v>38210.416666666664</v>
          </cell>
          <cell r="E655">
            <v>0</v>
          </cell>
          <cell r="F655">
            <v>0</v>
          </cell>
          <cell r="G655">
            <v>11226</v>
          </cell>
          <cell r="H655">
            <v>1.04375</v>
          </cell>
          <cell r="I655">
            <v>10755</v>
          </cell>
        </row>
        <row r="656">
          <cell r="B656">
            <v>38200</v>
          </cell>
          <cell r="C656" t="str">
            <v>Thu</v>
          </cell>
          <cell r="D656">
            <v>38211.416666666664</v>
          </cell>
          <cell r="E656">
            <v>0</v>
          </cell>
          <cell r="F656">
            <v>0</v>
          </cell>
          <cell r="G656">
            <v>11195</v>
          </cell>
          <cell r="H656">
            <v>1.0442499999999999</v>
          </cell>
          <cell r="I656">
            <v>10721</v>
          </cell>
        </row>
        <row r="657">
          <cell r="B657">
            <v>38200</v>
          </cell>
          <cell r="C657" t="str">
            <v>Fri</v>
          </cell>
          <cell r="D657">
            <v>38212.416666666664</v>
          </cell>
          <cell r="E657">
            <v>0</v>
          </cell>
          <cell r="F657">
            <v>0</v>
          </cell>
          <cell r="G657">
            <v>9972</v>
          </cell>
          <cell r="H657">
            <v>1.0449999999999999</v>
          </cell>
          <cell r="I657">
            <v>9543</v>
          </cell>
        </row>
        <row r="658">
          <cell r="B658">
            <v>38200</v>
          </cell>
          <cell r="C658" t="str">
            <v>Sat</v>
          </cell>
          <cell r="D658">
            <v>38213.416666666664</v>
          </cell>
          <cell r="E658">
            <v>0</v>
          </cell>
          <cell r="F658">
            <v>0</v>
          </cell>
          <cell r="G658">
            <v>8487</v>
          </cell>
          <cell r="H658">
            <v>1.04725</v>
          </cell>
          <cell r="I658">
            <v>8104</v>
          </cell>
        </row>
        <row r="659">
          <cell r="B659">
            <v>38200</v>
          </cell>
          <cell r="C659" t="str">
            <v>Sun</v>
          </cell>
          <cell r="D659">
            <v>38214.416666666664</v>
          </cell>
          <cell r="E659">
            <v>0</v>
          </cell>
          <cell r="F659">
            <v>0</v>
          </cell>
          <cell r="G659">
            <v>9441</v>
          </cell>
          <cell r="H659">
            <v>1.0455000000000001</v>
          </cell>
          <cell r="I659">
            <v>9030</v>
          </cell>
        </row>
        <row r="660">
          <cell r="B660">
            <v>38200</v>
          </cell>
          <cell r="C660" t="str">
            <v>Mon</v>
          </cell>
          <cell r="D660">
            <v>38215.416666666664</v>
          </cell>
          <cell r="E660">
            <v>0</v>
          </cell>
          <cell r="F660">
            <v>0</v>
          </cell>
          <cell r="G660">
            <v>10825</v>
          </cell>
          <cell r="H660">
            <v>1.04975</v>
          </cell>
          <cell r="I660">
            <v>10312</v>
          </cell>
        </row>
        <row r="661">
          <cell r="B661">
            <v>38200</v>
          </cell>
          <cell r="C661" t="str">
            <v>Tue</v>
          </cell>
          <cell r="D661">
            <v>38216.416666666664</v>
          </cell>
          <cell r="E661">
            <v>0</v>
          </cell>
          <cell r="F661">
            <v>0</v>
          </cell>
          <cell r="G661">
            <v>10986</v>
          </cell>
          <cell r="H661">
            <v>1.034</v>
          </cell>
          <cell r="I661">
            <v>10625</v>
          </cell>
        </row>
        <row r="662">
          <cell r="B662">
            <v>38200</v>
          </cell>
          <cell r="C662" t="str">
            <v>Wed</v>
          </cell>
          <cell r="D662">
            <v>38217.416666666664</v>
          </cell>
          <cell r="E662">
            <v>0</v>
          </cell>
          <cell r="F662">
            <v>0</v>
          </cell>
          <cell r="G662">
            <v>10759</v>
          </cell>
          <cell r="H662">
            <v>1.0249999999999999</v>
          </cell>
          <cell r="I662">
            <v>10497</v>
          </cell>
        </row>
        <row r="663">
          <cell r="B663">
            <v>38200</v>
          </cell>
          <cell r="C663" t="str">
            <v>Thu</v>
          </cell>
          <cell r="D663">
            <v>38218.416666666664</v>
          </cell>
          <cell r="E663">
            <v>0</v>
          </cell>
          <cell r="F663">
            <v>0</v>
          </cell>
          <cell r="G663">
            <v>10343</v>
          </cell>
          <cell r="H663">
            <v>1.0227499999999998</v>
          </cell>
          <cell r="I663">
            <v>10113</v>
          </cell>
        </row>
        <row r="664">
          <cell r="B664">
            <v>38200</v>
          </cell>
          <cell r="C664" t="str">
            <v>Fri</v>
          </cell>
          <cell r="D664">
            <v>38219.416666666664</v>
          </cell>
          <cell r="E664">
            <v>0</v>
          </cell>
          <cell r="F664">
            <v>0</v>
          </cell>
          <cell r="G664">
            <v>8802</v>
          </cell>
          <cell r="H664">
            <v>1.0215000000000001</v>
          </cell>
          <cell r="I664">
            <v>8617</v>
          </cell>
        </row>
        <row r="665">
          <cell r="B665">
            <v>38200</v>
          </cell>
          <cell r="C665" t="str">
            <v>Sat</v>
          </cell>
          <cell r="D665">
            <v>38220.416666666664</v>
          </cell>
          <cell r="E665">
            <v>0</v>
          </cell>
          <cell r="F665">
            <v>0</v>
          </cell>
          <cell r="G665">
            <v>7512</v>
          </cell>
          <cell r="H665">
            <v>1.02525</v>
          </cell>
          <cell r="I665">
            <v>7327</v>
          </cell>
        </row>
        <row r="666">
          <cell r="B666">
            <v>38200</v>
          </cell>
          <cell r="C666" t="str">
            <v>Sun</v>
          </cell>
          <cell r="D666">
            <v>38221.416666666664</v>
          </cell>
          <cell r="E666">
            <v>0</v>
          </cell>
          <cell r="F666">
            <v>0</v>
          </cell>
          <cell r="G666">
            <v>9270</v>
          </cell>
          <cell r="H666">
            <v>1.02325</v>
          </cell>
          <cell r="I666">
            <v>9059</v>
          </cell>
        </row>
        <row r="667">
          <cell r="B667">
            <v>38200</v>
          </cell>
          <cell r="C667" t="str">
            <v>Mon</v>
          </cell>
          <cell r="D667">
            <v>38222.416666666664</v>
          </cell>
          <cell r="E667">
            <v>0</v>
          </cell>
          <cell r="F667">
            <v>0</v>
          </cell>
          <cell r="G667">
            <v>10385</v>
          </cell>
          <cell r="H667">
            <v>1.02075</v>
          </cell>
          <cell r="I667">
            <v>10174</v>
          </cell>
        </row>
        <row r="668">
          <cell r="B668">
            <v>38200</v>
          </cell>
          <cell r="C668" t="str">
            <v>Tue</v>
          </cell>
          <cell r="D668">
            <v>38223.416666666664</v>
          </cell>
          <cell r="E668">
            <v>0</v>
          </cell>
          <cell r="F668">
            <v>0</v>
          </cell>
          <cell r="G668">
            <v>10564</v>
          </cell>
          <cell r="H668">
            <v>1.0215000000000001</v>
          </cell>
          <cell r="I668">
            <v>10342</v>
          </cell>
        </row>
        <row r="669">
          <cell r="B669">
            <v>38200</v>
          </cell>
          <cell r="C669" t="str">
            <v>Wed</v>
          </cell>
          <cell r="D669">
            <v>38224.416666666664</v>
          </cell>
          <cell r="E669">
            <v>0</v>
          </cell>
          <cell r="F669">
            <v>0</v>
          </cell>
          <cell r="G669">
            <v>10214</v>
          </cell>
          <cell r="H669">
            <v>1.022</v>
          </cell>
          <cell r="I669">
            <v>9994</v>
          </cell>
        </row>
        <row r="670">
          <cell r="B670">
            <v>38200</v>
          </cell>
          <cell r="C670" t="str">
            <v>Thu</v>
          </cell>
          <cell r="D670">
            <v>38225.416666666664</v>
          </cell>
          <cell r="E670">
            <v>0</v>
          </cell>
          <cell r="F670">
            <v>0</v>
          </cell>
          <cell r="G670">
            <v>9833</v>
          </cell>
          <cell r="H670">
            <v>1.0217499999999999</v>
          </cell>
          <cell r="I670">
            <v>9624</v>
          </cell>
        </row>
        <row r="671">
          <cell r="B671">
            <v>38200</v>
          </cell>
          <cell r="C671" t="str">
            <v>Fri</v>
          </cell>
          <cell r="D671">
            <v>38226.416666666664</v>
          </cell>
          <cell r="E671">
            <v>0</v>
          </cell>
          <cell r="F671">
            <v>0</v>
          </cell>
          <cell r="G671">
            <v>8641</v>
          </cell>
          <cell r="H671">
            <v>1.0209999999999999</v>
          </cell>
          <cell r="I671">
            <v>8463</v>
          </cell>
        </row>
        <row r="672">
          <cell r="B672">
            <v>38200</v>
          </cell>
          <cell r="C672" t="str">
            <v>Sat</v>
          </cell>
          <cell r="D672">
            <v>38227.416666666664</v>
          </cell>
          <cell r="E672">
            <v>0</v>
          </cell>
          <cell r="F672">
            <v>0</v>
          </cell>
          <cell r="G672">
            <v>7576</v>
          </cell>
          <cell r="H672">
            <v>1.0215000000000001</v>
          </cell>
          <cell r="I672">
            <v>7417</v>
          </cell>
        </row>
        <row r="673">
          <cell r="B673">
            <v>38200</v>
          </cell>
          <cell r="C673" t="str">
            <v>Sun</v>
          </cell>
          <cell r="D673">
            <v>38228.416666666664</v>
          </cell>
          <cell r="E673">
            <v>0</v>
          </cell>
          <cell r="F673">
            <v>0</v>
          </cell>
          <cell r="G673">
            <v>9243</v>
          </cell>
          <cell r="H673">
            <v>1.0222499999999999</v>
          </cell>
          <cell r="I673">
            <v>9042</v>
          </cell>
        </row>
        <row r="674">
          <cell r="B674">
            <v>38200</v>
          </cell>
          <cell r="C674" t="str">
            <v>Mon</v>
          </cell>
          <cell r="D674">
            <v>38229.416666666664</v>
          </cell>
          <cell r="E674">
            <v>0</v>
          </cell>
          <cell r="F674">
            <v>0</v>
          </cell>
          <cell r="G674">
            <v>10072</v>
          </cell>
          <cell r="H674">
            <v>1.0209999999999999</v>
          </cell>
          <cell r="I674">
            <v>9865</v>
          </cell>
        </row>
        <row r="675">
          <cell r="B675">
            <v>38200</v>
          </cell>
          <cell r="C675" t="str">
            <v>Tue</v>
          </cell>
          <cell r="D675">
            <v>38230.416666666664</v>
          </cell>
          <cell r="E675">
            <v>0</v>
          </cell>
          <cell r="F675">
            <v>0</v>
          </cell>
          <cell r="G675">
            <v>10576</v>
          </cell>
          <cell r="H675">
            <v>1.0209999999999999</v>
          </cell>
          <cell r="I675">
            <v>10358</v>
          </cell>
        </row>
        <row r="676">
          <cell r="B676">
            <v>38231</v>
          </cell>
          <cell r="C676" t="str">
            <v>Wed</v>
          </cell>
          <cell r="D676">
            <v>38231.416666666664</v>
          </cell>
          <cell r="E676">
            <v>0</v>
          </cell>
          <cell r="F676">
            <v>0</v>
          </cell>
          <cell r="G676">
            <v>10590</v>
          </cell>
          <cell r="H676">
            <v>1.02</v>
          </cell>
          <cell r="I676">
            <v>10382</v>
          </cell>
        </row>
        <row r="677">
          <cell r="B677">
            <v>38231</v>
          </cell>
          <cell r="C677" t="str">
            <v>Thu</v>
          </cell>
          <cell r="D677">
            <v>38232.416666666664</v>
          </cell>
          <cell r="E677">
            <v>0</v>
          </cell>
          <cell r="F677">
            <v>0</v>
          </cell>
          <cell r="G677">
            <v>9887</v>
          </cell>
          <cell r="H677">
            <v>1.0215000000000001</v>
          </cell>
          <cell r="I677">
            <v>9679</v>
          </cell>
        </row>
        <row r="678">
          <cell r="B678">
            <v>38231</v>
          </cell>
          <cell r="C678" t="str">
            <v>Fri</v>
          </cell>
          <cell r="D678">
            <v>38233.416666666664</v>
          </cell>
          <cell r="E678">
            <v>0</v>
          </cell>
          <cell r="F678">
            <v>0</v>
          </cell>
          <cell r="G678">
            <v>8365</v>
          </cell>
          <cell r="H678">
            <v>1.0215000000000001</v>
          </cell>
          <cell r="I678">
            <v>8189</v>
          </cell>
        </row>
        <row r="679">
          <cell r="B679">
            <v>38231</v>
          </cell>
          <cell r="C679" t="str">
            <v>Sat</v>
          </cell>
          <cell r="D679">
            <v>38234.416666666664</v>
          </cell>
          <cell r="E679">
            <v>0</v>
          </cell>
          <cell r="F679">
            <v>0</v>
          </cell>
          <cell r="G679">
            <v>7199</v>
          </cell>
          <cell r="H679">
            <v>1.0225</v>
          </cell>
          <cell r="I679">
            <v>7041</v>
          </cell>
        </row>
        <row r="680">
          <cell r="B680">
            <v>38231</v>
          </cell>
          <cell r="C680" t="str">
            <v>Sun</v>
          </cell>
          <cell r="D680">
            <v>38235.416666666664</v>
          </cell>
          <cell r="E680">
            <v>0</v>
          </cell>
          <cell r="F680">
            <v>0</v>
          </cell>
          <cell r="G680">
            <v>7011</v>
          </cell>
          <cell r="H680">
            <v>1.0222500000000001</v>
          </cell>
          <cell r="I680">
            <v>6858</v>
          </cell>
        </row>
        <row r="681">
          <cell r="B681">
            <v>38231</v>
          </cell>
          <cell r="C681" t="str">
            <v>Mon</v>
          </cell>
          <cell r="D681">
            <v>38236.416666666664</v>
          </cell>
          <cell r="E681">
            <v>0</v>
          </cell>
          <cell r="F681">
            <v>0</v>
          </cell>
          <cell r="G681">
            <v>8307</v>
          </cell>
          <cell r="H681">
            <v>1.0202499999999999</v>
          </cell>
          <cell r="I681">
            <v>8142</v>
          </cell>
        </row>
        <row r="682">
          <cell r="B682">
            <v>38231</v>
          </cell>
          <cell r="C682" t="str">
            <v>Tue</v>
          </cell>
          <cell r="D682">
            <v>38237.416666666664</v>
          </cell>
          <cell r="E682">
            <v>0</v>
          </cell>
          <cell r="F682">
            <v>0</v>
          </cell>
          <cell r="G682">
            <v>10270</v>
          </cell>
          <cell r="H682">
            <v>1.0229999999999999</v>
          </cell>
          <cell r="I682">
            <v>10039</v>
          </cell>
        </row>
        <row r="683">
          <cell r="B683">
            <v>38231</v>
          </cell>
          <cell r="C683" t="str">
            <v>Wed</v>
          </cell>
          <cell r="D683">
            <v>38238.416666666664</v>
          </cell>
          <cell r="E683">
            <v>0</v>
          </cell>
          <cell r="F683">
            <v>0</v>
          </cell>
          <cell r="G683">
            <v>10514</v>
          </cell>
          <cell r="H683">
            <v>1.0222500000000001</v>
          </cell>
          <cell r="I683">
            <v>10285</v>
          </cell>
        </row>
        <row r="684">
          <cell r="B684">
            <v>38231</v>
          </cell>
          <cell r="C684" t="str">
            <v>Thu</v>
          </cell>
          <cell r="D684">
            <v>38239.416666666664</v>
          </cell>
          <cell r="E684">
            <v>0</v>
          </cell>
          <cell r="F684">
            <v>0</v>
          </cell>
          <cell r="G684">
            <v>10328</v>
          </cell>
          <cell r="H684">
            <v>1.0225</v>
          </cell>
          <cell r="I684">
            <v>10101</v>
          </cell>
        </row>
        <row r="685">
          <cell r="B685">
            <v>38231</v>
          </cell>
          <cell r="C685" t="str">
            <v>Fri</v>
          </cell>
          <cell r="D685">
            <v>38240.416666666664</v>
          </cell>
          <cell r="E685">
            <v>0</v>
          </cell>
          <cell r="F685">
            <v>0</v>
          </cell>
          <cell r="G685">
            <v>9351</v>
          </cell>
          <cell r="H685">
            <v>1.0217500000000002</v>
          </cell>
          <cell r="I685">
            <v>9152</v>
          </cell>
        </row>
        <row r="686">
          <cell r="B686">
            <v>38231</v>
          </cell>
          <cell r="C686" t="str">
            <v>Sat</v>
          </cell>
          <cell r="D686">
            <v>38241.416666666664</v>
          </cell>
          <cell r="E686">
            <v>0</v>
          </cell>
          <cell r="F686">
            <v>0</v>
          </cell>
          <cell r="G686">
            <v>8480</v>
          </cell>
          <cell r="H686">
            <v>1.0229999999999999</v>
          </cell>
          <cell r="I686">
            <v>8289</v>
          </cell>
        </row>
        <row r="687">
          <cell r="B687">
            <v>38231</v>
          </cell>
          <cell r="C687" t="str">
            <v>Sun</v>
          </cell>
          <cell r="D687">
            <v>38242.416666666664</v>
          </cell>
          <cell r="E687">
            <v>0</v>
          </cell>
          <cell r="F687">
            <v>0</v>
          </cell>
          <cell r="G687">
            <v>9573</v>
          </cell>
          <cell r="H687">
            <v>1.02525</v>
          </cell>
          <cell r="I687">
            <v>9337</v>
          </cell>
        </row>
        <row r="688">
          <cell r="B688">
            <v>38231</v>
          </cell>
          <cell r="C688" t="str">
            <v>Mon</v>
          </cell>
          <cell r="D688">
            <v>38243.416666666664</v>
          </cell>
          <cell r="E688">
            <v>0</v>
          </cell>
          <cell r="F688">
            <v>0</v>
          </cell>
          <cell r="G688">
            <v>11035</v>
          </cell>
          <cell r="H688">
            <v>1.0242499999999999</v>
          </cell>
          <cell r="I688">
            <v>10774</v>
          </cell>
        </row>
        <row r="689">
          <cell r="B689">
            <v>38231</v>
          </cell>
          <cell r="C689" t="str">
            <v>Tue</v>
          </cell>
          <cell r="D689">
            <v>38244.416666666664</v>
          </cell>
          <cell r="E689">
            <v>0</v>
          </cell>
          <cell r="F689">
            <v>0</v>
          </cell>
          <cell r="G689">
            <v>10762</v>
          </cell>
          <cell r="H689">
            <v>1.0229999999999999</v>
          </cell>
          <cell r="I689">
            <v>10520</v>
          </cell>
        </row>
        <row r="690">
          <cell r="B690">
            <v>38231</v>
          </cell>
          <cell r="C690" t="str">
            <v>Wed</v>
          </cell>
          <cell r="D690">
            <v>38245.416666666664</v>
          </cell>
          <cell r="E690">
            <v>0</v>
          </cell>
          <cell r="F690">
            <v>0</v>
          </cell>
          <cell r="G690">
            <v>10267</v>
          </cell>
          <cell r="H690">
            <v>1.0225</v>
          </cell>
          <cell r="I690">
            <v>10041</v>
          </cell>
        </row>
        <row r="691">
          <cell r="B691">
            <v>38231</v>
          </cell>
          <cell r="C691" t="str">
            <v>Thu</v>
          </cell>
          <cell r="D691">
            <v>38246.416666666664</v>
          </cell>
          <cell r="E691">
            <v>0</v>
          </cell>
          <cell r="F691">
            <v>0</v>
          </cell>
          <cell r="G691">
            <v>8120</v>
          </cell>
          <cell r="H691">
            <v>1.0217499999999999</v>
          </cell>
          <cell r="I691">
            <v>7947</v>
          </cell>
        </row>
        <row r="692">
          <cell r="B692">
            <v>38231</v>
          </cell>
          <cell r="C692" t="str">
            <v>Fri</v>
          </cell>
          <cell r="D692">
            <v>38247.416666666664</v>
          </cell>
          <cell r="E692">
            <v>0</v>
          </cell>
          <cell r="F692">
            <v>0</v>
          </cell>
          <cell r="G692">
            <v>8180</v>
          </cell>
          <cell r="H692">
            <v>1.0235000000000001</v>
          </cell>
          <cell r="I692">
            <v>7992</v>
          </cell>
        </row>
        <row r="693">
          <cell r="B693">
            <v>38231</v>
          </cell>
          <cell r="C693" t="str">
            <v>Sat</v>
          </cell>
          <cell r="D693">
            <v>38248.416666666664</v>
          </cell>
          <cell r="E693">
            <v>0</v>
          </cell>
          <cell r="F693">
            <v>0</v>
          </cell>
          <cell r="G693">
            <v>8299</v>
          </cell>
          <cell r="H693">
            <v>1.0270000000000001</v>
          </cell>
          <cell r="I693">
            <v>8081</v>
          </cell>
        </row>
        <row r="694">
          <cell r="B694">
            <v>38231</v>
          </cell>
          <cell r="C694" t="str">
            <v>Sun</v>
          </cell>
          <cell r="D694">
            <v>38249.416666666664</v>
          </cell>
          <cell r="E694">
            <v>0</v>
          </cell>
          <cell r="F694">
            <v>0</v>
          </cell>
          <cell r="G694">
            <v>9691</v>
          </cell>
          <cell r="H694">
            <v>1.0257499999999999</v>
          </cell>
          <cell r="I694">
            <v>9448</v>
          </cell>
        </row>
        <row r="695">
          <cell r="B695">
            <v>38231</v>
          </cell>
          <cell r="C695" t="str">
            <v>Mon</v>
          </cell>
          <cell r="D695">
            <v>38250.416666666664</v>
          </cell>
          <cell r="E695">
            <v>0</v>
          </cell>
          <cell r="F695">
            <v>0</v>
          </cell>
          <cell r="G695">
            <v>11363</v>
          </cell>
          <cell r="H695">
            <v>1.0277499999999999</v>
          </cell>
          <cell r="I695">
            <v>11056</v>
          </cell>
        </row>
        <row r="696">
          <cell r="B696">
            <v>38231</v>
          </cell>
          <cell r="C696" t="str">
            <v>Tue</v>
          </cell>
          <cell r="D696">
            <v>38251.416666666664</v>
          </cell>
          <cell r="E696">
            <v>0</v>
          </cell>
          <cell r="F696">
            <v>0</v>
          </cell>
          <cell r="G696">
            <v>11093</v>
          </cell>
          <cell r="H696">
            <v>1.038</v>
          </cell>
          <cell r="I696">
            <v>10687</v>
          </cell>
        </row>
        <row r="697">
          <cell r="B697">
            <v>38231</v>
          </cell>
          <cell r="C697" t="str">
            <v>Wed</v>
          </cell>
          <cell r="D697">
            <v>38252.416666666664</v>
          </cell>
          <cell r="E697">
            <v>0</v>
          </cell>
          <cell r="F697">
            <v>0</v>
          </cell>
          <cell r="G697">
            <v>10698</v>
          </cell>
          <cell r="H697">
            <v>1.0455000000000001</v>
          </cell>
          <cell r="I697">
            <v>10232</v>
          </cell>
        </row>
        <row r="698">
          <cell r="B698">
            <v>38231</v>
          </cell>
          <cell r="C698" t="str">
            <v>Thu</v>
          </cell>
          <cell r="D698">
            <v>38253.416666666664</v>
          </cell>
          <cell r="E698">
            <v>0</v>
          </cell>
          <cell r="F698">
            <v>0</v>
          </cell>
          <cell r="G698">
            <v>10123</v>
          </cell>
          <cell r="H698">
            <v>1.04375</v>
          </cell>
          <cell r="I698">
            <v>9699</v>
          </cell>
        </row>
        <row r="699">
          <cell r="B699">
            <v>38231</v>
          </cell>
          <cell r="C699" t="str">
            <v>Fri</v>
          </cell>
          <cell r="D699">
            <v>38254.416666666664</v>
          </cell>
          <cell r="E699">
            <v>0</v>
          </cell>
          <cell r="F699">
            <v>0</v>
          </cell>
          <cell r="G699">
            <v>8870</v>
          </cell>
          <cell r="H699">
            <v>1.0407500000000001</v>
          </cell>
          <cell r="I699">
            <v>8523</v>
          </cell>
        </row>
        <row r="700">
          <cell r="B700">
            <v>38231</v>
          </cell>
          <cell r="C700" t="str">
            <v>Sat</v>
          </cell>
          <cell r="D700">
            <v>38255.416666666664</v>
          </cell>
          <cell r="E700">
            <v>0</v>
          </cell>
          <cell r="F700">
            <v>0</v>
          </cell>
          <cell r="G700">
            <v>8803</v>
          </cell>
          <cell r="H700">
            <v>1.0445</v>
          </cell>
          <cell r="I700">
            <v>8428</v>
          </cell>
        </row>
        <row r="701">
          <cell r="B701">
            <v>38231</v>
          </cell>
          <cell r="C701" t="str">
            <v>Sun</v>
          </cell>
          <cell r="D701">
            <v>38256.416666666664</v>
          </cell>
          <cell r="E701">
            <v>0</v>
          </cell>
          <cell r="F701">
            <v>0</v>
          </cell>
          <cell r="G701">
            <v>9868</v>
          </cell>
          <cell r="H701">
            <v>1.0322499999999999</v>
          </cell>
          <cell r="I701">
            <v>9560</v>
          </cell>
        </row>
        <row r="702">
          <cell r="B702">
            <v>38231</v>
          </cell>
          <cell r="C702" t="str">
            <v>Mon</v>
          </cell>
          <cell r="D702">
            <v>38257.416666666664</v>
          </cell>
          <cell r="E702">
            <v>0</v>
          </cell>
          <cell r="F702">
            <v>0</v>
          </cell>
          <cell r="G702">
            <v>11225</v>
          </cell>
          <cell r="H702">
            <v>1.03125</v>
          </cell>
          <cell r="I702">
            <v>10885</v>
          </cell>
        </row>
        <row r="703">
          <cell r="B703">
            <v>38231</v>
          </cell>
          <cell r="C703" t="str">
            <v>Tue</v>
          </cell>
          <cell r="D703">
            <v>38258.416666666664</v>
          </cell>
          <cell r="E703">
            <v>0</v>
          </cell>
          <cell r="F703">
            <v>0</v>
          </cell>
          <cell r="G703">
            <v>11234</v>
          </cell>
          <cell r="H703">
            <v>1.0274999999999999</v>
          </cell>
          <cell r="I703">
            <v>10933</v>
          </cell>
        </row>
        <row r="704">
          <cell r="B704">
            <v>38231</v>
          </cell>
          <cell r="C704" t="str">
            <v>Wed</v>
          </cell>
          <cell r="D704">
            <v>38259.416666666664</v>
          </cell>
          <cell r="E704">
            <v>0</v>
          </cell>
          <cell r="F704">
            <v>0</v>
          </cell>
          <cell r="G704">
            <v>10985</v>
          </cell>
          <cell r="H704">
            <v>1.0249999999999999</v>
          </cell>
          <cell r="I704">
            <v>10717</v>
          </cell>
        </row>
        <row r="705">
          <cell r="B705">
            <v>38231</v>
          </cell>
          <cell r="C705" t="str">
            <v>Thu</v>
          </cell>
          <cell r="D705">
            <v>38260.416666666664</v>
          </cell>
          <cell r="E705">
            <v>0</v>
          </cell>
          <cell r="F705">
            <v>0</v>
          </cell>
          <cell r="G705">
            <v>10529</v>
          </cell>
          <cell r="H705">
            <v>1.03775</v>
          </cell>
          <cell r="I705">
            <v>10146</v>
          </cell>
        </row>
        <row r="706">
          <cell r="B706">
            <v>38261</v>
          </cell>
          <cell r="C706" t="str">
            <v>Fri</v>
          </cell>
          <cell r="D706">
            <v>38261.416666666664</v>
          </cell>
          <cell r="E706">
            <v>0</v>
          </cell>
          <cell r="F706">
            <v>0</v>
          </cell>
          <cell r="G706">
            <v>9406</v>
          </cell>
          <cell r="H706">
            <v>1.034</v>
          </cell>
          <cell r="I706">
            <v>9097</v>
          </cell>
        </row>
        <row r="707">
          <cell r="B707">
            <v>38261</v>
          </cell>
          <cell r="C707" t="str">
            <v>Sat</v>
          </cell>
          <cell r="D707">
            <v>38262.416666666664</v>
          </cell>
          <cell r="E707">
            <v>0</v>
          </cell>
          <cell r="F707">
            <v>0</v>
          </cell>
          <cell r="G707">
            <v>7707</v>
          </cell>
          <cell r="H707">
            <v>1.02725</v>
          </cell>
          <cell r="I707">
            <v>7503</v>
          </cell>
        </row>
        <row r="708">
          <cell r="B708">
            <v>38261</v>
          </cell>
          <cell r="C708" t="str">
            <v>Sun</v>
          </cell>
          <cell r="D708">
            <v>38263.416666666664</v>
          </cell>
          <cell r="E708">
            <v>0</v>
          </cell>
          <cell r="F708">
            <v>0</v>
          </cell>
          <cell r="G708">
            <v>9252</v>
          </cell>
          <cell r="H708">
            <v>1.0277499999999999</v>
          </cell>
          <cell r="I708">
            <v>9002</v>
          </cell>
        </row>
        <row r="709">
          <cell r="B709">
            <v>38261</v>
          </cell>
          <cell r="C709" t="str">
            <v>Mon</v>
          </cell>
          <cell r="D709">
            <v>38264.416666666664</v>
          </cell>
          <cell r="E709">
            <v>0</v>
          </cell>
          <cell r="F709">
            <v>0</v>
          </cell>
          <cell r="G709">
            <v>11229</v>
          </cell>
          <cell r="H709">
            <v>1.0285</v>
          </cell>
          <cell r="I709">
            <v>10918</v>
          </cell>
        </row>
        <row r="710">
          <cell r="B710">
            <v>38261</v>
          </cell>
          <cell r="C710" t="str">
            <v>Tue</v>
          </cell>
          <cell r="D710">
            <v>38265.416666666664</v>
          </cell>
          <cell r="E710">
            <v>0</v>
          </cell>
          <cell r="F710">
            <v>0</v>
          </cell>
          <cell r="G710">
            <v>11244</v>
          </cell>
          <cell r="H710">
            <v>1.03125</v>
          </cell>
          <cell r="I710">
            <v>10903</v>
          </cell>
        </row>
        <row r="711">
          <cell r="B711">
            <v>38261</v>
          </cell>
          <cell r="C711" t="str">
            <v>Wed</v>
          </cell>
          <cell r="D711">
            <v>38266.416666666664</v>
          </cell>
          <cell r="E711">
            <v>0</v>
          </cell>
          <cell r="F711">
            <v>0</v>
          </cell>
          <cell r="G711">
            <v>10991</v>
          </cell>
          <cell r="H711">
            <v>1.0297499999999999</v>
          </cell>
          <cell r="I711">
            <v>10673</v>
          </cell>
        </row>
        <row r="712">
          <cell r="B712">
            <v>38261</v>
          </cell>
          <cell r="C712" t="str">
            <v>Thu</v>
          </cell>
          <cell r="D712">
            <v>38267.416666666664</v>
          </cell>
          <cell r="E712">
            <v>0</v>
          </cell>
          <cell r="F712">
            <v>0</v>
          </cell>
          <cell r="G712">
            <v>11587</v>
          </cell>
          <cell r="H712">
            <v>1.0289999999999999</v>
          </cell>
          <cell r="I712">
            <v>11260</v>
          </cell>
        </row>
        <row r="713">
          <cell r="B713">
            <v>38261</v>
          </cell>
          <cell r="C713" t="str">
            <v>Fri</v>
          </cell>
          <cell r="D713">
            <v>38268.416666666664</v>
          </cell>
          <cell r="E713">
            <v>0</v>
          </cell>
          <cell r="F713">
            <v>0</v>
          </cell>
          <cell r="G713">
            <v>10062</v>
          </cell>
          <cell r="H713">
            <v>1.0302499999999999</v>
          </cell>
          <cell r="I713">
            <v>9767</v>
          </cell>
        </row>
        <row r="714">
          <cell r="B714">
            <v>38261</v>
          </cell>
          <cell r="C714" t="str">
            <v>Sat</v>
          </cell>
          <cell r="D714">
            <v>38269.416666666664</v>
          </cell>
          <cell r="E714">
            <v>0</v>
          </cell>
          <cell r="F714">
            <v>0</v>
          </cell>
          <cell r="G714">
            <v>8236</v>
          </cell>
          <cell r="H714">
            <v>1.02925</v>
          </cell>
          <cell r="I714">
            <v>8002</v>
          </cell>
        </row>
        <row r="715">
          <cell r="B715">
            <v>38261</v>
          </cell>
          <cell r="C715" t="str">
            <v>Sun</v>
          </cell>
          <cell r="D715">
            <v>38270.416666666664</v>
          </cell>
          <cell r="E715">
            <v>0</v>
          </cell>
          <cell r="F715">
            <v>0</v>
          </cell>
          <cell r="G715">
            <v>9503</v>
          </cell>
          <cell r="H715">
            <v>1.0295000000000001</v>
          </cell>
          <cell r="I715">
            <v>9231</v>
          </cell>
        </row>
        <row r="716">
          <cell r="B716">
            <v>38261</v>
          </cell>
          <cell r="C716" t="str">
            <v>Mon</v>
          </cell>
          <cell r="D716">
            <v>38271.416666666664</v>
          </cell>
          <cell r="E716">
            <v>0</v>
          </cell>
          <cell r="F716">
            <v>0</v>
          </cell>
          <cell r="G716">
            <v>10927</v>
          </cell>
          <cell r="H716">
            <v>1.0302500000000001</v>
          </cell>
          <cell r="I716">
            <v>10606</v>
          </cell>
        </row>
        <row r="717">
          <cell r="B717">
            <v>38261</v>
          </cell>
          <cell r="C717" t="str">
            <v>Tue</v>
          </cell>
          <cell r="D717">
            <v>38272.416666666664</v>
          </cell>
          <cell r="E717">
            <v>0</v>
          </cell>
          <cell r="F717">
            <v>0</v>
          </cell>
          <cell r="G717">
            <v>11072</v>
          </cell>
          <cell r="H717">
            <v>1.0287500000000001</v>
          </cell>
          <cell r="I717">
            <v>10763</v>
          </cell>
        </row>
        <row r="718">
          <cell r="B718">
            <v>38261</v>
          </cell>
          <cell r="C718" t="str">
            <v>Wed</v>
          </cell>
          <cell r="D718">
            <v>38273.416666666664</v>
          </cell>
          <cell r="E718">
            <v>3</v>
          </cell>
          <cell r="F718">
            <v>4</v>
          </cell>
          <cell r="G718">
            <v>12118</v>
          </cell>
          <cell r="H718">
            <v>1.02725</v>
          </cell>
          <cell r="I718">
            <v>11797</v>
          </cell>
        </row>
        <row r="719">
          <cell r="B719">
            <v>38261</v>
          </cell>
          <cell r="C719" t="str">
            <v>Thu</v>
          </cell>
          <cell r="D719">
            <v>38274.416666666664</v>
          </cell>
          <cell r="E719">
            <v>6</v>
          </cell>
          <cell r="F719">
            <v>7</v>
          </cell>
          <cell r="G719">
            <v>12735</v>
          </cell>
          <cell r="H719">
            <v>1.02725</v>
          </cell>
          <cell r="I719">
            <v>12397</v>
          </cell>
        </row>
        <row r="720">
          <cell r="B720">
            <v>38261</v>
          </cell>
          <cell r="C720" t="str">
            <v>Fri</v>
          </cell>
          <cell r="D720">
            <v>38275.416666666664</v>
          </cell>
          <cell r="E720">
            <v>11</v>
          </cell>
          <cell r="F720">
            <v>11</v>
          </cell>
          <cell r="G720">
            <v>13344</v>
          </cell>
          <cell r="H720">
            <v>1.028</v>
          </cell>
          <cell r="I720">
            <v>12981</v>
          </cell>
        </row>
        <row r="721">
          <cell r="B721">
            <v>38261</v>
          </cell>
          <cell r="C721" t="str">
            <v>Sat</v>
          </cell>
          <cell r="D721">
            <v>38276.416666666664</v>
          </cell>
          <cell r="E721">
            <v>2</v>
          </cell>
          <cell r="F721">
            <v>3</v>
          </cell>
          <cell r="G721">
            <v>10418</v>
          </cell>
          <cell r="H721">
            <v>1.0307499999999998</v>
          </cell>
          <cell r="I721">
            <v>10107</v>
          </cell>
        </row>
        <row r="722">
          <cell r="B722">
            <v>38261</v>
          </cell>
          <cell r="C722" t="str">
            <v>Sun</v>
          </cell>
          <cell r="D722">
            <v>38277.416666666664</v>
          </cell>
          <cell r="E722">
            <v>0</v>
          </cell>
          <cell r="F722">
            <v>0</v>
          </cell>
          <cell r="G722">
            <v>10595</v>
          </cell>
          <cell r="H722">
            <v>1.0317499999999999</v>
          </cell>
          <cell r="I722">
            <v>10269</v>
          </cell>
        </row>
        <row r="723">
          <cell r="B723">
            <v>38261</v>
          </cell>
          <cell r="C723" t="str">
            <v>Mon</v>
          </cell>
          <cell r="D723">
            <v>38278.416666666664</v>
          </cell>
          <cell r="E723">
            <v>0</v>
          </cell>
          <cell r="F723">
            <v>0</v>
          </cell>
          <cell r="G723">
            <v>11616</v>
          </cell>
          <cell r="H723">
            <v>1.0257499999999999</v>
          </cell>
          <cell r="I723">
            <v>11324</v>
          </cell>
        </row>
        <row r="724">
          <cell r="B724">
            <v>38261</v>
          </cell>
          <cell r="C724" t="str">
            <v>Tue</v>
          </cell>
          <cell r="D724">
            <v>38279.416666666664</v>
          </cell>
          <cell r="E724">
            <v>0</v>
          </cell>
          <cell r="F724">
            <v>0</v>
          </cell>
          <cell r="G724">
            <v>12055</v>
          </cell>
          <cell r="H724">
            <v>1.0255000000000001</v>
          </cell>
          <cell r="I724">
            <v>11755</v>
          </cell>
        </row>
        <row r="725">
          <cell r="B725">
            <v>38261</v>
          </cell>
          <cell r="C725" t="str">
            <v>Wed</v>
          </cell>
          <cell r="D725">
            <v>38280.416666666664</v>
          </cell>
          <cell r="E725">
            <v>0</v>
          </cell>
          <cell r="F725">
            <v>0</v>
          </cell>
          <cell r="G725">
            <v>11820</v>
          </cell>
          <cell r="H725">
            <v>1.0255000000000001</v>
          </cell>
          <cell r="I725">
            <v>11526</v>
          </cell>
        </row>
        <row r="726">
          <cell r="B726">
            <v>38261</v>
          </cell>
          <cell r="C726" t="str">
            <v>Thu</v>
          </cell>
          <cell r="D726">
            <v>38281.416666666664</v>
          </cell>
          <cell r="E726">
            <v>0</v>
          </cell>
          <cell r="F726">
            <v>0</v>
          </cell>
          <cell r="G726">
            <v>11902</v>
          </cell>
          <cell r="H726">
            <v>1.02725</v>
          </cell>
          <cell r="I726">
            <v>11586</v>
          </cell>
        </row>
        <row r="727">
          <cell r="B727">
            <v>38261</v>
          </cell>
          <cell r="C727" t="str">
            <v>Fri</v>
          </cell>
          <cell r="D727">
            <v>38282.416666666664</v>
          </cell>
          <cell r="E727">
            <v>0</v>
          </cell>
          <cell r="F727">
            <v>0</v>
          </cell>
          <cell r="G727">
            <v>10480</v>
          </cell>
          <cell r="H727">
            <v>1.0277499999999999</v>
          </cell>
          <cell r="I727">
            <v>10197</v>
          </cell>
        </row>
        <row r="728">
          <cell r="B728">
            <v>38261</v>
          </cell>
          <cell r="C728" t="str">
            <v>Sat</v>
          </cell>
          <cell r="D728">
            <v>38283.416666666664</v>
          </cell>
          <cell r="E728">
            <v>0</v>
          </cell>
          <cell r="F728">
            <v>0</v>
          </cell>
          <cell r="G728">
            <v>8634</v>
          </cell>
          <cell r="H728">
            <v>1.03975</v>
          </cell>
          <cell r="I728">
            <v>8304</v>
          </cell>
        </row>
        <row r="729">
          <cell r="B729">
            <v>38261</v>
          </cell>
          <cell r="C729" t="str">
            <v>Sun</v>
          </cell>
          <cell r="D729">
            <v>38284.416666666664</v>
          </cell>
          <cell r="E729">
            <v>0</v>
          </cell>
          <cell r="F729">
            <v>0</v>
          </cell>
          <cell r="G729">
            <v>10000</v>
          </cell>
          <cell r="H729">
            <v>1.0305</v>
          </cell>
          <cell r="I729">
            <v>9704</v>
          </cell>
        </row>
        <row r="730">
          <cell r="B730">
            <v>38261</v>
          </cell>
          <cell r="C730" t="str">
            <v>Mon</v>
          </cell>
          <cell r="D730">
            <v>38285.416666666664</v>
          </cell>
          <cell r="E730">
            <v>0</v>
          </cell>
          <cell r="F730">
            <v>0</v>
          </cell>
          <cell r="G730">
            <v>12117</v>
          </cell>
          <cell r="H730">
            <v>1.0267499999999998</v>
          </cell>
          <cell r="I730">
            <v>11801</v>
          </cell>
        </row>
        <row r="731">
          <cell r="B731">
            <v>38261</v>
          </cell>
          <cell r="C731" t="str">
            <v>Tue</v>
          </cell>
          <cell r="D731">
            <v>38286.416666666664</v>
          </cell>
          <cell r="E731">
            <v>0</v>
          </cell>
          <cell r="F731">
            <v>0</v>
          </cell>
          <cell r="G731">
            <v>11918</v>
          </cell>
          <cell r="H731">
            <v>1.0249999999999999</v>
          </cell>
          <cell r="I731">
            <v>11627</v>
          </cell>
        </row>
        <row r="732">
          <cell r="B732">
            <v>38261</v>
          </cell>
          <cell r="C732" t="str">
            <v>Wed</v>
          </cell>
          <cell r="D732">
            <v>38287.416666666664</v>
          </cell>
          <cell r="E732">
            <v>0</v>
          </cell>
          <cell r="F732">
            <v>0</v>
          </cell>
          <cell r="G732">
            <v>11662</v>
          </cell>
          <cell r="H732">
            <v>1.0237499999999999</v>
          </cell>
          <cell r="I732">
            <v>11391</v>
          </cell>
        </row>
        <row r="733">
          <cell r="B733">
            <v>38261</v>
          </cell>
          <cell r="C733" t="str">
            <v>Thu</v>
          </cell>
          <cell r="D733">
            <v>38288.416666666664</v>
          </cell>
          <cell r="E733">
            <v>0</v>
          </cell>
          <cell r="F733">
            <v>0</v>
          </cell>
          <cell r="G733">
            <v>11121</v>
          </cell>
          <cell r="H733">
            <v>1.0242499999999999</v>
          </cell>
          <cell r="I733">
            <v>10858</v>
          </cell>
        </row>
        <row r="734">
          <cell r="B734">
            <v>38261</v>
          </cell>
          <cell r="C734" t="str">
            <v>Fri</v>
          </cell>
          <cell r="D734">
            <v>38289.416666666664</v>
          </cell>
          <cell r="E734">
            <v>0</v>
          </cell>
          <cell r="F734">
            <v>0</v>
          </cell>
          <cell r="G734">
            <v>9205</v>
          </cell>
          <cell r="H734">
            <v>1.0242499999999999</v>
          </cell>
          <cell r="I734">
            <v>8987</v>
          </cell>
        </row>
        <row r="735">
          <cell r="B735">
            <v>38261</v>
          </cell>
          <cell r="C735" t="str">
            <v>Sat</v>
          </cell>
          <cell r="D735">
            <v>38290.416666666664</v>
          </cell>
          <cell r="E735">
            <v>0</v>
          </cell>
          <cell r="F735">
            <v>0</v>
          </cell>
          <cell r="G735">
            <v>8080</v>
          </cell>
          <cell r="H735">
            <v>1.0229999999999999</v>
          </cell>
          <cell r="I735">
            <v>7898</v>
          </cell>
        </row>
        <row r="736">
          <cell r="B736">
            <v>38261</v>
          </cell>
          <cell r="C736" t="str">
            <v>Sun</v>
          </cell>
          <cell r="D736">
            <v>38291.416666666664</v>
          </cell>
          <cell r="E736">
            <v>0</v>
          </cell>
          <cell r="F736">
            <v>0</v>
          </cell>
          <cell r="G736">
            <v>9007</v>
          </cell>
          <cell r="H736">
            <v>1.0215000000000001</v>
          </cell>
          <cell r="I736">
            <v>8817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38"/>
  <sheetViews>
    <sheetView tabSelected="1" zoomScaleNormal="100" workbookViewId="0">
      <selection activeCell="A6" sqref="A6"/>
    </sheetView>
  </sheetViews>
  <sheetFormatPr defaultRowHeight="13.2" x14ac:dyDescent="0.25"/>
  <cols>
    <col min="1" max="1" width="47.44140625" customWidth="1"/>
    <col min="2" max="2" width="18" bestFit="1" customWidth="1"/>
    <col min="3" max="3" width="14.5546875" customWidth="1"/>
    <col min="4" max="4" width="14.109375" bestFit="1" customWidth="1"/>
    <col min="5" max="5" width="13.109375" bestFit="1" customWidth="1"/>
    <col min="6" max="6" width="13.5546875" bestFit="1" customWidth="1"/>
    <col min="7" max="7" width="11.88671875" customWidth="1"/>
    <col min="8" max="8" width="13.44140625" customWidth="1"/>
    <col min="9" max="9" width="12.33203125" customWidth="1"/>
    <col min="10" max="10" width="13" bestFit="1" customWidth="1"/>
    <col min="11" max="11" width="11.109375" bestFit="1" customWidth="1"/>
    <col min="12" max="12" width="15.33203125" customWidth="1"/>
    <col min="13" max="13" width="11.88671875" customWidth="1"/>
    <col min="14" max="14" width="12.88671875" bestFit="1" customWidth="1"/>
    <col min="15" max="15" width="12.44140625" bestFit="1" customWidth="1"/>
    <col min="16" max="16" width="9.109375" customWidth="1"/>
  </cols>
  <sheetData>
    <row r="1" spans="1:14" ht="17.399999999999999" x14ac:dyDescent="0.3">
      <c r="A1" s="1" t="s">
        <v>18</v>
      </c>
    </row>
    <row r="2" spans="1:14" ht="17.399999999999999" x14ac:dyDescent="0.3">
      <c r="A2" s="1" t="s">
        <v>23</v>
      </c>
      <c r="C2" s="208"/>
    </row>
    <row r="3" spans="1:14" ht="17.399999999999999" x14ac:dyDescent="0.3">
      <c r="A3" s="214" t="s">
        <v>291</v>
      </c>
      <c r="C3" s="250"/>
      <c r="D3" s="249"/>
      <c r="E3" s="249"/>
      <c r="F3" s="249"/>
      <c r="G3" s="249"/>
      <c r="H3" s="2"/>
    </row>
    <row r="4" spans="1:14" ht="17.399999999999999" x14ac:dyDescent="0.3">
      <c r="A4" s="1" t="s">
        <v>8</v>
      </c>
      <c r="C4" s="250"/>
      <c r="D4" s="250"/>
      <c r="E4" s="250"/>
      <c r="F4" s="250"/>
      <c r="G4" s="250"/>
      <c r="H4" s="2"/>
    </row>
    <row r="5" spans="1:14" ht="17.399999999999999" x14ac:dyDescent="0.3">
      <c r="A5" s="457">
        <v>43308</v>
      </c>
      <c r="B5" s="3"/>
    </row>
    <row r="6" spans="1:14" ht="17.399999999999999" x14ac:dyDescent="0.3">
      <c r="A6" s="247"/>
      <c r="C6" s="250"/>
      <c r="D6" s="249"/>
      <c r="E6" s="249"/>
      <c r="F6" s="249"/>
      <c r="G6" s="249"/>
      <c r="L6" s="20"/>
    </row>
    <row r="7" spans="1:14" x14ac:dyDescent="0.25">
      <c r="B7" s="4"/>
      <c r="D7" s="4"/>
    </row>
    <row r="8" spans="1:14" ht="15.6" x14ac:dyDescent="0.3">
      <c r="A8" s="5" t="s">
        <v>9</v>
      </c>
      <c r="B8" s="6"/>
      <c r="C8" s="26">
        <v>30</v>
      </c>
      <c r="D8" s="8"/>
      <c r="E8" s="7">
        <v>31</v>
      </c>
      <c r="F8" s="8"/>
      <c r="G8" s="7">
        <v>31</v>
      </c>
      <c r="H8" s="8"/>
      <c r="I8" s="213">
        <v>28</v>
      </c>
      <c r="J8" s="8"/>
      <c r="K8" s="7">
        <v>31</v>
      </c>
      <c r="L8" s="27">
        <f>+C8+E8+G8+I8+K8</f>
        <v>151</v>
      </c>
    </row>
    <row r="9" spans="1:14" x14ac:dyDescent="0.25">
      <c r="A9" s="9"/>
      <c r="B9" s="461">
        <v>43405</v>
      </c>
      <c r="C9" s="461"/>
      <c r="D9" s="459">
        <v>43435</v>
      </c>
      <c r="E9" s="460"/>
      <c r="F9" s="459">
        <v>43466</v>
      </c>
      <c r="G9" s="460"/>
      <c r="H9" s="459">
        <v>43497</v>
      </c>
      <c r="I9" s="460"/>
      <c r="J9" s="459">
        <v>43525</v>
      </c>
      <c r="K9" s="460"/>
      <c r="L9" s="28" t="s">
        <v>12</v>
      </c>
    </row>
    <row r="10" spans="1:14" x14ac:dyDescent="0.25">
      <c r="A10" s="10"/>
      <c r="B10" s="11" t="s">
        <v>10</v>
      </c>
      <c r="C10" s="11" t="s">
        <v>11</v>
      </c>
      <c r="D10" s="13" t="s">
        <v>10</v>
      </c>
      <c r="E10" s="12" t="s">
        <v>11</v>
      </c>
      <c r="F10" s="13" t="s">
        <v>10</v>
      </c>
      <c r="G10" s="12" t="s">
        <v>11</v>
      </c>
      <c r="H10" s="13" t="s">
        <v>10</v>
      </c>
      <c r="I10" s="12" t="s">
        <v>11</v>
      </c>
      <c r="J10" s="13" t="s">
        <v>10</v>
      </c>
      <c r="K10" s="12" t="s">
        <v>11</v>
      </c>
      <c r="L10" s="29" t="s">
        <v>10</v>
      </c>
    </row>
    <row r="11" spans="1:14" x14ac:dyDescent="0.25">
      <c r="A11" s="226" t="s">
        <v>0</v>
      </c>
      <c r="B11" s="251">
        <f>+C11*C8</f>
        <v>325080</v>
      </c>
      <c r="C11" s="458">
        <f>+'Texas Gas Zone 2, KY'!J50</f>
        <v>10836</v>
      </c>
      <c r="D11" s="251">
        <f>E11*E8</f>
        <v>587357</v>
      </c>
      <c r="E11" s="458">
        <f>+'Texas Gas Zone 2, KY'!K50</f>
        <v>18947</v>
      </c>
      <c r="F11" s="251">
        <f>G11*G8</f>
        <v>726020</v>
      </c>
      <c r="G11" s="458">
        <f>+'Texas Gas Zone 2, KY'!L50</f>
        <v>23420</v>
      </c>
      <c r="H11" s="251">
        <f>I11*I8</f>
        <v>584024</v>
      </c>
      <c r="I11" s="458">
        <f>+'Texas Gas Zone 2, KY'!M50</f>
        <v>20858</v>
      </c>
      <c r="J11" s="251">
        <f>K11*K8</f>
        <v>415741</v>
      </c>
      <c r="K11" s="458">
        <f>+'Texas Gas Zone 2, KY'!N50</f>
        <v>13411</v>
      </c>
      <c r="L11" s="158">
        <f>+B11+D11+F11+H11+J11</f>
        <v>2638222</v>
      </c>
    </row>
    <row r="12" spans="1:14" x14ac:dyDescent="0.25">
      <c r="A12" s="100"/>
      <c r="B12" s="108"/>
      <c r="C12" s="109"/>
      <c r="D12" s="108"/>
      <c r="E12" s="110"/>
      <c r="F12" s="108"/>
      <c r="G12" s="110"/>
      <c r="H12" s="108"/>
      <c r="I12" s="110"/>
      <c r="J12" s="108"/>
      <c r="K12" s="110"/>
      <c r="L12" s="176"/>
    </row>
    <row r="13" spans="1:14" x14ac:dyDescent="0.25">
      <c r="A13" s="227" t="s">
        <v>15</v>
      </c>
      <c r="B13" s="252">
        <f>+C13*C$8</f>
        <v>131580</v>
      </c>
      <c r="C13" s="243">
        <f>+C11-C14-C15</f>
        <v>4386</v>
      </c>
      <c r="D13" s="252">
        <f>+E13*E$8</f>
        <v>242857.00000000003</v>
      </c>
      <c r="E13" s="243">
        <f>+E11-E14-E15</f>
        <v>7834.0967741935492</v>
      </c>
      <c r="F13" s="252">
        <f>+G13*G$8</f>
        <v>328120</v>
      </c>
      <c r="G13" s="243">
        <f>+G11-G14-G15</f>
        <v>10584.516129032258</v>
      </c>
      <c r="H13" s="252">
        <f>+I13*I$8</f>
        <v>233674</v>
      </c>
      <c r="I13" s="243">
        <f>+I11-I14-I15</f>
        <v>8345.5</v>
      </c>
      <c r="J13" s="252">
        <f>+K13*K$8</f>
        <v>137991</v>
      </c>
      <c r="K13" s="243">
        <f>+K11-K14-K15</f>
        <v>4451.322580645161</v>
      </c>
      <c r="L13" s="253">
        <f>B13+D13+F13+H13+J13</f>
        <v>1074222</v>
      </c>
    </row>
    <row r="14" spans="1:14" s="16" customFormat="1" x14ac:dyDescent="0.25">
      <c r="A14" s="258" t="s">
        <v>22</v>
      </c>
      <c r="B14" s="256">
        <f t="shared" ref="B14:D15" si="0">+C14*C$8</f>
        <v>133500</v>
      </c>
      <c r="C14" s="568">
        <f>+C78</f>
        <v>4450</v>
      </c>
      <c r="D14" s="256">
        <f t="shared" si="0"/>
        <v>267000</v>
      </c>
      <c r="E14" s="568">
        <f>+E78</f>
        <v>8612.9032258064508</v>
      </c>
      <c r="F14" s="256">
        <f t="shared" ref="F14" si="1">+G14*G$8</f>
        <v>320400</v>
      </c>
      <c r="G14" s="568">
        <f>+G78</f>
        <v>10335.483870967742</v>
      </c>
      <c r="H14" s="256">
        <f t="shared" ref="H14" si="2">+I14*I$8</f>
        <v>280350</v>
      </c>
      <c r="I14" s="568">
        <f>+I78</f>
        <v>10012.5</v>
      </c>
      <c r="J14" s="256">
        <f t="shared" ref="J14" si="3">+K14*K$8</f>
        <v>200250</v>
      </c>
      <c r="K14" s="256">
        <f>+K78</f>
        <v>6459.677419354839</v>
      </c>
      <c r="L14" s="257">
        <f>B14+D14+F14+H14+J14</f>
        <v>1201500</v>
      </c>
      <c r="M14" s="99">
        <f>+L14/N14</f>
        <v>0.9</v>
      </c>
      <c r="N14" s="25">
        <v>1335000</v>
      </c>
    </row>
    <row r="15" spans="1:14" s="16" customFormat="1" x14ac:dyDescent="0.25">
      <c r="A15" s="228" t="s">
        <v>19</v>
      </c>
      <c r="B15" s="252">
        <f t="shared" si="0"/>
        <v>60000</v>
      </c>
      <c r="C15" s="104">
        <v>2000</v>
      </c>
      <c r="D15" s="252">
        <f t="shared" si="0"/>
        <v>77500</v>
      </c>
      <c r="E15" s="104">
        <v>2500</v>
      </c>
      <c r="F15" s="252">
        <f t="shared" ref="F15" si="4">+G15*G$8</f>
        <v>77500</v>
      </c>
      <c r="G15" s="104">
        <v>2500</v>
      </c>
      <c r="H15" s="252">
        <f t="shared" ref="H15" si="5">+I15*I$8</f>
        <v>70000</v>
      </c>
      <c r="I15" s="104">
        <v>2500</v>
      </c>
      <c r="J15" s="252">
        <f t="shared" ref="J15" si="6">+K15*K$8</f>
        <v>77500</v>
      </c>
      <c r="K15" s="104">
        <v>2500</v>
      </c>
      <c r="L15" s="106">
        <f>B15+D15+F15+H15+J15</f>
        <v>362500</v>
      </c>
      <c r="N15" s="25"/>
    </row>
    <row r="16" spans="1:14" x14ac:dyDescent="0.25">
      <c r="A16" s="229" t="s">
        <v>12</v>
      </c>
      <c r="B16" s="35">
        <f>SUM(B13:B15)</f>
        <v>325080</v>
      </c>
      <c r="C16" s="36"/>
      <c r="D16" s="35">
        <f t="shared" ref="D16:J16" si="7">SUM(D13:D15)</f>
        <v>587357</v>
      </c>
      <c r="E16" s="37"/>
      <c r="F16" s="35">
        <f t="shared" si="7"/>
        <v>726020</v>
      </c>
      <c r="G16" s="37"/>
      <c r="H16" s="35">
        <f t="shared" si="7"/>
        <v>584024</v>
      </c>
      <c r="I16" s="37"/>
      <c r="J16" s="35">
        <f t="shared" si="7"/>
        <v>415741</v>
      </c>
      <c r="K16" s="37"/>
      <c r="L16" s="38">
        <f>B16+D16+F16+H16+J16</f>
        <v>2638222</v>
      </c>
      <c r="N16" s="24"/>
    </row>
    <row r="17" spans="1:15" x14ac:dyDescent="0.25">
      <c r="A17" s="230"/>
      <c r="B17" s="252"/>
      <c r="C17" s="243"/>
      <c r="D17" s="252"/>
      <c r="E17" s="244"/>
      <c r="F17" s="252"/>
      <c r="G17" s="244"/>
      <c r="H17" s="252"/>
      <c r="I17" s="244"/>
      <c r="J17" s="252"/>
      <c r="K17" s="244"/>
      <c r="L17" s="253"/>
      <c r="N17" s="24"/>
    </row>
    <row r="18" spans="1:15" x14ac:dyDescent="0.25">
      <c r="A18" s="100" t="s">
        <v>1</v>
      </c>
      <c r="B18" s="252">
        <f>+C18*C8</f>
        <v>1199400</v>
      </c>
      <c r="C18" s="244">
        <f>+'Texas Gas Zone 3 North, KY'!J50+'Texas Gas Zone 3 South, KY'!J50</f>
        <v>39980</v>
      </c>
      <c r="D18" s="252">
        <f>+E18*E8</f>
        <v>2064910</v>
      </c>
      <c r="E18" s="244">
        <f>+'Texas Gas Zone 3 North, KY'!K50+'Texas Gas Zone 3 South, KY'!K50</f>
        <v>66610</v>
      </c>
      <c r="F18" s="252">
        <f>+G18*G8</f>
        <v>2524423</v>
      </c>
      <c r="G18" s="244">
        <f>+'Texas Gas Zone 3 North, KY'!L50+'Texas Gas Zone 3 South, KY'!L50</f>
        <v>81433</v>
      </c>
      <c r="H18" s="252">
        <f>+I18*I8</f>
        <v>1987132</v>
      </c>
      <c r="I18" s="244">
        <f>+'Texas Gas Zone 3 North, KY'!M50+'Texas Gas Zone 3 South, KY'!M50</f>
        <v>70969</v>
      </c>
      <c r="J18" s="252">
        <f>+K18*K8</f>
        <v>1406563</v>
      </c>
      <c r="K18" s="244">
        <f>+'Texas Gas Zone 3 North, KY'!N50+'Texas Gas Zone 3 South, KY'!N50</f>
        <v>45373</v>
      </c>
      <c r="L18" s="253">
        <f>+B18+D18+F18+H18+J18</f>
        <v>9182428</v>
      </c>
      <c r="N18" s="24"/>
    </row>
    <row r="19" spans="1:15" x14ac:dyDescent="0.25">
      <c r="A19" s="100"/>
      <c r="B19" s="252"/>
      <c r="C19" s="243"/>
      <c r="D19" s="252"/>
      <c r="E19" s="244"/>
      <c r="F19" s="252"/>
      <c r="G19" s="244"/>
      <c r="H19" s="252"/>
      <c r="I19" s="244"/>
      <c r="J19" s="252"/>
      <c r="K19" s="244"/>
      <c r="L19" s="253"/>
      <c r="N19" s="24"/>
    </row>
    <row r="20" spans="1:15" x14ac:dyDescent="0.25">
      <c r="A20" s="231" t="s">
        <v>15</v>
      </c>
      <c r="B20" s="252">
        <f>ROUND((C20*C$8),0)</f>
        <v>539550</v>
      </c>
      <c r="C20" s="243">
        <f>ROUND((C18-C21-C22-C23-C24),0)</f>
        <v>17985</v>
      </c>
      <c r="D20" s="252">
        <f>ROUND((E20*E$8),0)</f>
        <v>1136150</v>
      </c>
      <c r="E20" s="243">
        <f>ROUND((E18-E21-E22-E23-E24),0)</f>
        <v>36650</v>
      </c>
      <c r="F20" s="252">
        <f>ROUND((G20*G$8),0)</f>
        <v>1305472</v>
      </c>
      <c r="G20" s="243">
        <f>ROUND((G18-G21-G22-G23-G24),0)</f>
        <v>42112</v>
      </c>
      <c r="H20" s="252">
        <f>ROUND((I20*I$8),0)</f>
        <v>527436</v>
      </c>
      <c r="I20" s="243">
        <f>ROUND((I18-I21-I22-I23-I24),0)</f>
        <v>18837</v>
      </c>
      <c r="J20" s="252">
        <f>ROUND((K20*K$8),0)</f>
        <v>9486</v>
      </c>
      <c r="K20" s="243">
        <f>ROUND((K18-K21-K22-K23-K24),0)</f>
        <v>306</v>
      </c>
      <c r="L20" s="253">
        <f t="shared" ref="L20:L26" si="8">B20+D20+F20+H20+J20</f>
        <v>3518094</v>
      </c>
      <c r="N20" s="24"/>
    </row>
    <row r="21" spans="1:15" s="16" customFormat="1" x14ac:dyDescent="0.25">
      <c r="A21" s="258" t="s">
        <v>22</v>
      </c>
      <c r="B21" s="260">
        <f>+C21*C$8</f>
        <v>213000</v>
      </c>
      <c r="C21" s="568">
        <f>+C79</f>
        <v>7100</v>
      </c>
      <c r="D21" s="260">
        <f>+E21*E$8</f>
        <v>426000</v>
      </c>
      <c r="E21" s="568">
        <f>+E79</f>
        <v>13741.935483870968</v>
      </c>
      <c r="F21" s="260">
        <f>+G21*G$8</f>
        <v>511200.00000000006</v>
      </c>
      <c r="G21" s="568">
        <f>+G79</f>
        <v>16490.322580645163</v>
      </c>
      <c r="H21" s="260">
        <f>+I21*I$8</f>
        <v>447300</v>
      </c>
      <c r="I21" s="568">
        <f>+I79</f>
        <v>15975</v>
      </c>
      <c r="J21" s="260">
        <f>+K21*K$8</f>
        <v>319500</v>
      </c>
      <c r="K21" s="568">
        <f>+K79</f>
        <v>10306.451612903225</v>
      </c>
      <c r="L21" s="257">
        <f t="shared" si="8"/>
        <v>1917000</v>
      </c>
      <c r="M21" s="99">
        <f>+L21/N21</f>
        <v>0.9</v>
      </c>
      <c r="N21" s="25">
        <v>2130000</v>
      </c>
    </row>
    <row r="22" spans="1:15" s="16" customFormat="1" x14ac:dyDescent="0.25">
      <c r="A22" s="261" t="s">
        <v>197</v>
      </c>
      <c r="B22" s="260">
        <f>+C22*C$8</f>
        <v>154440</v>
      </c>
      <c r="C22" s="263">
        <f>ROUND((E93+E101+E108),0)</f>
        <v>5148</v>
      </c>
      <c r="D22" s="260">
        <f t="shared" ref="D22:D23" si="9">+E22*E$8</f>
        <v>159588</v>
      </c>
      <c r="E22" s="263">
        <f>ROUND((G93+G101+G108),0)</f>
        <v>5148</v>
      </c>
      <c r="F22" s="260">
        <f t="shared" ref="F22:F23" si="10">+G22*G$8</f>
        <v>159588</v>
      </c>
      <c r="G22" s="263">
        <f>ROUND((I93+I101+I108),0)</f>
        <v>5148</v>
      </c>
      <c r="H22" s="260">
        <f t="shared" ref="H22:H23" si="11">+I22*I$8</f>
        <v>293468</v>
      </c>
      <c r="I22" s="263">
        <f>ROUND((K93+K101+K108),0)</f>
        <v>10481</v>
      </c>
      <c r="J22" s="260">
        <f t="shared" ref="J22:J23" si="12">+K22*K$8</f>
        <v>257827</v>
      </c>
      <c r="K22" s="262">
        <f>ROUND((M93+M101+M108),0)</f>
        <v>8317</v>
      </c>
      <c r="L22" s="257">
        <f t="shared" si="8"/>
        <v>1024911</v>
      </c>
      <c r="M22" s="99">
        <f>+L22/N22</f>
        <v>0.65115470873385473</v>
      </c>
      <c r="N22" s="23">
        <f>+A59</f>
        <v>1573990</v>
      </c>
    </row>
    <row r="23" spans="1:15" s="16" customFormat="1" x14ac:dyDescent="0.25">
      <c r="A23" s="261" t="s">
        <v>198</v>
      </c>
      <c r="B23" s="260">
        <f>+C23*C$8</f>
        <v>292410</v>
      </c>
      <c r="C23" s="263">
        <f>ROUND((E115+E122),0)</f>
        <v>9747</v>
      </c>
      <c r="D23" s="260">
        <f t="shared" si="9"/>
        <v>302157</v>
      </c>
      <c r="E23" s="263">
        <f>ROUND((G115+G122),0)</f>
        <v>9747</v>
      </c>
      <c r="F23" s="260">
        <f t="shared" si="10"/>
        <v>302157</v>
      </c>
      <c r="G23" s="263">
        <f>ROUND((I115+I122),0)</f>
        <v>9747</v>
      </c>
      <c r="H23" s="260">
        <f t="shared" si="11"/>
        <v>440104</v>
      </c>
      <c r="I23" s="263">
        <f>ROUND((K115+K122),0)</f>
        <v>15718</v>
      </c>
      <c r="J23" s="260">
        <f t="shared" si="12"/>
        <v>350393</v>
      </c>
      <c r="K23" s="262">
        <f>ROUND((M115+M122),0)</f>
        <v>11303</v>
      </c>
      <c r="L23" s="257">
        <f t="shared" si="8"/>
        <v>1687221</v>
      </c>
      <c r="M23" s="99">
        <f>+L23/N23</f>
        <v>0.56622467550380517</v>
      </c>
      <c r="N23" s="23">
        <f>+A62</f>
        <v>2979773</v>
      </c>
    </row>
    <row r="24" spans="1:15" x14ac:dyDescent="0.25">
      <c r="A24" s="264" t="s">
        <v>290</v>
      </c>
      <c r="B24" s="260">
        <v>0</v>
      </c>
      <c r="C24" s="262">
        <f>+B24*C8</f>
        <v>0</v>
      </c>
      <c r="D24" s="569">
        <f>20500*2</f>
        <v>41000</v>
      </c>
      <c r="E24" s="256">
        <f>+D24/E8</f>
        <v>1322.5806451612902</v>
      </c>
      <c r="F24" s="569">
        <f>20500*12</f>
        <v>246000</v>
      </c>
      <c r="G24" s="256">
        <f>+F24/G8</f>
        <v>7935.4838709677415</v>
      </c>
      <c r="H24" s="569">
        <f>(20500*4)+(15141*13)</f>
        <v>278833</v>
      </c>
      <c r="I24" s="256">
        <f>+H24/I8</f>
        <v>9958.3214285714294</v>
      </c>
      <c r="J24" s="569">
        <f>(15141*31)</f>
        <v>469371</v>
      </c>
      <c r="K24" s="256">
        <f>+J24/K8</f>
        <v>15141</v>
      </c>
      <c r="L24" s="257">
        <f t="shared" si="8"/>
        <v>1035204</v>
      </c>
      <c r="M24" s="99">
        <f>+L24/N24</f>
        <v>0.57711721254355397</v>
      </c>
      <c r="N24" s="23">
        <f>+A65</f>
        <v>1793750</v>
      </c>
      <c r="O24" s="289"/>
    </row>
    <row r="25" spans="1:15" x14ac:dyDescent="0.25">
      <c r="A25" s="259" t="s">
        <v>201</v>
      </c>
      <c r="B25" s="252">
        <v>0</v>
      </c>
      <c r="C25" s="243">
        <f t="shared" ref="C25:E26" si="13">B25/C$8</f>
        <v>0</v>
      </c>
      <c r="D25" s="252">
        <v>0</v>
      </c>
      <c r="E25" s="244">
        <f t="shared" si="13"/>
        <v>0</v>
      </c>
      <c r="F25" s="252">
        <v>0</v>
      </c>
      <c r="G25" s="244">
        <f t="shared" ref="G25:G26" si="14">F25/G$8</f>
        <v>0</v>
      </c>
      <c r="H25" s="252">
        <v>0</v>
      </c>
      <c r="I25" s="244">
        <f t="shared" ref="I25:I26" si="15">H25/I$8</f>
        <v>0</v>
      </c>
      <c r="J25" s="252">
        <v>0</v>
      </c>
      <c r="K25" s="244">
        <f>J25/K$8</f>
        <v>0</v>
      </c>
      <c r="L25" s="253">
        <f t="shared" si="8"/>
        <v>0</v>
      </c>
      <c r="M25" s="14"/>
    </row>
    <row r="26" spans="1:15" x14ac:dyDescent="0.25">
      <c r="A26" s="232" t="s">
        <v>196</v>
      </c>
      <c r="B26" s="254">
        <v>0</v>
      </c>
      <c r="C26" s="243">
        <f t="shared" si="13"/>
        <v>0</v>
      </c>
      <c r="D26" s="254">
        <v>0</v>
      </c>
      <c r="E26" s="244">
        <f t="shared" si="13"/>
        <v>0</v>
      </c>
      <c r="F26" s="254">
        <v>0</v>
      </c>
      <c r="G26" s="244">
        <f t="shared" si="14"/>
        <v>0</v>
      </c>
      <c r="H26" s="254">
        <v>0</v>
      </c>
      <c r="I26" s="244">
        <f t="shared" si="15"/>
        <v>0</v>
      </c>
      <c r="J26" s="254">
        <v>0</v>
      </c>
      <c r="K26" s="244">
        <f>J26/K$8</f>
        <v>0</v>
      </c>
      <c r="L26" s="253">
        <f t="shared" si="8"/>
        <v>0</v>
      </c>
    </row>
    <row r="27" spans="1:15" x14ac:dyDescent="0.25">
      <c r="A27" s="233" t="s">
        <v>12</v>
      </c>
      <c r="B27" s="35">
        <f>SUM(B20:B26)</f>
        <v>1199400</v>
      </c>
      <c r="C27" s="36"/>
      <c r="D27" s="35">
        <f t="shared" ref="D27:J27" si="16">SUM(D20:D26)</f>
        <v>2064895</v>
      </c>
      <c r="E27" s="37"/>
      <c r="F27" s="35">
        <f t="shared" si="16"/>
        <v>2524417</v>
      </c>
      <c r="G27" s="37"/>
      <c r="H27" s="35">
        <f t="shared" si="16"/>
        <v>1987141</v>
      </c>
      <c r="I27" s="37"/>
      <c r="J27" s="35">
        <f t="shared" si="16"/>
        <v>1406577</v>
      </c>
      <c r="K27" s="37"/>
      <c r="L27" s="38">
        <f>SUM(L20:L26)</f>
        <v>9182430</v>
      </c>
    </row>
    <row r="28" spans="1:15" x14ac:dyDescent="0.25">
      <c r="A28" s="234"/>
      <c r="B28" s="252"/>
      <c r="C28" s="243"/>
      <c r="D28" s="252"/>
      <c r="E28" s="244"/>
      <c r="F28" s="252"/>
      <c r="G28" s="244"/>
      <c r="H28" s="252"/>
      <c r="I28" s="244"/>
      <c r="J28" s="252"/>
      <c r="K28" s="244"/>
      <c r="L28" s="253"/>
    </row>
    <row r="29" spans="1:15" x14ac:dyDescent="0.25">
      <c r="A29" s="100" t="s">
        <v>2</v>
      </c>
      <c r="B29" s="252">
        <f>+C29*C8</f>
        <v>121800</v>
      </c>
      <c r="C29" s="244">
        <f>+'Texas Gas Zone 4, KY'!J50</f>
        <v>4060</v>
      </c>
      <c r="D29" s="252">
        <f>+E29*E8</f>
        <v>214706</v>
      </c>
      <c r="E29" s="244">
        <f>+'Texas Gas Zone 4, KY'!K50</f>
        <v>6926</v>
      </c>
      <c r="F29" s="252">
        <f>+G29*G8</f>
        <v>259129</v>
      </c>
      <c r="G29" s="244">
        <f>+'Texas Gas Zone 4, KY'!L50</f>
        <v>8359</v>
      </c>
      <c r="H29" s="252">
        <f>+I29*I8</f>
        <v>203700</v>
      </c>
      <c r="I29" s="244">
        <f>+'Texas Gas Zone 4, KY'!M50</f>
        <v>7275</v>
      </c>
      <c r="J29" s="252">
        <f>+K29*K8</f>
        <v>149947</v>
      </c>
      <c r="K29" s="244">
        <f>+'Texas Gas Zone 4, KY'!N50</f>
        <v>4837</v>
      </c>
      <c r="L29" s="253">
        <f>+B29+D29+F29+H29+J29</f>
        <v>949282</v>
      </c>
    </row>
    <row r="30" spans="1:15" x14ac:dyDescent="0.25">
      <c r="A30" s="100"/>
      <c r="B30" s="252"/>
      <c r="C30" s="243"/>
      <c r="D30" s="252"/>
      <c r="E30" s="244"/>
      <c r="F30" s="252"/>
      <c r="G30" s="244"/>
      <c r="H30" s="252"/>
      <c r="I30" s="244"/>
      <c r="J30" s="252"/>
      <c r="K30" s="244"/>
      <c r="L30" s="253"/>
    </row>
    <row r="31" spans="1:15" x14ac:dyDescent="0.25">
      <c r="A31" s="234" t="s">
        <v>15</v>
      </c>
      <c r="B31" s="243">
        <f>+C31*C8</f>
        <v>84180</v>
      </c>
      <c r="C31" s="244">
        <f>ROUND((+C29-C32),0)</f>
        <v>2806</v>
      </c>
      <c r="D31" s="243">
        <f>+E31*E8</f>
        <v>139469</v>
      </c>
      <c r="E31" s="244">
        <f>ROUND((+E29-E32),0)</f>
        <v>4499</v>
      </c>
      <c r="F31" s="243">
        <f>+G31*G8</f>
        <v>168857</v>
      </c>
      <c r="G31" s="244">
        <f>ROUND((+G29-G32),0)</f>
        <v>5447</v>
      </c>
      <c r="H31" s="243">
        <f>+I31*I8</f>
        <v>124712</v>
      </c>
      <c r="I31" s="244">
        <f>ROUND((+I29-I32),0)</f>
        <v>4454</v>
      </c>
      <c r="J31" s="243">
        <f>+K31*K8</f>
        <v>93527</v>
      </c>
      <c r="K31" s="244">
        <f>ROUND((+K29-K32),0)</f>
        <v>3017</v>
      </c>
      <c r="L31" s="253">
        <f>B31+D31+F31+H31+J31</f>
        <v>610745</v>
      </c>
    </row>
    <row r="32" spans="1:15" s="16" customFormat="1" x14ac:dyDescent="0.25">
      <c r="A32" s="265" t="s">
        <v>22</v>
      </c>
      <c r="B32" s="266">
        <f>+C32*C8</f>
        <v>37615</v>
      </c>
      <c r="C32" s="256">
        <f>+C80</f>
        <v>1253.8333333333333</v>
      </c>
      <c r="D32" s="266">
        <f>+E32*E8</f>
        <v>75230</v>
      </c>
      <c r="E32" s="256">
        <f>+E80</f>
        <v>2426.7741935483873</v>
      </c>
      <c r="F32" s="266">
        <f>+G32*G8</f>
        <v>90276</v>
      </c>
      <c r="G32" s="256">
        <f>+G80</f>
        <v>2912.1290322580644</v>
      </c>
      <c r="H32" s="266">
        <f>+I32*I8</f>
        <v>78991.5</v>
      </c>
      <c r="I32" s="256">
        <f>+I80</f>
        <v>2821.125</v>
      </c>
      <c r="J32" s="266">
        <f>+K32*K8</f>
        <v>56422.5</v>
      </c>
      <c r="K32" s="256">
        <f>+K80</f>
        <v>1820.0806451612902</v>
      </c>
      <c r="L32" s="267">
        <f>B32+D32+F32+H32+J32</f>
        <v>338535</v>
      </c>
      <c r="M32" s="99">
        <f>+L32/N32</f>
        <v>0.9</v>
      </c>
      <c r="N32" s="25">
        <v>376150</v>
      </c>
    </row>
    <row r="33" spans="1:21" x14ac:dyDescent="0.25">
      <c r="A33" s="233" t="s">
        <v>12</v>
      </c>
      <c r="B33" s="35">
        <f>B31+B32</f>
        <v>121795</v>
      </c>
      <c r="C33" s="209"/>
      <c r="D33" s="35">
        <f t="shared" ref="D33:J33" si="17">D31+D32</f>
        <v>214699</v>
      </c>
      <c r="E33" s="37"/>
      <c r="F33" s="35">
        <f t="shared" si="17"/>
        <v>259133</v>
      </c>
      <c r="G33" s="37"/>
      <c r="H33" s="35">
        <f t="shared" si="17"/>
        <v>203703.5</v>
      </c>
      <c r="I33" s="37"/>
      <c r="J33" s="35">
        <f t="shared" si="17"/>
        <v>149949.5</v>
      </c>
      <c r="K33" s="37"/>
      <c r="L33" s="38">
        <f>B33+D33+F33+H33+J33</f>
        <v>949280</v>
      </c>
      <c r="N33" s="20"/>
    </row>
    <row r="34" spans="1:21" x14ac:dyDescent="0.25">
      <c r="A34" s="235"/>
      <c r="B34" s="252"/>
      <c r="C34" s="245"/>
      <c r="D34" s="243"/>
      <c r="E34" s="255"/>
      <c r="F34" s="252"/>
      <c r="G34" s="255"/>
      <c r="H34" s="252"/>
      <c r="I34" s="255"/>
      <c r="J34" s="252"/>
      <c r="K34" s="255"/>
      <c r="L34" s="253"/>
      <c r="O34" s="24"/>
    </row>
    <row r="35" spans="1:21" ht="13.8" thickBot="1" x14ac:dyDescent="0.3">
      <c r="A35" s="236" t="s">
        <v>17</v>
      </c>
      <c r="B35" s="33">
        <f>+B11+B18+B29</f>
        <v>1646280</v>
      </c>
      <c r="C35" s="210"/>
      <c r="D35" s="33">
        <f>+D11+D18+D29</f>
        <v>2866973</v>
      </c>
      <c r="E35" s="210"/>
      <c r="F35" s="33">
        <f>+F11+F18+F29</f>
        <v>3509572</v>
      </c>
      <c r="G35" s="210"/>
      <c r="H35" s="33">
        <f>+H11+H18+H29</f>
        <v>2774856</v>
      </c>
      <c r="I35" s="210"/>
      <c r="J35" s="33">
        <f>+J11+J18+J29</f>
        <v>1972251</v>
      </c>
      <c r="K35" s="211"/>
      <c r="L35" s="34">
        <f>B35+D35+F35+H35+J35</f>
        <v>12769932</v>
      </c>
      <c r="M35" s="39">
        <f>+L11+L18+L29</f>
        <v>12769932</v>
      </c>
      <c r="N35" s="16"/>
      <c r="O35" s="16"/>
      <c r="P35" s="16"/>
      <c r="Q35" s="16"/>
      <c r="R35" s="16"/>
      <c r="S35" s="16"/>
      <c r="T35" s="16"/>
      <c r="U35" s="16"/>
    </row>
    <row r="36" spans="1:21" ht="14.4" thickTop="1" thickBot="1" x14ac:dyDescent="0.3">
      <c r="A36" s="268" t="s">
        <v>21</v>
      </c>
      <c r="B36" s="269">
        <f t="shared" ref="B36:J36" si="18">+B14+B21+B24+B22+B23+B32</f>
        <v>830965</v>
      </c>
      <c r="C36" s="270"/>
      <c r="D36" s="269">
        <f t="shared" si="18"/>
        <v>1270975</v>
      </c>
      <c r="E36" s="271"/>
      <c r="F36" s="269">
        <f t="shared" si="18"/>
        <v>1629621</v>
      </c>
      <c r="G36" s="271"/>
      <c r="H36" s="269">
        <f t="shared" si="18"/>
        <v>1819046.5</v>
      </c>
      <c r="I36" s="271"/>
      <c r="J36" s="269">
        <f t="shared" si="18"/>
        <v>1653763.5</v>
      </c>
      <c r="K36" s="271"/>
      <c r="L36" s="271">
        <f>B36+D36+F36+H36+J36</f>
        <v>7204371</v>
      </c>
      <c r="M36" s="39">
        <f>+L14+L21+L22+L23+L24+L32</f>
        <v>7204371</v>
      </c>
      <c r="N36" s="16"/>
      <c r="O36" s="16"/>
      <c r="P36" s="16"/>
      <c r="Q36" s="16"/>
      <c r="R36" s="16"/>
      <c r="S36" s="16"/>
      <c r="T36" s="16"/>
      <c r="U36" s="16"/>
    </row>
    <row r="37" spans="1:21" ht="13.8" thickTop="1" x14ac:dyDescent="0.25">
      <c r="A37" s="237"/>
      <c r="B37" s="103"/>
      <c r="C37" s="104"/>
      <c r="D37" s="103"/>
      <c r="E37" s="105"/>
      <c r="F37" s="103"/>
      <c r="G37" s="105"/>
      <c r="H37" s="103"/>
      <c r="I37" s="105"/>
      <c r="J37" s="103"/>
      <c r="K37" s="105"/>
      <c r="L37" s="106"/>
      <c r="M37" s="16"/>
      <c r="N37" s="16"/>
      <c r="O37" s="16"/>
      <c r="P37" s="16"/>
      <c r="Q37" s="16"/>
      <c r="R37" s="16"/>
      <c r="S37" s="16"/>
      <c r="T37" s="16"/>
      <c r="U37" s="16"/>
    </row>
    <row r="38" spans="1:21" x14ac:dyDescent="0.25">
      <c r="A38" s="100" t="s">
        <v>16</v>
      </c>
      <c r="B38" s="252">
        <f>ROUND((B13+B20+B31),0)</f>
        <v>755310</v>
      </c>
      <c r="C38" s="243">
        <f>ROUND((C13+C20+C31),0)</f>
        <v>25177</v>
      </c>
      <c r="D38" s="252">
        <f t="shared" ref="D38:J38" si="19">D13+D20+D31</f>
        <v>1518476</v>
      </c>
      <c r="E38" s="244">
        <f>E13+E20+E31</f>
        <v>48983.096774193546</v>
      </c>
      <c r="F38" s="252">
        <f t="shared" si="19"/>
        <v>1802449</v>
      </c>
      <c r="G38" s="244">
        <f>G13+G20+G31</f>
        <v>58143.516129032258</v>
      </c>
      <c r="H38" s="252">
        <f t="shared" si="19"/>
        <v>885822</v>
      </c>
      <c r="I38" s="244">
        <f>+H38/I8</f>
        <v>31636.5</v>
      </c>
      <c r="J38" s="252">
        <f t="shared" si="19"/>
        <v>241004</v>
      </c>
      <c r="K38" s="244">
        <f>K13+K20+K31</f>
        <v>7774.322580645161</v>
      </c>
      <c r="L38" s="253">
        <f>B38+D38+F38+H38+J38</f>
        <v>5203061</v>
      </c>
      <c r="M38" s="39">
        <f>+L13+L20+L31</f>
        <v>5203061</v>
      </c>
      <c r="N38" s="16"/>
      <c r="O38" s="25"/>
      <c r="P38" s="16"/>
      <c r="Q38" s="16"/>
      <c r="R38" s="16"/>
      <c r="S38" s="16"/>
      <c r="T38" s="16"/>
      <c r="U38" s="16"/>
    </row>
    <row r="39" spans="1:21" s="16" customFormat="1" x14ac:dyDescent="0.25">
      <c r="A39" s="238" t="s">
        <v>20</v>
      </c>
      <c r="B39" s="241">
        <f>B15</f>
        <v>60000</v>
      </c>
      <c r="C39" s="104">
        <f>C15</f>
        <v>2000</v>
      </c>
      <c r="D39" s="241">
        <f t="shared" ref="D39:K39" si="20">D15</f>
        <v>77500</v>
      </c>
      <c r="E39" s="105">
        <f t="shared" si="20"/>
        <v>2500</v>
      </c>
      <c r="F39" s="241">
        <f t="shared" si="20"/>
        <v>77500</v>
      </c>
      <c r="G39" s="105">
        <f t="shared" si="20"/>
        <v>2500</v>
      </c>
      <c r="H39" s="241">
        <f t="shared" si="20"/>
        <v>70000</v>
      </c>
      <c r="I39" s="105">
        <f t="shared" si="20"/>
        <v>2500</v>
      </c>
      <c r="J39" s="241">
        <f t="shared" si="20"/>
        <v>77500</v>
      </c>
      <c r="K39" s="105">
        <f t="shared" si="20"/>
        <v>2500</v>
      </c>
      <c r="L39" s="106">
        <f>B39+D39+F39+H39+J39</f>
        <v>362500</v>
      </c>
      <c r="M39" s="39">
        <f>+L15</f>
        <v>362500</v>
      </c>
    </row>
    <row r="40" spans="1:21" x14ac:dyDescent="0.25">
      <c r="A40" s="100" t="s">
        <v>199</v>
      </c>
      <c r="B40" s="252">
        <f>B25</f>
        <v>0</v>
      </c>
      <c r="C40" s="243">
        <f t="shared" ref="C40:K40" si="21">C25</f>
        <v>0</v>
      </c>
      <c r="D40" s="252">
        <f t="shared" si="21"/>
        <v>0</v>
      </c>
      <c r="E40" s="244">
        <f t="shared" si="21"/>
        <v>0</v>
      </c>
      <c r="F40" s="252">
        <f t="shared" si="21"/>
        <v>0</v>
      </c>
      <c r="G40" s="244">
        <f t="shared" si="21"/>
        <v>0</v>
      </c>
      <c r="H40" s="252">
        <f t="shared" si="21"/>
        <v>0</v>
      </c>
      <c r="I40" s="244">
        <f t="shared" si="21"/>
        <v>0</v>
      </c>
      <c r="J40" s="252">
        <f t="shared" si="21"/>
        <v>0</v>
      </c>
      <c r="K40" s="244">
        <f t="shared" si="21"/>
        <v>0</v>
      </c>
      <c r="L40" s="253">
        <f>B40+D40+F40+H40+J40</f>
        <v>0</v>
      </c>
      <c r="M40" s="16"/>
      <c r="N40" s="16"/>
      <c r="O40" s="16"/>
      <c r="P40" s="16"/>
      <c r="Q40" s="16"/>
      <c r="R40" s="16"/>
      <c r="S40" s="16"/>
      <c r="T40" s="16"/>
      <c r="U40" s="16"/>
    </row>
    <row r="41" spans="1:21" x14ac:dyDescent="0.25">
      <c r="A41" s="239" t="s">
        <v>200</v>
      </c>
      <c r="B41" s="18">
        <f>B26</f>
        <v>0</v>
      </c>
      <c r="C41" s="246">
        <f t="shared" ref="C41:K41" si="22">C26</f>
        <v>0</v>
      </c>
      <c r="D41" s="18">
        <f t="shared" si="22"/>
        <v>0</v>
      </c>
      <c r="E41" s="19">
        <f t="shared" si="22"/>
        <v>0</v>
      </c>
      <c r="F41" s="18">
        <f t="shared" si="22"/>
        <v>0</v>
      </c>
      <c r="G41" s="19">
        <f t="shared" si="22"/>
        <v>0</v>
      </c>
      <c r="H41" s="18">
        <f t="shared" si="22"/>
        <v>0</v>
      </c>
      <c r="I41" s="19">
        <f t="shared" si="22"/>
        <v>0</v>
      </c>
      <c r="J41" s="18">
        <f t="shared" si="22"/>
        <v>0</v>
      </c>
      <c r="K41" s="19">
        <f t="shared" si="22"/>
        <v>0</v>
      </c>
      <c r="L41" s="30">
        <f>B41+D41+F41+H41+J41</f>
        <v>0</v>
      </c>
      <c r="M41" s="16"/>
      <c r="N41" s="16"/>
      <c r="O41" s="16"/>
      <c r="P41" s="16"/>
      <c r="Q41" s="16"/>
      <c r="R41" s="16"/>
      <c r="S41" s="16"/>
      <c r="T41" s="16"/>
      <c r="U41" s="16"/>
    </row>
    <row r="42" spans="1:21" s="16" customFormat="1" ht="13.8" thickBot="1" x14ac:dyDescent="0.3">
      <c r="A42" s="272" t="s">
        <v>14</v>
      </c>
      <c r="B42" s="272">
        <f>SUM(B38:B41)</f>
        <v>815310</v>
      </c>
      <c r="C42" s="273">
        <f t="shared" ref="C42:K42" si="23">SUM(C38:C41)</f>
        <v>27177</v>
      </c>
      <c r="D42" s="272">
        <f t="shared" si="23"/>
        <v>1595976</v>
      </c>
      <c r="E42" s="274">
        <f t="shared" si="23"/>
        <v>51483.096774193546</v>
      </c>
      <c r="F42" s="272">
        <f t="shared" si="23"/>
        <v>1879949</v>
      </c>
      <c r="G42" s="274">
        <f t="shared" si="23"/>
        <v>60643.516129032258</v>
      </c>
      <c r="H42" s="272">
        <f t="shared" si="23"/>
        <v>955822</v>
      </c>
      <c r="I42" s="274">
        <f t="shared" si="23"/>
        <v>34136.5</v>
      </c>
      <c r="J42" s="272">
        <f t="shared" si="23"/>
        <v>318504</v>
      </c>
      <c r="K42" s="274">
        <f t="shared" si="23"/>
        <v>10274.322580645161</v>
      </c>
      <c r="L42" s="275">
        <f>B42+D42+F42+H42+J42</f>
        <v>5565561</v>
      </c>
      <c r="M42" s="39">
        <f>SUM(M38:M39)</f>
        <v>5565561</v>
      </c>
    </row>
    <row r="43" spans="1:21" ht="13.8" thickTop="1" x14ac:dyDescent="0.25"/>
    <row r="44" spans="1:21" x14ac:dyDescent="0.25">
      <c r="K44" t="s">
        <v>202</v>
      </c>
    </row>
    <row r="45" spans="1:21" x14ac:dyDescent="0.25">
      <c r="A45" t="s">
        <v>211</v>
      </c>
      <c r="L45" s="20"/>
    </row>
    <row r="46" spans="1:21" x14ac:dyDescent="0.25">
      <c r="A46" s="441" t="s">
        <v>289</v>
      </c>
      <c r="B46" s="16" t="s">
        <v>271</v>
      </c>
      <c r="C46" s="16"/>
      <c r="I46" s="15"/>
    </row>
    <row r="47" spans="1:21" x14ac:dyDescent="0.25">
      <c r="A47" s="223"/>
      <c r="B47" s="17" t="s">
        <v>283</v>
      </c>
      <c r="C47" s="17"/>
      <c r="D47" s="15"/>
      <c r="E47" s="15"/>
      <c r="F47" s="15"/>
      <c r="G47" s="15"/>
      <c r="H47" s="15"/>
      <c r="I47" s="15"/>
      <c r="J47" s="15"/>
      <c r="K47" s="15"/>
      <c r="L47" s="15"/>
      <c r="M47" s="16"/>
      <c r="N47" s="16"/>
      <c r="O47" s="16"/>
      <c r="P47" s="16"/>
      <c r="Q47" s="16"/>
      <c r="R47" s="16"/>
      <c r="S47" s="16"/>
      <c r="T47" s="16"/>
      <c r="U47" s="16"/>
    </row>
    <row r="48" spans="1:21" x14ac:dyDescent="0.25">
      <c r="A48" s="223"/>
      <c r="B48" s="17"/>
      <c r="C48" s="17"/>
      <c r="D48" s="15"/>
      <c r="E48" s="15"/>
      <c r="F48" s="15"/>
      <c r="G48" s="15"/>
      <c r="H48" s="15"/>
      <c r="I48" s="440"/>
      <c r="J48" s="15"/>
      <c r="K48" s="15"/>
      <c r="L48" s="15"/>
      <c r="M48" s="16"/>
      <c r="N48" s="16"/>
      <c r="O48" s="16"/>
      <c r="P48" s="16"/>
      <c r="Q48" s="16"/>
      <c r="R48" s="16"/>
      <c r="S48" s="16"/>
      <c r="T48" s="16"/>
      <c r="U48" s="16"/>
    </row>
    <row r="49" spans="1:21" x14ac:dyDescent="0.25">
      <c r="A49" s="223" t="s">
        <v>212</v>
      </c>
      <c r="B49" s="17"/>
      <c r="C49" s="17"/>
      <c r="D49" s="15"/>
      <c r="E49" s="15"/>
      <c r="F49" s="15"/>
      <c r="G49" s="15"/>
      <c r="H49" s="15"/>
      <c r="I49" s="15"/>
      <c r="J49" s="15"/>
      <c r="K49" s="15"/>
      <c r="L49" s="15"/>
      <c r="M49" s="16"/>
      <c r="N49" s="16"/>
      <c r="O49" s="16"/>
      <c r="P49" s="16"/>
      <c r="Q49" s="16"/>
      <c r="R49" s="16"/>
      <c r="S49" s="16"/>
      <c r="T49" s="16"/>
      <c r="U49" s="16"/>
    </row>
    <row r="50" spans="1:21" x14ac:dyDescent="0.25">
      <c r="L50" s="17"/>
      <c r="M50" s="39"/>
      <c r="N50" s="16"/>
      <c r="O50" s="16"/>
      <c r="P50" s="16"/>
      <c r="Q50" s="16"/>
      <c r="R50" s="16"/>
      <c r="S50" s="16"/>
      <c r="T50" s="16"/>
      <c r="U50" s="16"/>
    </row>
    <row r="51" spans="1:21" x14ac:dyDescent="0.25">
      <c r="A51" s="290" t="s">
        <v>251</v>
      </c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16"/>
      <c r="N51" s="16"/>
      <c r="O51" s="16"/>
      <c r="P51" s="16"/>
      <c r="Q51" s="16"/>
      <c r="R51" s="16"/>
      <c r="S51" s="16"/>
      <c r="T51" s="16"/>
      <c r="U51" s="16"/>
    </row>
    <row r="52" spans="1:21" x14ac:dyDescent="0.25">
      <c r="A52" s="290" t="s">
        <v>250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16"/>
      <c r="N52" s="16"/>
      <c r="O52" s="16"/>
      <c r="P52" s="16"/>
      <c r="Q52" s="16"/>
      <c r="R52" s="16"/>
      <c r="S52" s="16"/>
      <c r="T52" s="16"/>
      <c r="U52" s="16"/>
    </row>
    <row r="53" spans="1:21" ht="13.8" thickBot="1" x14ac:dyDescent="0.3">
      <c r="D53" s="98"/>
      <c r="F53" s="98"/>
      <c r="H53" s="98"/>
      <c r="J53" s="98"/>
      <c r="M53" s="16"/>
      <c r="N53" s="16"/>
      <c r="O53" s="16"/>
      <c r="P53" s="16"/>
      <c r="Q53" s="16"/>
      <c r="R53" s="16"/>
      <c r="S53" s="16"/>
      <c r="T53" s="16"/>
      <c r="U53" s="16"/>
    </row>
    <row r="54" spans="1:21" x14ac:dyDescent="0.25">
      <c r="A54" s="291" t="s">
        <v>6</v>
      </c>
      <c r="B54" s="292"/>
      <c r="C54" s="293"/>
      <c r="D54" s="219"/>
      <c r="E54" s="293"/>
      <c r="F54" s="294"/>
      <c r="G54" s="293"/>
      <c r="H54" s="294"/>
      <c r="I54" s="293"/>
      <c r="J54" s="219"/>
      <c r="K54" s="293"/>
      <c r="L54" s="82"/>
      <c r="M54" s="295"/>
      <c r="N54" s="16"/>
      <c r="O54" s="16"/>
      <c r="P54" s="16"/>
      <c r="Q54" s="16"/>
      <c r="R54" s="16"/>
      <c r="S54" s="16"/>
      <c r="T54" s="16"/>
      <c r="U54" s="16"/>
    </row>
    <row r="55" spans="1:21" x14ac:dyDescent="0.25">
      <c r="A55" s="296" t="s">
        <v>236</v>
      </c>
      <c r="B55" s="297">
        <f>1335000+2130000+376150</f>
        <v>3841150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50"/>
      <c r="N55" s="16"/>
      <c r="O55" s="16"/>
      <c r="P55" s="16"/>
      <c r="Q55" s="16"/>
      <c r="R55" s="16"/>
      <c r="S55" s="16"/>
      <c r="T55" s="16"/>
      <c r="U55" s="16"/>
    </row>
    <row r="56" spans="1:21" x14ac:dyDescent="0.25">
      <c r="A56" s="296" t="s">
        <v>237</v>
      </c>
      <c r="B56" s="297">
        <f>+B55*0.95</f>
        <v>3649092.5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50"/>
      <c r="N56" s="16"/>
      <c r="O56" s="16"/>
      <c r="P56" s="16"/>
      <c r="Q56" s="16"/>
      <c r="R56" s="16"/>
      <c r="S56" s="16"/>
      <c r="T56" s="16"/>
      <c r="U56" s="16"/>
    </row>
    <row r="57" spans="1:21" x14ac:dyDescent="0.25">
      <c r="A57" s="296" t="s">
        <v>238</v>
      </c>
      <c r="B57" s="298">
        <f>+B55*0.9</f>
        <v>3457035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50"/>
      <c r="N57" s="16"/>
      <c r="O57" s="16"/>
      <c r="P57" s="16"/>
      <c r="Q57" s="16"/>
      <c r="R57" s="16"/>
      <c r="S57" s="16"/>
      <c r="T57" s="16"/>
      <c r="U57" s="16"/>
    </row>
    <row r="58" spans="1:21" hidden="1" x14ac:dyDescent="0.25">
      <c r="A58" s="47" t="s">
        <v>150</v>
      </c>
      <c r="B58" s="21"/>
      <c r="C58" s="299">
        <f>+C60/A59</f>
        <v>0.85187993570480114</v>
      </c>
      <c r="D58" s="21"/>
      <c r="E58" s="299">
        <f>+E60/A59</f>
        <v>0.75048920259976237</v>
      </c>
      <c r="F58" s="21"/>
      <c r="G58" s="299">
        <f>+G60/A59</f>
        <v>0.64909846949472361</v>
      </c>
      <c r="H58" s="21"/>
      <c r="I58" s="299">
        <f>+I60/A59</f>
        <v>0.46265001683619339</v>
      </c>
      <c r="J58" s="21"/>
      <c r="K58" s="299">
        <f>+K60/A59</f>
        <v>0.29884529126614529</v>
      </c>
      <c r="L58" s="21"/>
      <c r="M58" s="50"/>
      <c r="N58" s="16"/>
      <c r="O58" s="16"/>
      <c r="P58" s="16"/>
      <c r="Q58" s="16"/>
      <c r="R58" s="16"/>
      <c r="S58" s="16"/>
      <c r="T58" s="16"/>
      <c r="U58" s="16"/>
    </row>
    <row r="59" spans="1:21" hidden="1" x14ac:dyDescent="0.25">
      <c r="A59" s="300">
        <f>+'Co-owned storage ratchets'!B10+'Co-owned storage ratchets'!B11+'Co-owned storage ratchets'!B12</f>
        <v>1573990</v>
      </c>
      <c r="B59" s="21" t="s">
        <v>149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50"/>
      <c r="N59" s="16"/>
      <c r="O59" s="16"/>
      <c r="P59" s="16"/>
      <c r="Q59" s="16"/>
      <c r="R59" s="16"/>
      <c r="S59" s="16"/>
      <c r="T59" s="16"/>
      <c r="U59" s="16"/>
    </row>
    <row r="60" spans="1:21" hidden="1" x14ac:dyDescent="0.25">
      <c r="A60" s="300">
        <f>+A59*0.95</f>
        <v>1495290.5</v>
      </c>
      <c r="B60" s="21" t="s">
        <v>151</v>
      </c>
      <c r="C60" s="15">
        <f>+A60-B22</f>
        <v>1340850.5</v>
      </c>
      <c r="D60" s="15"/>
      <c r="E60" s="15">
        <f>+C60-D22</f>
        <v>1181262.5</v>
      </c>
      <c r="F60" s="15"/>
      <c r="G60" s="15">
        <f>+E60-F22</f>
        <v>1021674.5</v>
      </c>
      <c r="H60" s="15"/>
      <c r="I60" s="15">
        <f>+G60-H22</f>
        <v>728206.5</v>
      </c>
      <c r="J60" s="15"/>
      <c r="K60" s="15">
        <f>+I60-J22</f>
        <v>470379.5</v>
      </c>
      <c r="L60" s="21"/>
      <c r="M60" s="301"/>
      <c r="N60" s="22"/>
      <c r="O60" s="22"/>
      <c r="P60" s="22"/>
      <c r="Q60" s="22"/>
      <c r="R60" s="23"/>
      <c r="S60" s="16"/>
      <c r="T60" s="16"/>
      <c r="U60" s="16"/>
    </row>
    <row r="61" spans="1:21" hidden="1" x14ac:dyDescent="0.25">
      <c r="A61" s="300">
        <f>+A59*0.9</f>
        <v>1416591</v>
      </c>
      <c r="B61" s="302" t="s">
        <v>152</v>
      </c>
      <c r="C61" s="303"/>
      <c r="D61" s="303"/>
      <c r="E61" s="302"/>
      <c r="F61" s="302"/>
      <c r="G61" s="21"/>
      <c r="H61" s="21"/>
      <c r="I61" s="21"/>
      <c r="J61" s="21"/>
      <c r="K61" s="21"/>
      <c r="L61" s="21"/>
      <c r="M61" s="50"/>
      <c r="N61" s="16"/>
      <c r="O61" s="16"/>
      <c r="P61" s="16"/>
      <c r="Q61" s="16"/>
      <c r="R61" s="16"/>
      <c r="S61" s="16"/>
      <c r="T61" s="16"/>
      <c r="U61" s="16"/>
    </row>
    <row r="62" spans="1:21" hidden="1" x14ac:dyDescent="0.25">
      <c r="A62" s="300">
        <f>2752325+227448</f>
        <v>2979773</v>
      </c>
      <c r="B62" s="21" t="s">
        <v>148</v>
      </c>
      <c r="C62" s="299">
        <f>+C63/A62</f>
        <v>0.85186836379818198</v>
      </c>
      <c r="D62" s="299"/>
      <c r="E62" s="299">
        <f>+E63/A62</f>
        <v>0.7504656730563033</v>
      </c>
      <c r="F62" s="299"/>
      <c r="G62" s="299">
        <f>+G63/A62</f>
        <v>0.64906298231442461</v>
      </c>
      <c r="H62" s="299"/>
      <c r="I62" s="299">
        <f>+I63/A62</f>
        <v>0.50136582551758135</v>
      </c>
      <c r="J62" s="299"/>
      <c r="K62" s="299">
        <f>+K63/A62</f>
        <v>0.38377532449619489</v>
      </c>
      <c r="L62" s="21" t="s">
        <v>7</v>
      </c>
      <c r="M62" s="50"/>
      <c r="N62" s="16"/>
      <c r="O62" s="16"/>
      <c r="P62" s="16"/>
      <c r="Q62" s="16"/>
      <c r="R62" s="16"/>
      <c r="S62" s="16"/>
      <c r="T62" s="16"/>
      <c r="U62" s="16"/>
    </row>
    <row r="63" spans="1:21" hidden="1" x14ac:dyDescent="0.25">
      <c r="A63" s="300">
        <f>+A62*0.95</f>
        <v>2830784.35</v>
      </c>
      <c r="B63" s="21" t="s">
        <v>151</v>
      </c>
      <c r="C63" s="15">
        <f>+A63-B23</f>
        <v>2538374.35</v>
      </c>
      <c r="D63" s="15"/>
      <c r="E63" s="15">
        <f>+C63-D23</f>
        <v>2236217.35</v>
      </c>
      <c r="F63" s="15"/>
      <c r="G63" s="15">
        <f>+E63-F23</f>
        <v>1934060.35</v>
      </c>
      <c r="H63" s="15"/>
      <c r="I63" s="15">
        <f>+G63-H23</f>
        <v>1493956.35</v>
      </c>
      <c r="J63" s="15"/>
      <c r="K63" s="15">
        <f>+I63-J23</f>
        <v>1143563.3500000001</v>
      </c>
      <c r="L63" s="21"/>
      <c r="M63" s="50"/>
      <c r="N63" s="16"/>
      <c r="O63" s="16"/>
      <c r="P63" s="16"/>
      <c r="Q63" s="16"/>
      <c r="R63" s="16"/>
      <c r="S63" s="16"/>
      <c r="T63" s="16"/>
      <c r="U63" s="16"/>
    </row>
    <row r="64" spans="1:21" hidden="1" x14ac:dyDescent="0.25">
      <c r="A64" s="300">
        <f>+A62*0.9</f>
        <v>2681795.7000000002</v>
      </c>
      <c r="B64" s="302" t="s">
        <v>152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48"/>
    </row>
    <row r="65" spans="1:13" hidden="1" x14ac:dyDescent="0.25">
      <c r="A65" s="300">
        <v>1793750</v>
      </c>
      <c r="B65" s="21" t="s">
        <v>153</v>
      </c>
      <c r="C65" s="299">
        <f>+C66/A65</f>
        <v>0.95</v>
      </c>
      <c r="D65" s="299"/>
      <c r="E65" s="299">
        <f>+E66/A65</f>
        <v>0.92714285714285716</v>
      </c>
      <c r="F65" s="299"/>
      <c r="G65" s="299">
        <f>+G66/A65</f>
        <v>0.79</v>
      </c>
      <c r="H65" s="299"/>
      <c r="I65" s="299">
        <f>+I66/A65</f>
        <v>0.63455303135888497</v>
      </c>
      <c r="J65" s="299"/>
      <c r="K65" s="299">
        <f>+K66/A65</f>
        <v>0.37288278745644599</v>
      </c>
      <c r="L65" s="21"/>
      <c r="M65" s="48"/>
    </row>
    <row r="66" spans="1:13" hidden="1" x14ac:dyDescent="0.25">
      <c r="A66" s="300">
        <f>+A65*0.95</f>
        <v>1704062.5</v>
      </c>
      <c r="B66" s="21" t="s">
        <v>151</v>
      </c>
      <c r="C66" s="15">
        <f>+A66-B24</f>
        <v>1704062.5</v>
      </c>
      <c r="D66" s="15"/>
      <c r="E66" s="15">
        <f>+C66-D24</f>
        <v>1663062.5</v>
      </c>
      <c r="F66" s="15"/>
      <c r="G66" s="15">
        <f>+E66-F24</f>
        <v>1417062.5</v>
      </c>
      <c r="H66" s="15"/>
      <c r="I66" s="15">
        <f>+G66-H24</f>
        <v>1138229.5</v>
      </c>
      <c r="J66" s="15"/>
      <c r="K66" s="15">
        <f>+I66-J24</f>
        <v>668858.5</v>
      </c>
      <c r="L66" s="21"/>
      <c r="M66" s="48"/>
    </row>
    <row r="67" spans="1:13" hidden="1" x14ac:dyDescent="0.25">
      <c r="A67" s="300">
        <f>+A65*0.9</f>
        <v>1614375</v>
      </c>
      <c r="B67" s="302" t="s">
        <v>152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48"/>
    </row>
    <row r="68" spans="1:13" x14ac:dyDescent="0.25">
      <c r="A68" s="47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48"/>
    </row>
    <row r="69" spans="1:13" x14ac:dyDescent="0.25">
      <c r="A69" s="47"/>
      <c r="B69" s="21" t="s">
        <v>4</v>
      </c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48"/>
    </row>
    <row r="70" spans="1:13" x14ac:dyDescent="0.25">
      <c r="A70" s="304" t="s">
        <v>239</v>
      </c>
      <c r="B70" s="305">
        <v>0.85</v>
      </c>
      <c r="C70" s="305"/>
      <c r="D70" s="305">
        <v>0.65</v>
      </c>
      <c r="E70" s="305"/>
      <c r="F70" s="305">
        <v>0.41</v>
      </c>
      <c r="G70" s="305"/>
      <c r="H70" s="305">
        <v>0.2</v>
      </c>
      <c r="I70" s="305"/>
      <c r="J70" s="305">
        <v>0.05</v>
      </c>
      <c r="K70" s="21"/>
      <c r="L70" s="21"/>
      <c r="M70" s="48"/>
    </row>
    <row r="71" spans="1:13" x14ac:dyDescent="0.25">
      <c r="A71" s="306" t="s">
        <v>25</v>
      </c>
      <c r="B71" s="307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48"/>
    </row>
    <row r="72" spans="1:13" x14ac:dyDescent="0.25">
      <c r="A72" s="308">
        <v>1335000</v>
      </c>
      <c r="B72" s="309">
        <f>+$A72*B$70</f>
        <v>1134750</v>
      </c>
      <c r="C72" s="21"/>
      <c r="D72" s="309">
        <f>+$A72*D$70</f>
        <v>867750</v>
      </c>
      <c r="E72" s="21"/>
      <c r="F72" s="309">
        <f>+$A72*F$70</f>
        <v>547350</v>
      </c>
      <c r="G72" s="21"/>
      <c r="H72" s="309">
        <f>+$A72*H$70</f>
        <v>267000</v>
      </c>
      <c r="I72" s="21"/>
      <c r="J72" s="309">
        <f>+$A72*J$70</f>
        <v>66750</v>
      </c>
      <c r="K72" s="21"/>
      <c r="L72" s="21"/>
      <c r="M72" s="48"/>
    </row>
    <row r="73" spans="1:13" x14ac:dyDescent="0.25">
      <c r="A73" s="308">
        <v>2130000</v>
      </c>
      <c r="B73" s="309">
        <f t="shared" ref="B73:J74" si="24">+$A73*B$70</f>
        <v>1810500</v>
      </c>
      <c r="C73" s="21"/>
      <c r="D73" s="309">
        <f t="shared" si="24"/>
        <v>1384500</v>
      </c>
      <c r="E73" s="21"/>
      <c r="F73" s="309">
        <f t="shared" si="24"/>
        <v>873300</v>
      </c>
      <c r="G73" s="21"/>
      <c r="H73" s="309">
        <f t="shared" si="24"/>
        <v>426000</v>
      </c>
      <c r="I73" s="21"/>
      <c r="J73" s="309">
        <f t="shared" si="24"/>
        <v>106500</v>
      </c>
      <c r="K73" s="21"/>
      <c r="L73" s="21"/>
      <c r="M73" s="48"/>
    </row>
    <row r="74" spans="1:13" ht="15" x14ac:dyDescent="0.4">
      <c r="A74" s="308">
        <v>376150</v>
      </c>
      <c r="B74" s="309">
        <f t="shared" si="24"/>
        <v>319727.5</v>
      </c>
      <c r="C74" s="21"/>
      <c r="D74" s="309">
        <f t="shared" si="24"/>
        <v>244497.5</v>
      </c>
      <c r="E74" s="21"/>
      <c r="F74" s="309">
        <f t="shared" si="24"/>
        <v>154221.5</v>
      </c>
      <c r="G74" s="21"/>
      <c r="H74" s="309">
        <f t="shared" si="24"/>
        <v>75230</v>
      </c>
      <c r="I74" s="21"/>
      <c r="J74" s="310">
        <f t="shared" si="24"/>
        <v>18807.5</v>
      </c>
      <c r="K74" s="21"/>
      <c r="L74" s="21"/>
      <c r="M74" s="48"/>
    </row>
    <row r="75" spans="1:13" x14ac:dyDescent="0.25">
      <c r="A75" s="304" t="s">
        <v>5</v>
      </c>
      <c r="B75" s="21"/>
      <c r="C75" s="21"/>
      <c r="D75" s="21"/>
      <c r="E75" s="21"/>
      <c r="F75" s="21"/>
      <c r="G75" s="21"/>
      <c r="H75" s="21"/>
      <c r="I75" s="21"/>
      <c r="J75" s="31">
        <f>SUM(J72:J74)</f>
        <v>192057.5</v>
      </c>
      <c r="K75" s="299">
        <f>+J75/B55</f>
        <v>0.05</v>
      </c>
      <c r="L75" s="21"/>
      <c r="M75" s="48"/>
    </row>
    <row r="76" spans="1:13" x14ac:dyDescent="0.25">
      <c r="A76" s="306" t="s">
        <v>3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48"/>
    </row>
    <row r="77" spans="1:13" x14ac:dyDescent="0.25">
      <c r="A77" s="311">
        <v>0.95</v>
      </c>
      <c r="B77" s="312" t="s">
        <v>240</v>
      </c>
      <c r="C77" s="307" t="s">
        <v>245</v>
      </c>
      <c r="D77" s="312" t="s">
        <v>241</v>
      </c>
      <c r="E77" s="307" t="s">
        <v>246</v>
      </c>
      <c r="F77" s="312" t="s">
        <v>242</v>
      </c>
      <c r="G77" s="307" t="s">
        <v>247</v>
      </c>
      <c r="H77" s="312" t="s">
        <v>243</v>
      </c>
      <c r="I77" s="307" t="s">
        <v>248</v>
      </c>
      <c r="J77" s="312" t="s">
        <v>244</v>
      </c>
      <c r="K77" s="307" t="s">
        <v>249</v>
      </c>
      <c r="L77" s="21"/>
      <c r="M77" s="48"/>
    </row>
    <row r="78" spans="1:13" x14ac:dyDescent="0.25">
      <c r="A78" s="300">
        <f>+A72*A77</f>
        <v>1268250</v>
      </c>
      <c r="B78" s="313">
        <f>+A78-B72</f>
        <v>133500</v>
      </c>
      <c r="C78" s="314">
        <f>+B78/$C$8</f>
        <v>4450</v>
      </c>
      <c r="D78" s="313">
        <f>+B72-D72</f>
        <v>267000</v>
      </c>
      <c r="E78" s="314">
        <f>+D78/$E$8</f>
        <v>8612.9032258064508</v>
      </c>
      <c r="F78" s="313">
        <f>+D72-F72</f>
        <v>320400</v>
      </c>
      <c r="G78" s="314">
        <f>+F78/$G$8</f>
        <v>10335.483870967742</v>
      </c>
      <c r="H78" s="313">
        <f>+F72-H72</f>
        <v>280350</v>
      </c>
      <c r="I78" s="314">
        <f>+H78/$I$8</f>
        <v>10012.5</v>
      </c>
      <c r="J78" s="313">
        <f>+H72-J72</f>
        <v>200250</v>
      </c>
      <c r="K78" s="314">
        <f>+J78/$K$8</f>
        <v>6459.677419354839</v>
      </c>
      <c r="L78" s="31">
        <f>+B78+D78+F78+H78+J78</f>
        <v>1201500</v>
      </c>
      <c r="M78" s="48"/>
    </row>
    <row r="79" spans="1:13" x14ac:dyDescent="0.25">
      <c r="A79" s="300">
        <f>+A73*A77</f>
        <v>2023500</v>
      </c>
      <c r="B79" s="313">
        <f>+A79-B73</f>
        <v>213000</v>
      </c>
      <c r="C79" s="314">
        <f>+B79/$C$8</f>
        <v>7100</v>
      </c>
      <c r="D79" s="313">
        <f>+B73-D73</f>
        <v>426000</v>
      </c>
      <c r="E79" s="314">
        <f>+D79/$E$8</f>
        <v>13741.935483870968</v>
      </c>
      <c r="F79" s="313">
        <f>+D73-F73</f>
        <v>511200</v>
      </c>
      <c r="G79" s="314">
        <f>+F79/$G$8</f>
        <v>16490.322580645163</v>
      </c>
      <c r="H79" s="313">
        <f>+F73-H73</f>
        <v>447300</v>
      </c>
      <c r="I79" s="315">
        <f>+H79/$I$8</f>
        <v>15975</v>
      </c>
      <c r="J79" s="313">
        <f>+H73-J73</f>
        <v>319500</v>
      </c>
      <c r="K79" s="314">
        <f>+J79/$K$8</f>
        <v>10306.451612903225</v>
      </c>
      <c r="L79" s="31">
        <f>+B79+D79+F79+H79+J79</f>
        <v>1917000</v>
      </c>
      <c r="M79" s="48"/>
    </row>
    <row r="80" spans="1:13" ht="15" x14ac:dyDescent="0.4">
      <c r="A80" s="322">
        <f>+A74*A77</f>
        <v>357342.5</v>
      </c>
      <c r="B80" s="313">
        <f>+A80-B74</f>
        <v>37615</v>
      </c>
      <c r="C80" s="314">
        <f>+B80/$C$8</f>
        <v>1253.8333333333333</v>
      </c>
      <c r="D80" s="313">
        <f>+B74-D74</f>
        <v>75230</v>
      </c>
      <c r="E80" s="314">
        <f>+D80/$E$8</f>
        <v>2426.7741935483873</v>
      </c>
      <c r="F80" s="313">
        <f>+D74-F74</f>
        <v>90276</v>
      </c>
      <c r="G80" s="314">
        <f>+F80/$G$8</f>
        <v>2912.1290322580644</v>
      </c>
      <c r="H80" s="313">
        <f>+F74-H74</f>
        <v>78991.5</v>
      </c>
      <c r="I80" s="314">
        <f>+H80/$I$8</f>
        <v>2821.125</v>
      </c>
      <c r="J80" s="313">
        <f>+H74-J74</f>
        <v>56422.5</v>
      </c>
      <c r="K80" s="314">
        <f>+J80/$K$8</f>
        <v>1820.0806451612902</v>
      </c>
      <c r="L80" s="316">
        <f>+B80+D80+F80+H80+J80</f>
        <v>338535</v>
      </c>
      <c r="M80" s="48"/>
    </row>
    <row r="81" spans="1:17" x14ac:dyDescent="0.25">
      <c r="A81" s="321"/>
      <c r="B81" s="223"/>
      <c r="C81" s="223"/>
      <c r="D81" s="223"/>
      <c r="E81" s="223"/>
      <c r="F81" s="223"/>
      <c r="G81" s="21"/>
      <c r="H81" s="21"/>
      <c r="I81" s="21"/>
      <c r="J81" s="21"/>
      <c r="K81" s="21"/>
      <c r="L81" s="31">
        <f>SUM(L78:L80)</f>
        <v>3457035</v>
      </c>
      <c r="M81" s="318">
        <f>+L81/B55</f>
        <v>0.9</v>
      </c>
    </row>
    <row r="82" spans="1:17" x14ac:dyDescent="0.25">
      <c r="A82" s="317"/>
      <c r="B82" s="223"/>
      <c r="C82" s="223"/>
      <c r="D82" s="223"/>
      <c r="E82" s="223"/>
      <c r="F82" s="223"/>
      <c r="G82" s="21"/>
      <c r="H82" s="21"/>
      <c r="I82" s="21"/>
      <c r="J82" s="21"/>
      <c r="K82" s="21"/>
      <c r="L82" s="21"/>
      <c r="M82" s="48"/>
    </row>
    <row r="83" spans="1:17" ht="13.8" thickBot="1" x14ac:dyDescent="0.3">
      <c r="A83" s="319"/>
      <c r="B83" s="320"/>
      <c r="C83" s="284"/>
      <c r="D83" s="284"/>
      <c r="E83" s="284"/>
      <c r="F83" s="284"/>
      <c r="G83" s="94"/>
      <c r="H83" s="94"/>
      <c r="I83" s="94"/>
      <c r="J83" s="94"/>
      <c r="K83" s="94"/>
      <c r="L83" s="94"/>
      <c r="M83" s="96"/>
    </row>
    <row r="84" spans="1:17" x14ac:dyDescent="0.25">
      <c r="A84" s="212"/>
      <c r="B84" s="23"/>
      <c r="C84" s="16"/>
      <c r="D84" s="16"/>
      <c r="E84" s="16"/>
      <c r="F84" s="16"/>
    </row>
    <row r="85" spans="1:17" x14ac:dyDescent="0.25">
      <c r="A85" s="212"/>
      <c r="B85" s="23"/>
      <c r="C85" s="16"/>
      <c r="D85" s="16"/>
      <c r="E85" s="23"/>
      <c r="F85" s="16"/>
      <c r="J85" s="439" t="s">
        <v>285</v>
      </c>
    </row>
    <row r="86" spans="1:17" x14ac:dyDescent="0.25">
      <c r="A86" s="16"/>
      <c r="C86" s="276" t="s">
        <v>235</v>
      </c>
      <c r="D86" s="40" t="s">
        <v>31</v>
      </c>
      <c r="E86" s="40"/>
      <c r="F86" s="40" t="s">
        <v>32</v>
      </c>
      <c r="G86" s="40"/>
      <c r="H86" s="40" t="s">
        <v>33</v>
      </c>
      <c r="I86" s="40"/>
      <c r="J86" s="40" t="s">
        <v>34</v>
      </c>
      <c r="K86" s="40"/>
      <c r="L86" s="40" t="s">
        <v>35</v>
      </c>
    </row>
    <row r="87" spans="1:17" x14ac:dyDescent="0.25">
      <c r="A87" s="323" t="s">
        <v>252</v>
      </c>
      <c r="C87" s="277">
        <v>31</v>
      </c>
      <c r="D87" s="40">
        <v>30</v>
      </c>
      <c r="E87" s="40"/>
      <c r="F87" s="40">
        <v>31</v>
      </c>
      <c r="G87" s="40"/>
      <c r="H87" s="40">
        <v>31</v>
      </c>
      <c r="I87" s="40"/>
      <c r="J87" s="40">
        <v>28</v>
      </c>
      <c r="K87" s="40"/>
      <c r="L87" s="40">
        <v>31</v>
      </c>
    </row>
    <row r="88" spans="1:17" ht="13.8" thickBot="1" x14ac:dyDescent="0.3">
      <c r="A88" s="16"/>
      <c r="B88" s="40" t="s">
        <v>25</v>
      </c>
      <c r="C88" s="278">
        <f>+C90/B90</f>
        <v>0.95</v>
      </c>
    </row>
    <row r="89" spans="1:17" x14ac:dyDescent="0.25">
      <c r="A89" s="285"/>
      <c r="B89" s="81"/>
      <c r="C89" s="279"/>
      <c r="D89" s="218">
        <f>+D90/$B90</f>
        <v>0.85188769085224891</v>
      </c>
      <c r="E89" s="218"/>
      <c r="F89" s="218">
        <f>+F90/$B90</f>
        <v>0.75050497139957273</v>
      </c>
      <c r="G89" s="218"/>
      <c r="H89" s="218">
        <f>+H90/$B90</f>
        <v>0.64912225194689654</v>
      </c>
      <c r="I89" s="218"/>
      <c r="J89" s="218">
        <f>+J90/$B90</f>
        <v>0.43755683138614887</v>
      </c>
      <c r="K89" s="218"/>
      <c r="L89" s="218">
        <f>+L90/$B90</f>
        <v>0.24380683138614884</v>
      </c>
      <c r="M89" s="46"/>
      <c r="O89" t="s">
        <v>287</v>
      </c>
      <c r="P89" t="s">
        <v>286</v>
      </c>
    </row>
    <row r="90" spans="1:17" x14ac:dyDescent="0.25">
      <c r="A90" s="286" t="s">
        <v>204</v>
      </c>
      <c r="B90" s="215">
        <v>798065</v>
      </c>
      <c r="C90" s="280">
        <f>0.95*B90</f>
        <v>758161.75</v>
      </c>
      <c r="D90" s="31">
        <f>+C90-D93</f>
        <v>679861.75</v>
      </c>
      <c r="E90" s="31"/>
      <c r="F90" s="31">
        <f>+D90-F93</f>
        <v>598951.75</v>
      </c>
      <c r="G90" s="31"/>
      <c r="H90" s="31">
        <f>+F90-H93</f>
        <v>518041.75</v>
      </c>
      <c r="I90" s="31"/>
      <c r="J90" s="31">
        <f>+H90-J93</f>
        <v>349198.7926401869</v>
      </c>
      <c r="K90" s="31"/>
      <c r="L90" s="31">
        <f>+J90-L93</f>
        <v>194573.69889018688</v>
      </c>
      <c r="M90" s="48"/>
      <c r="N90" s="439" t="s">
        <v>57</v>
      </c>
      <c r="O90" s="443">
        <f>14483*1.025</f>
        <v>14845.074999999999</v>
      </c>
      <c r="P90" s="43">
        <f>+P92/P93</f>
        <v>9975.8125000000018</v>
      </c>
    </row>
    <row r="91" spans="1:17" x14ac:dyDescent="0.25">
      <c r="A91" s="286"/>
      <c r="B91" s="215"/>
      <c r="C91" s="281"/>
      <c r="D91" s="31"/>
      <c r="E91" s="31"/>
      <c r="F91" s="31"/>
      <c r="G91" s="31"/>
      <c r="H91" s="31"/>
      <c r="I91" s="31"/>
      <c r="J91" s="31"/>
      <c r="K91" s="31"/>
      <c r="L91" s="31"/>
      <c r="M91" s="48"/>
      <c r="N91" s="43"/>
      <c r="O91" s="43"/>
    </row>
    <row r="92" spans="1:17" x14ac:dyDescent="0.25">
      <c r="A92" s="286"/>
      <c r="B92" s="215"/>
      <c r="C92" s="281"/>
      <c r="D92" s="216" t="s">
        <v>207</v>
      </c>
      <c r="E92" s="216" t="s">
        <v>208</v>
      </c>
      <c r="F92" s="216" t="s">
        <v>207</v>
      </c>
      <c r="G92" s="216" t="s">
        <v>208</v>
      </c>
      <c r="H92" s="216" t="s">
        <v>207</v>
      </c>
      <c r="I92" s="216" t="s">
        <v>208</v>
      </c>
      <c r="J92" s="216" t="s">
        <v>207</v>
      </c>
      <c r="K92" s="216" t="s">
        <v>208</v>
      </c>
      <c r="L92" s="216" t="s">
        <v>207</v>
      </c>
      <c r="M92" s="220" t="s">
        <v>208</v>
      </c>
      <c r="N92" s="43">
        <f>B90*0.35/(D$87+F$87+H$87+15)</f>
        <v>2610.4929906542056</v>
      </c>
      <c r="O92" s="43"/>
      <c r="P92" s="43">
        <f>+B90*0.55</f>
        <v>438935.75000000006</v>
      </c>
    </row>
    <row r="93" spans="1:17" x14ac:dyDescent="0.25">
      <c r="A93" s="286" t="s">
        <v>49</v>
      </c>
      <c r="B93" s="215"/>
      <c r="C93" s="281" t="s">
        <v>203</v>
      </c>
      <c r="D93" s="31">
        <f>+E93*D$87</f>
        <v>78300</v>
      </c>
      <c r="E93" s="31">
        <f>ROUND($N92,0)</f>
        <v>2610</v>
      </c>
      <c r="F93" s="31">
        <f>+G93*F$87</f>
        <v>80910</v>
      </c>
      <c r="G93" s="31">
        <f>ROUND($N92,0)</f>
        <v>2610</v>
      </c>
      <c r="H93" s="31">
        <f>+I93*H$87</f>
        <v>80910</v>
      </c>
      <c r="I93" s="31">
        <f>ROUND($N92,0)</f>
        <v>2610</v>
      </c>
      <c r="J93" s="444">
        <f>(N92*15)+(P90*13)</f>
        <v>168842.9573598131</v>
      </c>
      <c r="K93" s="224">
        <f>+J93/J$87</f>
        <v>6030.1056199933246</v>
      </c>
      <c r="L93" s="224">
        <f>+M93*L$87</f>
        <v>154625.09375000003</v>
      </c>
      <c r="M93" s="448">
        <f>+P90/2</f>
        <v>4987.9062500000009</v>
      </c>
      <c r="N93" s="43">
        <f>+D93+F93+H93+J93+L93</f>
        <v>563588.05110981315</v>
      </c>
      <c r="O93" s="43"/>
      <c r="P93" s="43">
        <v>44</v>
      </c>
      <c r="Q93" t="s">
        <v>288</v>
      </c>
    </row>
    <row r="94" spans="1:17" ht="13.8" thickBot="1" x14ac:dyDescent="0.3">
      <c r="A94" s="287"/>
      <c r="B94" s="221"/>
      <c r="C94" s="282"/>
      <c r="D94" s="84"/>
      <c r="E94" s="84"/>
      <c r="F94" s="84"/>
      <c r="G94" s="84"/>
      <c r="H94" s="84"/>
      <c r="I94" s="84"/>
      <c r="J94" s="84"/>
      <c r="K94" s="84"/>
      <c r="L94" s="84"/>
      <c r="M94" s="96"/>
      <c r="O94" s="43"/>
    </row>
    <row r="95" spans="1:17" x14ac:dyDescent="0.25">
      <c r="A95" s="223"/>
      <c r="B95" s="215"/>
      <c r="C95" s="281"/>
      <c r="D95" s="31"/>
      <c r="E95" s="31"/>
      <c r="F95" s="31"/>
      <c r="G95" s="31"/>
      <c r="H95" s="31"/>
      <c r="I95" s="31"/>
      <c r="J95" s="31"/>
      <c r="K95" s="31"/>
      <c r="L95" s="31"/>
      <c r="M95" s="21"/>
      <c r="O95" s="98"/>
    </row>
    <row r="96" spans="1:17" ht="13.8" thickBot="1" x14ac:dyDescent="0.3">
      <c r="A96" s="223"/>
      <c r="B96" s="215"/>
      <c r="C96" s="281"/>
      <c r="D96" s="31"/>
      <c r="E96" s="31"/>
      <c r="F96" s="31"/>
      <c r="G96" s="31"/>
      <c r="H96" s="31"/>
      <c r="I96" s="31"/>
      <c r="J96" s="31"/>
      <c r="K96" s="31"/>
      <c r="L96" s="31"/>
      <c r="M96" s="21"/>
    </row>
    <row r="97" spans="1:17" x14ac:dyDescent="0.25">
      <c r="A97" s="285"/>
      <c r="B97" s="217"/>
      <c r="C97" s="283">
        <f>+C98/B98</f>
        <v>0.95</v>
      </c>
      <c r="D97" s="218">
        <f>+D98/$B98</f>
        <v>0.85186400881690549</v>
      </c>
      <c r="E97" s="218"/>
      <c r="F97" s="218">
        <f>+F98/$B98</f>
        <v>0.7504568179277078</v>
      </c>
      <c r="G97" s="218"/>
      <c r="H97" s="218">
        <f>+H98/$B98</f>
        <v>0.6490496270385101</v>
      </c>
      <c r="I97" s="218"/>
      <c r="J97" s="218">
        <f>+J98/$B98</f>
        <v>0.51134784284139878</v>
      </c>
      <c r="K97" s="218"/>
      <c r="L97" s="218">
        <f>+L98/$B98</f>
        <v>0.40566602465958057</v>
      </c>
      <c r="M97" s="46"/>
      <c r="O97" t="s">
        <v>287</v>
      </c>
      <c r="P97" t="s">
        <v>286</v>
      </c>
    </row>
    <row r="98" spans="1:17" x14ac:dyDescent="0.25">
      <c r="A98" s="286" t="s">
        <v>205</v>
      </c>
      <c r="B98" s="215">
        <v>313035</v>
      </c>
      <c r="C98" s="280">
        <f>0.95*B98</f>
        <v>297383.25</v>
      </c>
      <c r="D98" s="31">
        <f>+C98-D101</f>
        <v>266663.25</v>
      </c>
      <c r="E98" s="31"/>
      <c r="F98" s="31">
        <f>+D98-F101</f>
        <v>234919.25</v>
      </c>
      <c r="G98" s="31"/>
      <c r="H98" s="31">
        <f>+F98-H101</f>
        <v>203175.25</v>
      </c>
      <c r="I98" s="31"/>
      <c r="J98" s="31">
        <f>+H98-J101</f>
        <v>160069.77198385727</v>
      </c>
      <c r="K98" s="31"/>
      <c r="L98" s="31">
        <f>+J98-L101</f>
        <v>126987.66402931181</v>
      </c>
      <c r="M98" s="48"/>
      <c r="N98" s="439" t="s">
        <v>57</v>
      </c>
      <c r="O98" s="443">
        <f>2666*1.025</f>
        <v>2732.6499999999996</v>
      </c>
      <c r="P98" s="43">
        <f>+P100/P101</f>
        <v>2134.3295454545455</v>
      </c>
    </row>
    <row r="99" spans="1:17" x14ac:dyDescent="0.25">
      <c r="A99" s="286"/>
      <c r="B99" s="215"/>
      <c r="C99" s="281"/>
      <c r="D99" s="31"/>
      <c r="E99" s="31"/>
      <c r="F99" s="31"/>
      <c r="G99" s="31"/>
      <c r="H99" s="31"/>
      <c r="I99" s="31"/>
      <c r="J99" s="31"/>
      <c r="K99" s="31"/>
      <c r="L99" s="31"/>
      <c r="M99" s="48"/>
      <c r="O99" s="43"/>
    </row>
    <row r="100" spans="1:17" x14ac:dyDescent="0.25">
      <c r="A100" s="286"/>
      <c r="B100" s="215"/>
      <c r="C100" s="281"/>
      <c r="D100" s="216" t="s">
        <v>207</v>
      </c>
      <c r="E100" s="216" t="s">
        <v>208</v>
      </c>
      <c r="F100" s="216" t="s">
        <v>207</v>
      </c>
      <c r="G100" s="216" t="s">
        <v>208</v>
      </c>
      <c r="H100" s="216" t="s">
        <v>207</v>
      </c>
      <c r="I100" s="216" t="s">
        <v>208</v>
      </c>
      <c r="J100" s="216" t="s">
        <v>207</v>
      </c>
      <c r="K100" s="216" t="s">
        <v>208</v>
      </c>
      <c r="L100" s="216" t="s">
        <v>207</v>
      </c>
      <c r="M100" s="220" t="s">
        <v>208</v>
      </c>
      <c r="N100" s="43">
        <f>B98*0.35/(D$87+F$87+H$87+15)</f>
        <v>1023.9462616822429</v>
      </c>
      <c r="O100" s="43"/>
      <c r="P100" s="43">
        <f>+B98*0.3</f>
        <v>93910.5</v>
      </c>
    </row>
    <row r="101" spans="1:17" ht="13.8" thickBot="1" x14ac:dyDescent="0.3">
      <c r="A101" s="287" t="s">
        <v>50</v>
      </c>
      <c r="B101" s="221"/>
      <c r="C101" s="282" t="s">
        <v>203</v>
      </c>
      <c r="D101" s="84">
        <f>+E101*D$87</f>
        <v>30720</v>
      </c>
      <c r="E101" s="84">
        <f>ROUND($N100,0)</f>
        <v>1024</v>
      </c>
      <c r="F101" s="84">
        <f>+G101*F$87</f>
        <v>31744</v>
      </c>
      <c r="G101" s="84">
        <f>ROUND($N100,0)</f>
        <v>1024</v>
      </c>
      <c r="H101" s="84">
        <f>+I101*H$87</f>
        <v>31744</v>
      </c>
      <c r="I101" s="84">
        <f>ROUND($N100,0)</f>
        <v>1024</v>
      </c>
      <c r="J101" s="449">
        <f>(N100*15)+(P98*13)</f>
        <v>43105.478016142733</v>
      </c>
      <c r="K101" s="450">
        <f>+J101/J$87</f>
        <v>1539.4813577193834</v>
      </c>
      <c r="L101" s="450">
        <f>+M101*L$87</f>
        <v>33082.107954545456</v>
      </c>
      <c r="M101" s="240">
        <f>+P98/2</f>
        <v>1067.1647727272727</v>
      </c>
      <c r="N101" s="43">
        <f>+D101+F101+H101+J101+L101</f>
        <v>170395.5859706882</v>
      </c>
      <c r="O101" s="43"/>
      <c r="P101">
        <v>44</v>
      </c>
      <c r="Q101" t="s">
        <v>288</v>
      </c>
    </row>
    <row r="102" spans="1:17" x14ac:dyDescent="0.25">
      <c r="A102" s="223"/>
      <c r="B102" s="215"/>
      <c r="C102" s="281"/>
      <c r="D102" s="31"/>
      <c r="E102" s="31"/>
      <c r="F102" s="31"/>
      <c r="G102" s="31"/>
      <c r="H102" s="31"/>
      <c r="I102" s="31"/>
      <c r="J102" s="31"/>
      <c r="K102" s="224"/>
      <c r="L102" s="31"/>
      <c r="M102" s="224"/>
    </row>
    <row r="103" spans="1:17" ht="13.8" thickBot="1" x14ac:dyDescent="0.3">
      <c r="A103" s="16"/>
      <c r="B103" s="54"/>
      <c r="C103" s="22"/>
      <c r="D103" s="43"/>
      <c r="E103" s="43"/>
      <c r="F103" s="43"/>
      <c r="G103" s="43"/>
      <c r="H103" s="43"/>
      <c r="I103" s="43"/>
      <c r="J103" s="43"/>
      <c r="K103" s="23"/>
      <c r="L103" s="43"/>
      <c r="M103" s="23"/>
    </row>
    <row r="104" spans="1:17" x14ac:dyDescent="0.25">
      <c r="A104" s="285"/>
      <c r="B104" s="217"/>
      <c r="C104" s="283">
        <f>+C105/B105</f>
        <v>0.95</v>
      </c>
      <c r="D104" s="218">
        <f>+D105/$B105</f>
        <v>0.85187733586813286</v>
      </c>
      <c r="E104" s="218"/>
      <c r="F104" s="218">
        <f>+F105/$B105</f>
        <v>0.75048391626520339</v>
      </c>
      <c r="G104" s="218"/>
      <c r="H104" s="218">
        <f>+H105/$B105</f>
        <v>0.64909049666227392</v>
      </c>
      <c r="I104" s="218"/>
      <c r="J104" s="218">
        <f>+J105/$B105</f>
        <v>0.47297962155607176</v>
      </c>
      <c r="K104" s="218"/>
      <c r="L104" s="218">
        <f>+L105/$B105</f>
        <v>0.32150234882879902</v>
      </c>
      <c r="M104" s="46"/>
      <c r="O104" t="s">
        <v>287</v>
      </c>
      <c r="P104" t="s">
        <v>286</v>
      </c>
    </row>
    <row r="105" spans="1:17" x14ac:dyDescent="0.25">
      <c r="A105" s="286" t="s">
        <v>206</v>
      </c>
      <c r="B105" s="215">
        <v>462890</v>
      </c>
      <c r="C105" s="280">
        <f>0.95*B105</f>
        <v>439745.5</v>
      </c>
      <c r="D105" s="31">
        <f>+C105-D108</f>
        <v>394325.5</v>
      </c>
      <c r="E105" s="31"/>
      <c r="F105" s="31">
        <f>+D105-F108</f>
        <v>347391.5</v>
      </c>
      <c r="G105" s="31"/>
      <c r="H105" s="31">
        <f>+F105-H108</f>
        <v>300457.5</v>
      </c>
      <c r="I105" s="31"/>
      <c r="J105" s="31">
        <f>+H105-J108</f>
        <v>218937.53702209005</v>
      </c>
      <c r="K105" s="31"/>
      <c r="L105" s="31">
        <f>+J105-L108</f>
        <v>148820.22224936279</v>
      </c>
      <c r="M105" s="48"/>
      <c r="N105" s="439" t="s">
        <v>57</v>
      </c>
      <c r="O105" s="443">
        <f>11226*1.025</f>
        <v>11506.65</v>
      </c>
      <c r="P105" s="43">
        <f>+P107/P108</f>
        <v>4523.6977272727272</v>
      </c>
    </row>
    <row r="106" spans="1:17" x14ac:dyDescent="0.25">
      <c r="A106" s="288" t="s">
        <v>231</v>
      </c>
      <c r="B106" s="215"/>
      <c r="C106" s="281"/>
      <c r="D106" s="31"/>
      <c r="E106" s="31"/>
      <c r="F106" s="31"/>
      <c r="G106" s="31"/>
      <c r="H106" s="31"/>
      <c r="I106" s="31"/>
      <c r="J106" s="31"/>
      <c r="K106" s="31"/>
      <c r="L106" s="31"/>
      <c r="M106" s="48"/>
      <c r="O106" s="43"/>
    </row>
    <row r="107" spans="1:17" x14ac:dyDescent="0.25">
      <c r="A107" s="286"/>
      <c r="B107" s="215"/>
      <c r="C107" s="281"/>
      <c r="D107" s="216" t="s">
        <v>207</v>
      </c>
      <c r="E107" s="216" t="s">
        <v>208</v>
      </c>
      <c r="F107" s="216" t="s">
        <v>207</v>
      </c>
      <c r="G107" s="216" t="s">
        <v>208</v>
      </c>
      <c r="H107" s="216" t="s">
        <v>207</v>
      </c>
      <c r="I107" s="216" t="s">
        <v>208</v>
      </c>
      <c r="J107" s="216" t="s">
        <v>207</v>
      </c>
      <c r="K107" s="216" t="s">
        <v>208</v>
      </c>
      <c r="L107" s="216" t="s">
        <v>207</v>
      </c>
      <c r="M107" s="220" t="s">
        <v>208</v>
      </c>
      <c r="N107" s="43">
        <f>B105*0.35/(D$87+F$87+H$87+15)</f>
        <v>1514.1261682242991</v>
      </c>
      <c r="O107" s="43"/>
      <c r="P107" s="43">
        <f>+B105*(0.6-0.17)</f>
        <v>199042.69999999998</v>
      </c>
    </row>
    <row r="108" spans="1:17" ht="13.8" thickBot="1" x14ac:dyDescent="0.3">
      <c r="A108" s="287" t="s">
        <v>51</v>
      </c>
      <c r="B108" s="221"/>
      <c r="C108" s="282" t="s">
        <v>203</v>
      </c>
      <c r="D108" s="84">
        <f>+E108*D$87</f>
        <v>45420</v>
      </c>
      <c r="E108" s="84">
        <f>ROUND($N107,0)</f>
        <v>1514</v>
      </c>
      <c r="F108" s="84">
        <f>+G108*F$87</f>
        <v>46934</v>
      </c>
      <c r="G108" s="84">
        <f>ROUND($N107,0)</f>
        <v>1514</v>
      </c>
      <c r="H108" s="84">
        <f>+I108*H$87</f>
        <v>46934</v>
      </c>
      <c r="I108" s="84">
        <f>ROUND($N107,0)</f>
        <v>1514</v>
      </c>
      <c r="J108" s="449">
        <f>(N107*15)+(P105*13)</f>
        <v>81519.962977909934</v>
      </c>
      <c r="K108" s="450">
        <f>+J108/J$87</f>
        <v>2911.427249211069</v>
      </c>
      <c r="L108" s="456">
        <f>M108*L$87</f>
        <v>70117.314772727274</v>
      </c>
      <c r="M108" s="240">
        <f>+P105/2</f>
        <v>2261.8488636363636</v>
      </c>
      <c r="N108" s="43">
        <f>+D108+F108+H108+J108+L108</f>
        <v>290925.27775063721</v>
      </c>
      <c r="O108" s="43"/>
      <c r="P108">
        <v>44</v>
      </c>
      <c r="Q108" t="s">
        <v>288</v>
      </c>
    </row>
    <row r="109" spans="1:17" x14ac:dyDescent="0.25">
      <c r="A109" s="223"/>
      <c r="B109" s="215"/>
      <c r="C109" s="281"/>
      <c r="D109" s="31"/>
      <c r="E109" s="31"/>
      <c r="F109" s="31"/>
      <c r="G109" s="31"/>
      <c r="H109" s="31"/>
      <c r="I109" s="31"/>
      <c r="J109" s="31"/>
      <c r="K109" s="224"/>
      <c r="L109" s="31"/>
      <c r="M109" s="31"/>
    </row>
    <row r="110" spans="1:17" ht="13.8" thickBot="1" x14ac:dyDescent="0.3">
      <c r="A110" s="16"/>
      <c r="C110" s="16"/>
    </row>
    <row r="111" spans="1:17" x14ac:dyDescent="0.25">
      <c r="A111" s="285"/>
      <c r="B111" s="217"/>
      <c r="C111" s="283">
        <f>+C112/B112</f>
        <v>0.94999999999999984</v>
      </c>
      <c r="D111" s="218">
        <f>+D112/$B112</f>
        <v>0.85186767964545729</v>
      </c>
      <c r="E111" s="218"/>
      <c r="F111" s="218">
        <f>+F112/$B112</f>
        <v>0.75046428194576331</v>
      </c>
      <c r="G111" s="218"/>
      <c r="H111" s="218">
        <f>+H112/$B112</f>
        <v>0.64906088424606934</v>
      </c>
      <c r="I111" s="218"/>
      <c r="J111" s="218">
        <f>+J112/$B112</f>
        <v>0.48772273641259439</v>
      </c>
      <c r="K111" s="218"/>
      <c r="L111" s="218">
        <f>+L112/$B112</f>
        <v>0.35385910004895804</v>
      </c>
      <c r="M111" s="46"/>
      <c r="O111" t="s">
        <v>287</v>
      </c>
      <c r="P111" t="s">
        <v>286</v>
      </c>
    </row>
    <row r="112" spans="1:17" x14ac:dyDescent="0.25">
      <c r="A112" s="286" t="s">
        <v>209</v>
      </c>
      <c r="B112" s="215">
        <v>227448</v>
      </c>
      <c r="C112" s="280">
        <f>0.95*B112</f>
        <v>216075.59999999998</v>
      </c>
      <c r="D112" s="31">
        <f>+C112-D115</f>
        <v>193755.59999999998</v>
      </c>
      <c r="E112" s="31"/>
      <c r="F112" s="31">
        <f>+D112-F115</f>
        <v>170691.59999999998</v>
      </c>
      <c r="G112" s="31"/>
      <c r="H112" s="31">
        <f>+F112-H115</f>
        <v>147627.59999999998</v>
      </c>
      <c r="I112" s="31"/>
      <c r="J112" s="31">
        <f>+H112-J115</f>
        <v>110931.56095157177</v>
      </c>
      <c r="K112" s="31"/>
      <c r="L112" s="31">
        <f>+J112-L115</f>
        <v>80484.544587935408</v>
      </c>
      <c r="M112" s="48"/>
      <c r="N112" s="439" t="s">
        <v>57</v>
      </c>
      <c r="O112" s="443">
        <f>5728*1.025</f>
        <v>5871.2</v>
      </c>
      <c r="P112" s="43">
        <f>+P114/P115</f>
        <v>1964.3236363636365</v>
      </c>
    </row>
    <row r="113" spans="1:17" x14ac:dyDescent="0.25">
      <c r="A113" s="288" t="s">
        <v>232</v>
      </c>
      <c r="B113" s="215"/>
      <c r="C113" s="281"/>
      <c r="D113" s="31"/>
      <c r="E113" s="31"/>
      <c r="F113" s="31"/>
      <c r="G113" s="31"/>
      <c r="H113" s="31"/>
      <c r="I113" s="31"/>
      <c r="J113" s="31"/>
      <c r="K113" s="31"/>
      <c r="L113" s="31"/>
      <c r="M113" s="48"/>
      <c r="O113" s="43"/>
    </row>
    <row r="114" spans="1:17" x14ac:dyDescent="0.25">
      <c r="A114" s="286"/>
      <c r="B114" s="215"/>
      <c r="C114" s="281"/>
      <c r="D114" s="216" t="s">
        <v>207</v>
      </c>
      <c r="E114" s="216" t="s">
        <v>208</v>
      </c>
      <c r="F114" s="216" t="s">
        <v>207</v>
      </c>
      <c r="G114" s="216" t="s">
        <v>208</v>
      </c>
      <c r="H114" s="216" t="s">
        <v>207</v>
      </c>
      <c r="I114" s="216" t="s">
        <v>208</v>
      </c>
      <c r="J114" s="216" t="s">
        <v>207</v>
      </c>
      <c r="K114" s="216" t="s">
        <v>208</v>
      </c>
      <c r="L114" s="216" t="s">
        <v>207</v>
      </c>
      <c r="M114" s="220" t="s">
        <v>208</v>
      </c>
      <c r="N114" s="43">
        <f>B112*0.35/(D$87+F$87+H$87+15)</f>
        <v>743.98878504672882</v>
      </c>
      <c r="O114" s="43"/>
      <c r="P114" s="43">
        <f>+B112*(0.6-0.22)</f>
        <v>86430.24</v>
      </c>
    </row>
    <row r="115" spans="1:17" ht="13.8" thickBot="1" x14ac:dyDescent="0.3">
      <c r="A115" s="287" t="s">
        <v>52</v>
      </c>
      <c r="B115" s="221"/>
      <c r="C115" s="282" t="s">
        <v>203</v>
      </c>
      <c r="D115" s="84">
        <f>+E115*D$87</f>
        <v>22320</v>
      </c>
      <c r="E115" s="84">
        <f>ROUND($N114,0)</f>
        <v>744</v>
      </c>
      <c r="F115" s="84">
        <f>+G115*F$87</f>
        <v>23064</v>
      </c>
      <c r="G115" s="84">
        <f>ROUND($N114,0)</f>
        <v>744</v>
      </c>
      <c r="H115" s="84">
        <f>+I115*H$87</f>
        <v>23064</v>
      </c>
      <c r="I115" s="84">
        <f>ROUND($N114,0)</f>
        <v>744</v>
      </c>
      <c r="J115" s="449">
        <f>(N114*15)+(P112*13)</f>
        <v>36696.039048428211</v>
      </c>
      <c r="K115" s="450">
        <f>+J115/J$87</f>
        <v>1310.5728231581504</v>
      </c>
      <c r="L115" s="450">
        <f>+M115*L$87</f>
        <v>30447.016363636365</v>
      </c>
      <c r="M115" s="240">
        <f>+P112/2</f>
        <v>982.16181818181826</v>
      </c>
      <c r="N115" s="43">
        <f>+D115+F115+H115+J115+L115</f>
        <v>135591.05541206457</v>
      </c>
      <c r="O115" s="43"/>
      <c r="P115">
        <v>44</v>
      </c>
      <c r="Q115" t="s">
        <v>288</v>
      </c>
    </row>
    <row r="116" spans="1:17" x14ac:dyDescent="0.25">
      <c r="A116" s="223"/>
      <c r="B116" s="215"/>
      <c r="C116" s="281"/>
      <c r="D116" s="31"/>
      <c r="E116" s="31"/>
      <c r="F116" s="31"/>
      <c r="G116" s="31"/>
      <c r="H116" s="31"/>
      <c r="I116" s="31"/>
      <c r="J116" s="31"/>
      <c r="K116" s="31"/>
      <c r="L116" s="31"/>
      <c r="M116" s="31"/>
    </row>
    <row r="117" spans="1:17" ht="13.8" thickBot="1" x14ac:dyDescent="0.3">
      <c r="A117" s="16"/>
      <c r="C117" s="16"/>
    </row>
    <row r="118" spans="1:17" x14ac:dyDescent="0.25">
      <c r="A118" s="285"/>
      <c r="B118" s="217"/>
      <c r="C118" s="283">
        <f>+C119/B119</f>
        <v>0.95</v>
      </c>
      <c r="D118" s="218">
        <f>+D119/$B119</f>
        <v>0.85186842033553445</v>
      </c>
      <c r="E118" s="218"/>
      <c r="F118" s="218">
        <f>+F119/$B119</f>
        <v>0.75046578801558683</v>
      </c>
      <c r="G118" s="218"/>
      <c r="H118" s="218">
        <f>+H119/$B119</f>
        <v>0.6490631556956391</v>
      </c>
      <c r="I118" s="218"/>
      <c r="J118" s="218">
        <f>+J119/$B119</f>
        <v>0.50249773513489149</v>
      </c>
      <c r="K118" s="218"/>
      <c r="L118" s="218">
        <f>+L119/$B119</f>
        <v>0.38624773513489147</v>
      </c>
      <c r="M118" s="46"/>
      <c r="O118" t="s">
        <v>287</v>
      </c>
      <c r="P118" t="s">
        <v>286</v>
      </c>
    </row>
    <row r="119" spans="1:17" x14ac:dyDescent="0.25">
      <c r="A119" s="286" t="s">
        <v>210</v>
      </c>
      <c r="B119" s="215">
        <v>2752325</v>
      </c>
      <c r="C119" s="280">
        <f>0.95*B119</f>
        <v>2614708.75</v>
      </c>
      <c r="D119" s="31">
        <f>+C119-D122</f>
        <v>2344618.75</v>
      </c>
      <c r="E119" s="31"/>
      <c r="F119" s="31">
        <f>+D119-F122</f>
        <v>2065525.75</v>
      </c>
      <c r="G119" s="31"/>
      <c r="H119" s="31">
        <f>+F119-H122</f>
        <v>1786432.75</v>
      </c>
      <c r="I119" s="31"/>
      <c r="J119" s="31">
        <f>+H119-J122</f>
        <v>1383037.0788551401</v>
      </c>
      <c r="K119" s="31"/>
      <c r="L119" s="31">
        <f>+J119-L122</f>
        <v>1063079.2976051401</v>
      </c>
      <c r="M119" s="48"/>
      <c r="N119" s="439" t="s">
        <v>57</v>
      </c>
      <c r="O119" s="443">
        <f>24647*1.025</f>
        <v>25263.174999999999</v>
      </c>
      <c r="P119" s="43">
        <f>+P121/P122</f>
        <v>20642.437499999996</v>
      </c>
    </row>
    <row r="120" spans="1:17" x14ac:dyDescent="0.25">
      <c r="A120" s="286"/>
      <c r="B120" s="215"/>
      <c r="C120" s="281"/>
      <c r="D120" s="31"/>
      <c r="E120" s="31"/>
      <c r="F120" s="31"/>
      <c r="G120" s="31"/>
      <c r="H120" s="31"/>
      <c r="I120" s="31"/>
      <c r="J120" s="31"/>
      <c r="K120" s="31"/>
      <c r="L120" s="31"/>
      <c r="M120" s="48"/>
      <c r="O120" s="43"/>
    </row>
    <row r="121" spans="1:17" x14ac:dyDescent="0.25">
      <c r="A121" s="286"/>
      <c r="B121" s="215"/>
      <c r="C121" s="281"/>
      <c r="D121" s="216" t="s">
        <v>207</v>
      </c>
      <c r="E121" s="216" t="s">
        <v>208</v>
      </c>
      <c r="F121" s="216" t="s">
        <v>207</v>
      </c>
      <c r="G121" s="216" t="s">
        <v>208</v>
      </c>
      <c r="H121" s="216" t="s">
        <v>207</v>
      </c>
      <c r="I121" s="216" t="s">
        <v>208</v>
      </c>
      <c r="J121" s="216" t="s">
        <v>207</v>
      </c>
      <c r="K121" s="216" t="s">
        <v>208</v>
      </c>
      <c r="L121" s="216" t="s">
        <v>207</v>
      </c>
      <c r="M121" s="220" t="s">
        <v>208</v>
      </c>
      <c r="N121" s="43">
        <f>B119*0.35/(D$87+F$87+H$87+15)</f>
        <v>9002.9322429906533</v>
      </c>
      <c r="O121" s="43"/>
      <c r="P121" s="43">
        <f>+B119*(0.6-0.27)</f>
        <v>908267.24999999988</v>
      </c>
    </row>
    <row r="122" spans="1:17" ht="13.8" thickBot="1" x14ac:dyDescent="0.3">
      <c r="A122" s="287" t="s">
        <v>53</v>
      </c>
      <c r="B122" s="221"/>
      <c r="C122" s="282" t="s">
        <v>203</v>
      </c>
      <c r="D122" s="84">
        <f>+E122*D$87</f>
        <v>270090</v>
      </c>
      <c r="E122" s="84">
        <f>ROUND($N121,0)</f>
        <v>9003</v>
      </c>
      <c r="F122" s="84">
        <f>+G122*F$87</f>
        <v>279093</v>
      </c>
      <c r="G122" s="84">
        <f>ROUND($N121,0)</f>
        <v>9003</v>
      </c>
      <c r="H122" s="84">
        <f>+I122*H$87</f>
        <v>279093</v>
      </c>
      <c r="I122" s="84">
        <f>ROUND($N121,0)</f>
        <v>9003</v>
      </c>
      <c r="J122" s="449">
        <f>(N121*15)+(P119*13)</f>
        <v>403395.67114485975</v>
      </c>
      <c r="K122" s="450">
        <f>+J122/J$87</f>
        <v>14406.988255173563</v>
      </c>
      <c r="L122" s="450">
        <f>+M122*L$87</f>
        <v>319957.78124999994</v>
      </c>
      <c r="M122" s="240">
        <f>+P119/2</f>
        <v>10321.218749999998</v>
      </c>
      <c r="N122" s="43">
        <f>+D122+F122+H122+J122+L122</f>
        <v>1551629.4523948599</v>
      </c>
      <c r="O122" s="43"/>
      <c r="P122">
        <v>44</v>
      </c>
      <c r="Q122" t="s">
        <v>288</v>
      </c>
    </row>
    <row r="123" spans="1:17" x14ac:dyDescent="0.25">
      <c r="A123" s="16"/>
      <c r="B123" s="54"/>
      <c r="C123" s="22"/>
      <c r="D123" s="43"/>
      <c r="E123" s="43"/>
      <c r="F123" s="43"/>
      <c r="G123" s="43"/>
      <c r="H123" s="43"/>
      <c r="I123" s="43"/>
      <c r="J123" s="43"/>
      <c r="K123" s="43"/>
      <c r="L123" s="43"/>
      <c r="M123" s="43"/>
    </row>
    <row r="124" spans="1:17" ht="13.8" thickBot="1" x14ac:dyDescent="0.3">
      <c r="A124" s="16"/>
      <c r="B124" s="54"/>
      <c r="C124" s="22"/>
      <c r="D124" s="43"/>
      <c r="E124" s="43"/>
      <c r="F124" s="43"/>
      <c r="G124" s="43"/>
      <c r="H124" s="43"/>
      <c r="J124" s="43"/>
      <c r="K124" s="43"/>
      <c r="L124" s="43"/>
      <c r="M124" s="43"/>
    </row>
    <row r="125" spans="1:17" x14ac:dyDescent="0.25">
      <c r="A125" s="285"/>
      <c r="B125" s="217"/>
      <c r="C125" s="283">
        <f>+C126/B126</f>
        <v>0.95</v>
      </c>
      <c r="D125" s="218">
        <f>+D126/$B126</f>
        <v>0.95</v>
      </c>
      <c r="E125" s="218"/>
      <c r="F125" s="218">
        <f>+F126/$B126</f>
        <v>0.92714285714285716</v>
      </c>
      <c r="G125" s="218"/>
      <c r="H125" s="218">
        <f>+H126/$B126</f>
        <v>0.79</v>
      </c>
      <c r="I125" s="218"/>
      <c r="J125" s="218">
        <f>+J126/$B126</f>
        <v>0.63455303135888497</v>
      </c>
      <c r="K125" s="218"/>
      <c r="L125" s="218">
        <f>+L126/$B126</f>
        <v>0.37288278745644599</v>
      </c>
      <c r="M125" s="46"/>
    </row>
    <row r="126" spans="1:17" x14ac:dyDescent="0.25">
      <c r="A126" s="442" t="s">
        <v>284</v>
      </c>
      <c r="B126" s="222">
        <v>1793750</v>
      </c>
      <c r="C126" s="280">
        <f>0.95*B126</f>
        <v>1704062.5</v>
      </c>
      <c r="D126" s="31">
        <f>+C126-D129</f>
        <v>1704062.5</v>
      </c>
      <c r="E126" s="31"/>
      <c r="F126" s="31">
        <f>+D126-F129</f>
        <v>1663062.5</v>
      </c>
      <c r="G126" s="31"/>
      <c r="H126" s="31">
        <f>+F126-H129</f>
        <v>1417062.5</v>
      </c>
      <c r="I126" s="31"/>
      <c r="J126" s="31">
        <f>+H126-J129</f>
        <v>1138229.5</v>
      </c>
      <c r="K126" s="31"/>
      <c r="L126" s="31">
        <f>+J126-L129</f>
        <v>668858.5</v>
      </c>
      <c r="M126" s="48"/>
    </row>
    <row r="127" spans="1:17" x14ac:dyDescent="0.25">
      <c r="B127" s="222"/>
      <c r="C127" s="280"/>
      <c r="D127" s="31"/>
      <c r="E127" s="31"/>
      <c r="F127" s="31"/>
      <c r="G127" s="31"/>
      <c r="H127" s="31"/>
      <c r="I127" s="31"/>
      <c r="J127" s="31"/>
      <c r="K127" s="31"/>
      <c r="L127" s="31"/>
      <c r="M127" s="48"/>
    </row>
    <row r="128" spans="1:17" x14ac:dyDescent="0.25">
      <c r="A128" s="441" t="s">
        <v>272</v>
      </c>
      <c r="B128" s="16" t="s">
        <v>271</v>
      </c>
      <c r="C128" s="280"/>
      <c r="D128" s="216" t="s">
        <v>207</v>
      </c>
      <c r="E128" s="216"/>
      <c r="F128" s="216" t="s">
        <v>207</v>
      </c>
      <c r="G128" s="216"/>
      <c r="H128" s="216" t="s">
        <v>207</v>
      </c>
      <c r="I128" s="216"/>
      <c r="J128" s="216" t="s">
        <v>207</v>
      </c>
      <c r="K128" s="216"/>
      <c r="L128" s="216" t="s">
        <v>207</v>
      </c>
      <c r="M128" s="220"/>
    </row>
    <row r="129" spans="1:15" ht="13.8" thickBot="1" x14ac:dyDescent="0.3">
      <c r="A129" s="284"/>
      <c r="B129" s="451" t="s">
        <v>283</v>
      </c>
      <c r="C129" s="452"/>
      <c r="D129" s="84">
        <f>+B24</f>
        <v>0</v>
      </c>
      <c r="E129" s="84"/>
      <c r="F129" s="84">
        <f>+D24</f>
        <v>41000</v>
      </c>
      <c r="G129" s="84"/>
      <c r="H129" s="84">
        <f>+F24</f>
        <v>246000</v>
      </c>
      <c r="I129" s="84"/>
      <c r="J129" s="84">
        <f>+H24</f>
        <v>278833</v>
      </c>
      <c r="K129" s="450"/>
      <c r="L129" s="84">
        <f>+J24</f>
        <v>469371</v>
      </c>
      <c r="M129" s="240"/>
      <c r="N129" s="43">
        <f>+D129+F129+H129+J129+L129</f>
        <v>1035204</v>
      </c>
    </row>
    <row r="130" spans="1:15" x14ac:dyDescent="0.25">
      <c r="A130" s="223"/>
      <c r="B130" s="17"/>
      <c r="C130" s="280"/>
      <c r="D130" s="31"/>
      <c r="E130" s="31"/>
      <c r="F130" s="31"/>
      <c r="G130" s="31"/>
      <c r="H130" s="31"/>
      <c r="I130" s="31"/>
      <c r="J130" s="31"/>
      <c r="K130" s="31"/>
      <c r="L130" s="31"/>
      <c r="M130" s="62"/>
    </row>
    <row r="131" spans="1:15" ht="13.8" thickBot="1" x14ac:dyDescent="0.3">
      <c r="A131" s="284"/>
      <c r="B131" s="88"/>
      <c r="C131" s="284"/>
      <c r="D131" s="94"/>
      <c r="E131" s="94"/>
      <c r="F131" s="94"/>
      <c r="G131" s="94"/>
      <c r="H131" s="94"/>
      <c r="I131" s="94"/>
      <c r="J131" s="94"/>
      <c r="K131" s="94"/>
      <c r="L131" s="94"/>
      <c r="M131" s="96"/>
    </row>
    <row r="132" spans="1:15" x14ac:dyDescent="0.25">
      <c r="A132" s="441" t="s">
        <v>277</v>
      </c>
      <c r="B132" s="24">
        <f>1750000*0.95</f>
        <v>1662500</v>
      </c>
      <c r="C132" s="445">
        <v>0.95</v>
      </c>
      <c r="D132" t="s">
        <v>276</v>
      </c>
      <c r="O132" s="98"/>
    </row>
    <row r="133" spans="1:15" x14ac:dyDescent="0.25">
      <c r="A133" s="441" t="s">
        <v>274</v>
      </c>
      <c r="B133" s="24">
        <f>+B134-B132</f>
        <v>-356373</v>
      </c>
      <c r="E133" s="446">
        <f>+B133/20000</f>
        <v>-17.818650000000002</v>
      </c>
      <c r="F133" t="s">
        <v>275</v>
      </c>
      <c r="N133" s="43"/>
      <c r="O133" s="98"/>
    </row>
    <row r="134" spans="1:15" x14ac:dyDescent="0.25">
      <c r="A134" s="447" t="s">
        <v>278</v>
      </c>
      <c r="B134" s="43">
        <v>1306127</v>
      </c>
      <c r="C134" s="445">
        <v>0.75</v>
      </c>
      <c r="D134" t="s">
        <v>276</v>
      </c>
    </row>
    <row r="135" spans="1:15" x14ac:dyDescent="0.25">
      <c r="A135" s="447" t="s">
        <v>280</v>
      </c>
      <c r="B135" s="43">
        <v>-649953</v>
      </c>
      <c r="C135" s="16"/>
    </row>
    <row r="136" spans="1:15" x14ac:dyDescent="0.25">
      <c r="A136" s="447" t="s">
        <v>281</v>
      </c>
      <c r="B136">
        <v>44</v>
      </c>
    </row>
    <row r="137" spans="1:15" x14ac:dyDescent="0.25">
      <c r="A137" s="447" t="s">
        <v>279</v>
      </c>
      <c r="B137" s="42">
        <f>+B135/B136</f>
        <v>-14771.65909090909</v>
      </c>
      <c r="C137" s="43" t="s">
        <v>273</v>
      </c>
      <c r="E137" s="43"/>
    </row>
    <row r="138" spans="1:15" x14ac:dyDescent="0.25">
      <c r="B138" s="42">
        <f>+B137*1.025</f>
        <v>-15140.950568181815</v>
      </c>
      <c r="C138" t="s">
        <v>282</v>
      </c>
    </row>
  </sheetData>
  <mergeCells count="5">
    <mergeCell ref="J9:K9"/>
    <mergeCell ref="B9:C9"/>
    <mergeCell ref="D9:E9"/>
    <mergeCell ref="F9:G9"/>
    <mergeCell ref="H9:I9"/>
  </mergeCells>
  <phoneticPr fontId="0" type="noConversion"/>
  <pageMargins left="0.64" right="0.62" top="1" bottom="1" header="0.5" footer="0.5"/>
  <pageSetup scale="49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D1" zoomScale="75" zoomScaleNormal="75" workbookViewId="0">
      <selection sqref="A1:IV65536"/>
    </sheetView>
  </sheetViews>
  <sheetFormatPr defaultColWidth="9.109375" defaultRowHeight="14.4" x14ac:dyDescent="0.3"/>
  <cols>
    <col min="1" max="1" width="26.6640625" style="206" customWidth="1"/>
    <col min="2" max="3" width="18.6640625" style="206" customWidth="1"/>
    <col min="4" max="4" width="27.6640625" style="206" customWidth="1"/>
    <col min="5" max="5" width="15.6640625" style="206" customWidth="1"/>
    <col min="6" max="7" width="12.6640625" style="206" customWidth="1"/>
    <col min="8" max="8" width="17.6640625" style="206" customWidth="1"/>
    <col min="9" max="10" width="15.6640625" style="206" customWidth="1"/>
    <col min="11" max="13" width="18.6640625" style="107" customWidth="1"/>
    <col min="14" max="21" width="15.88671875" style="107" customWidth="1"/>
    <col min="22" max="16384" width="9.109375" style="107"/>
  </cols>
  <sheetData>
    <row r="1" spans="1:21" ht="17.399999999999999" x14ac:dyDescent="0.3">
      <c r="A1" s="561" t="s">
        <v>18</v>
      </c>
      <c r="B1" s="562"/>
      <c r="C1" s="562"/>
      <c r="D1" s="562"/>
      <c r="E1" s="562"/>
      <c r="F1" s="562"/>
      <c r="G1" s="562"/>
      <c r="H1" s="562"/>
      <c r="I1" s="562"/>
      <c r="J1" s="563"/>
      <c r="K1" s="561" t="s">
        <v>18</v>
      </c>
      <c r="L1" s="562"/>
      <c r="M1" s="562"/>
      <c r="N1" s="562"/>
      <c r="O1" s="562"/>
      <c r="P1" s="562"/>
      <c r="Q1" s="562"/>
      <c r="R1" s="562"/>
      <c r="S1" s="562"/>
      <c r="T1" s="562"/>
      <c r="U1" s="563"/>
    </row>
    <row r="2" spans="1:21" ht="17.399999999999999" x14ac:dyDescent="0.3">
      <c r="A2" s="564" t="s">
        <v>167</v>
      </c>
      <c r="B2" s="565"/>
      <c r="C2" s="565"/>
      <c r="D2" s="565"/>
      <c r="E2" s="565"/>
      <c r="F2" s="565"/>
      <c r="G2" s="565"/>
      <c r="H2" s="565"/>
      <c r="I2" s="565"/>
      <c r="J2" s="566"/>
      <c r="K2" s="564" t="s">
        <v>168</v>
      </c>
      <c r="L2" s="565"/>
      <c r="M2" s="565"/>
      <c r="N2" s="565"/>
      <c r="O2" s="565"/>
      <c r="P2" s="565"/>
      <c r="Q2" s="565"/>
      <c r="R2" s="565"/>
      <c r="S2" s="565"/>
      <c r="T2" s="565"/>
      <c r="U2" s="566"/>
    </row>
    <row r="3" spans="1:21" x14ac:dyDescent="0.3">
      <c r="A3" s="108"/>
      <c r="B3" s="109"/>
      <c r="C3"/>
      <c r="D3" s="567" t="s">
        <v>187</v>
      </c>
      <c r="E3" s="567"/>
      <c r="F3" s="567"/>
      <c r="G3"/>
      <c r="H3" s="109"/>
      <c r="I3" s="109"/>
      <c r="J3" s="110"/>
      <c r="K3" s="108"/>
      <c r="L3" s="109"/>
      <c r="M3"/>
      <c r="N3" s="567" t="s">
        <v>187</v>
      </c>
      <c r="O3" s="567"/>
      <c r="P3" s="567"/>
      <c r="Q3" s="567"/>
      <c r="R3"/>
      <c r="S3"/>
      <c r="T3" s="109"/>
      <c r="U3" s="110"/>
    </row>
    <row r="4" spans="1:21" x14ac:dyDescent="0.3">
      <c r="A4" s="111"/>
      <c r="B4" s="112"/>
      <c r="C4" s="112"/>
      <c r="D4" s="112"/>
      <c r="E4" s="112"/>
      <c r="F4" s="541" t="s">
        <v>154</v>
      </c>
      <c r="G4" s="541"/>
      <c r="H4" s="541"/>
      <c r="I4" s="541"/>
      <c r="J4" s="542"/>
      <c r="K4" s="113"/>
      <c r="L4" s="114"/>
      <c r="M4" s="114"/>
      <c r="N4" s="114"/>
      <c r="O4" s="114"/>
      <c r="P4" s="114"/>
      <c r="Q4" s="114"/>
      <c r="R4" s="114"/>
      <c r="S4" s="114"/>
      <c r="T4" s="114"/>
      <c r="U4" s="115"/>
    </row>
    <row r="5" spans="1:21" ht="15" customHeight="1" x14ac:dyDescent="0.3">
      <c r="A5" s="116" t="s">
        <v>67</v>
      </c>
      <c r="B5" s="543" t="s">
        <v>65</v>
      </c>
      <c r="C5" s="544"/>
      <c r="D5" s="117" t="s">
        <v>68</v>
      </c>
      <c r="E5" s="118"/>
      <c r="F5" s="117" t="s">
        <v>69</v>
      </c>
      <c r="G5" s="119"/>
      <c r="H5" s="120" t="s">
        <v>70</v>
      </c>
      <c r="I5" s="121" t="s">
        <v>84</v>
      </c>
      <c r="J5" s="121"/>
      <c r="K5" s="116" t="s">
        <v>67</v>
      </c>
      <c r="L5" s="545" t="s">
        <v>65</v>
      </c>
      <c r="M5" s="546"/>
      <c r="N5" s="117" t="s">
        <v>71</v>
      </c>
      <c r="O5" s="119"/>
      <c r="P5" s="547" t="s">
        <v>188</v>
      </c>
      <c r="Q5" s="548"/>
      <c r="R5" s="548"/>
      <c r="S5" s="548"/>
      <c r="T5" s="548"/>
      <c r="U5" s="549"/>
    </row>
    <row r="6" spans="1:21" x14ac:dyDescent="0.3">
      <c r="A6" s="122" t="s">
        <v>72</v>
      </c>
      <c r="B6" s="556" t="s">
        <v>143</v>
      </c>
      <c r="C6" s="557"/>
      <c r="D6" s="123" t="s">
        <v>74</v>
      </c>
      <c r="E6" s="124">
        <v>0.97768819926642003</v>
      </c>
      <c r="F6" s="125" t="s">
        <v>75</v>
      </c>
      <c r="G6" s="126"/>
      <c r="H6" s="127">
        <v>71.5</v>
      </c>
      <c r="I6" s="128">
        <v>32864</v>
      </c>
      <c r="J6" s="129"/>
      <c r="K6" s="122" t="s">
        <v>72</v>
      </c>
      <c r="L6" s="558" t="s">
        <v>143</v>
      </c>
      <c r="M6" s="530"/>
      <c r="N6" s="130">
        <v>188401</v>
      </c>
      <c r="O6" s="131"/>
      <c r="P6" s="550"/>
      <c r="Q6" s="551"/>
      <c r="R6" s="551"/>
      <c r="S6" s="551"/>
      <c r="T6" s="551"/>
      <c r="U6" s="552"/>
    </row>
    <row r="7" spans="1:21" x14ac:dyDescent="0.3">
      <c r="A7" s="122" t="s">
        <v>77</v>
      </c>
      <c r="B7" s="529" t="s">
        <v>144</v>
      </c>
      <c r="C7" s="530"/>
      <c r="D7" s="132" t="s">
        <v>79</v>
      </c>
      <c r="E7" s="133">
        <v>1525.9785747134699</v>
      </c>
      <c r="F7" s="125" t="s">
        <v>80</v>
      </c>
      <c r="G7" s="126"/>
      <c r="H7" s="134">
        <v>59.5</v>
      </c>
      <c r="I7" s="135">
        <v>32863</v>
      </c>
      <c r="J7" s="136"/>
      <c r="K7" s="137" t="s">
        <v>77</v>
      </c>
      <c r="L7" s="559" t="s">
        <v>144</v>
      </c>
      <c r="M7" s="560"/>
      <c r="N7" s="117"/>
      <c r="O7" s="119"/>
      <c r="P7" s="553"/>
      <c r="Q7" s="554"/>
      <c r="R7" s="554"/>
      <c r="S7" s="554"/>
      <c r="T7" s="554"/>
      <c r="U7" s="555"/>
    </row>
    <row r="8" spans="1:21" ht="15.6" x14ac:dyDescent="0.3">
      <c r="A8" s="122" t="s">
        <v>81</v>
      </c>
      <c r="B8" s="527" t="s">
        <v>64</v>
      </c>
      <c r="C8" s="528"/>
      <c r="D8" s="132" t="s">
        <v>82</v>
      </c>
      <c r="E8" s="133">
        <v>2990.9180064384009</v>
      </c>
      <c r="F8" s="125"/>
      <c r="G8" s="126"/>
      <c r="H8" s="121" t="s">
        <v>83</v>
      </c>
      <c r="I8" s="138" t="s">
        <v>84</v>
      </c>
      <c r="J8" s="121" t="s">
        <v>85</v>
      </c>
      <c r="K8" s="139"/>
      <c r="L8" s="140"/>
      <c r="M8" s="140"/>
      <c r="N8" s="140"/>
      <c r="O8" s="140"/>
      <c r="P8" s="140"/>
      <c r="Q8" s="140"/>
      <c r="R8" s="140"/>
      <c r="S8" s="140"/>
      <c r="T8" s="140"/>
      <c r="U8" s="141"/>
    </row>
    <row r="9" spans="1:21" ht="15.6" x14ac:dyDescent="0.3">
      <c r="A9" s="122" t="s">
        <v>86</v>
      </c>
      <c r="B9" s="527" t="s">
        <v>76</v>
      </c>
      <c r="C9" s="528"/>
      <c r="D9" s="132" t="s">
        <v>87</v>
      </c>
      <c r="E9" s="142">
        <v>71179</v>
      </c>
      <c r="F9" s="125" t="s">
        <v>88</v>
      </c>
      <c r="G9" s="126"/>
      <c r="H9" s="134">
        <v>62.32</v>
      </c>
      <c r="I9" s="143">
        <v>41645</v>
      </c>
      <c r="J9" s="144">
        <v>60066</v>
      </c>
      <c r="K9" s="524" t="s">
        <v>89</v>
      </c>
      <c r="L9" s="525"/>
      <c r="M9" s="525"/>
      <c r="N9" s="525"/>
      <c r="O9" s="525"/>
      <c r="P9" s="525"/>
      <c r="Q9" s="525"/>
      <c r="R9" s="525"/>
      <c r="S9" s="525"/>
      <c r="T9" s="525"/>
      <c r="U9" s="526"/>
    </row>
    <row r="10" spans="1:21" x14ac:dyDescent="0.3">
      <c r="A10" s="122" t="s">
        <v>90</v>
      </c>
      <c r="B10" s="529" t="s">
        <v>91</v>
      </c>
      <c r="C10" s="530"/>
      <c r="D10" s="132" t="s">
        <v>92</v>
      </c>
      <c r="E10" s="133">
        <v>117222</v>
      </c>
      <c r="F10" s="145" t="s">
        <v>93</v>
      </c>
      <c r="G10" s="146"/>
      <c r="H10" s="147">
        <v>62.32</v>
      </c>
      <c r="I10" s="148">
        <v>41645</v>
      </c>
      <c r="J10" s="149">
        <v>60066</v>
      </c>
      <c r="K10" s="150"/>
      <c r="L10" s="151" t="s">
        <v>94</v>
      </c>
      <c r="M10" s="152"/>
      <c r="N10" s="151" t="s">
        <v>95</v>
      </c>
      <c r="O10" s="152"/>
      <c r="P10" s="151" t="s">
        <v>96</v>
      </c>
      <c r="Q10" s="152"/>
      <c r="R10" s="151" t="s">
        <v>97</v>
      </c>
      <c r="S10" s="152"/>
      <c r="T10" s="151" t="s">
        <v>98</v>
      </c>
      <c r="U10" s="153"/>
    </row>
    <row r="11" spans="1:21" ht="15" customHeight="1" x14ac:dyDescent="0.3">
      <c r="A11" s="531" t="s">
        <v>189</v>
      </c>
      <c r="B11" s="532"/>
      <c r="C11" s="533"/>
      <c r="D11" s="154" t="s">
        <v>99</v>
      </c>
      <c r="E11" s="155">
        <v>188401</v>
      </c>
      <c r="F11" s="117" t="s">
        <v>100</v>
      </c>
      <c r="G11" s="119"/>
      <c r="H11" s="120" t="s">
        <v>101</v>
      </c>
      <c r="I11" s="121" t="s">
        <v>102</v>
      </c>
      <c r="J11" s="121" t="s">
        <v>103</v>
      </c>
      <c r="K11" s="156" t="s">
        <v>104</v>
      </c>
      <c r="L11" s="120" t="s">
        <v>105</v>
      </c>
      <c r="M11" s="120" t="s">
        <v>37</v>
      </c>
      <c r="N11" s="120" t="s">
        <v>105</v>
      </c>
      <c r="O11" s="120" t="s">
        <v>37</v>
      </c>
      <c r="P11" s="120" t="s">
        <v>105</v>
      </c>
      <c r="Q11" s="120" t="s">
        <v>37</v>
      </c>
      <c r="R11" s="120" t="s">
        <v>105</v>
      </c>
      <c r="S11" s="120" t="s">
        <v>37</v>
      </c>
      <c r="T11" s="120" t="s">
        <v>105</v>
      </c>
      <c r="U11" s="120" t="s">
        <v>37</v>
      </c>
    </row>
    <row r="12" spans="1:21" x14ac:dyDescent="0.3">
      <c r="A12" s="534"/>
      <c r="B12" s="535"/>
      <c r="C12" s="536"/>
      <c r="D12" s="118" t="s">
        <v>106</v>
      </c>
      <c r="E12" s="157"/>
      <c r="F12" s="116" t="s">
        <v>107</v>
      </c>
      <c r="G12" s="116"/>
      <c r="H12" s="101">
        <v>4404774.5515613351</v>
      </c>
      <c r="I12" s="101">
        <v>0</v>
      </c>
      <c r="J12" s="101">
        <v>4404774.5515613351</v>
      </c>
      <c r="K12" s="122" t="s">
        <v>40</v>
      </c>
      <c r="L12" s="158">
        <v>908.00000000000011</v>
      </c>
      <c r="M12" s="159">
        <v>906385.22668374237</v>
      </c>
      <c r="N12" s="158">
        <v>998.80000000000052</v>
      </c>
      <c r="O12" s="159">
        <v>976380.86231120268</v>
      </c>
      <c r="P12" s="158">
        <v>1089.6000000000004</v>
      </c>
      <c r="Q12" s="159">
        <v>1046376.497938663</v>
      </c>
      <c r="R12" s="158">
        <v>817.20000000000016</v>
      </c>
      <c r="S12" s="159">
        <v>836389.59105628193</v>
      </c>
      <c r="T12" s="158">
        <v>726.39999999999986</v>
      </c>
      <c r="U12" s="159">
        <v>766393.95542882185</v>
      </c>
    </row>
    <row r="13" spans="1:21" x14ac:dyDescent="0.3">
      <c r="A13" s="534"/>
      <c r="B13" s="535"/>
      <c r="C13" s="536"/>
      <c r="D13" s="160" t="s">
        <v>108</v>
      </c>
      <c r="E13" s="159">
        <v>182248</v>
      </c>
      <c r="F13" s="126" t="s">
        <v>109</v>
      </c>
      <c r="G13" s="122"/>
      <c r="H13" s="161">
        <v>3344216.8221065896</v>
      </c>
      <c r="I13" s="161">
        <v>0</v>
      </c>
      <c r="J13" s="161">
        <v>3344216.8221065896</v>
      </c>
      <c r="K13" s="122" t="s">
        <v>41</v>
      </c>
      <c r="L13" s="142">
        <v>706.00000000000034</v>
      </c>
      <c r="M13" s="133">
        <v>707234.83717624494</v>
      </c>
      <c r="N13" s="142">
        <v>776.60000000000048</v>
      </c>
      <c r="O13" s="133">
        <v>761871.89565057913</v>
      </c>
      <c r="P13" s="142">
        <v>847.19999999999982</v>
      </c>
      <c r="Q13" s="133">
        <v>816508.95412491332</v>
      </c>
      <c r="R13" s="142">
        <v>635.4000000000002</v>
      </c>
      <c r="S13" s="133">
        <v>652597.77870191098</v>
      </c>
      <c r="T13" s="142">
        <v>564.80000000000007</v>
      </c>
      <c r="U13" s="133">
        <v>597960.72022757703</v>
      </c>
    </row>
    <row r="14" spans="1:21" ht="15" customHeight="1" x14ac:dyDescent="0.3">
      <c r="A14" s="534"/>
      <c r="B14" s="535"/>
      <c r="C14" s="536"/>
      <c r="D14" s="162" t="s">
        <v>110</v>
      </c>
      <c r="E14" s="133">
        <v>-6153</v>
      </c>
      <c r="F14" s="540" t="s">
        <v>190</v>
      </c>
      <c r="G14" s="532"/>
      <c r="H14" s="532"/>
      <c r="I14" s="532"/>
      <c r="J14" s="533"/>
      <c r="K14" s="122" t="s">
        <v>42</v>
      </c>
      <c r="L14" s="142">
        <v>520</v>
      </c>
      <c r="M14" s="133">
        <v>521148.46397787501</v>
      </c>
      <c r="N14" s="142">
        <v>571.99999999999989</v>
      </c>
      <c r="O14" s="133">
        <v>561584.94488351326</v>
      </c>
      <c r="P14" s="142">
        <v>623.99999999999989</v>
      </c>
      <c r="Q14" s="133">
        <v>602021.42578915146</v>
      </c>
      <c r="R14" s="142">
        <v>467.99999999999989</v>
      </c>
      <c r="S14" s="133">
        <v>480711.98307223694</v>
      </c>
      <c r="T14" s="142">
        <v>415.99999999999989</v>
      </c>
      <c r="U14" s="133">
        <v>440275.50216659863</v>
      </c>
    </row>
    <row r="15" spans="1:21" x14ac:dyDescent="0.3">
      <c r="A15" s="534"/>
      <c r="B15" s="535"/>
      <c r="C15" s="536"/>
      <c r="D15" s="162" t="s">
        <v>111</v>
      </c>
      <c r="E15" s="163">
        <v>-3.2659062319202126E-2</v>
      </c>
      <c r="F15" s="534"/>
      <c r="G15" s="535"/>
      <c r="H15" s="535"/>
      <c r="I15" s="535"/>
      <c r="J15" s="536"/>
      <c r="K15" s="122" t="s">
        <v>112</v>
      </c>
      <c r="L15" s="142">
        <v>251</v>
      </c>
      <c r="M15" s="133">
        <v>273208.6785816644</v>
      </c>
      <c r="N15" s="142">
        <v>276.10000000000002</v>
      </c>
      <c r="O15" s="133">
        <v>295018.35515672294</v>
      </c>
      <c r="P15" s="142">
        <v>301.2</v>
      </c>
      <c r="Q15" s="133">
        <v>316828.03173178155</v>
      </c>
      <c r="R15" s="142">
        <v>225.9</v>
      </c>
      <c r="S15" s="133">
        <v>251399.00200660582</v>
      </c>
      <c r="T15" s="142">
        <v>200.80000000000004</v>
      </c>
      <c r="U15" s="133">
        <v>229589.32543154733</v>
      </c>
    </row>
    <row r="16" spans="1:21" x14ac:dyDescent="0.3">
      <c r="A16" s="537"/>
      <c r="B16" s="538"/>
      <c r="C16" s="539"/>
      <c r="D16" s="164"/>
      <c r="E16" s="165"/>
      <c r="F16" s="537"/>
      <c r="G16" s="538"/>
      <c r="H16" s="538"/>
      <c r="I16" s="538"/>
      <c r="J16" s="539"/>
      <c r="K16" s="122" t="s">
        <v>113</v>
      </c>
      <c r="L16" s="142">
        <v>74</v>
      </c>
      <c r="M16" s="133">
        <v>148467.94946159655</v>
      </c>
      <c r="N16" s="142">
        <v>81.399999999999949</v>
      </c>
      <c r="O16" s="133">
        <v>155090.74275988762</v>
      </c>
      <c r="P16" s="142">
        <v>88.800000000000068</v>
      </c>
      <c r="Q16" s="133">
        <v>161713.53605817867</v>
      </c>
      <c r="R16" s="142">
        <v>66.599999999999994</v>
      </c>
      <c r="S16" s="133">
        <v>141845.15616330554</v>
      </c>
      <c r="T16" s="142">
        <v>59.199999999999974</v>
      </c>
      <c r="U16" s="133">
        <v>135222.36286501453</v>
      </c>
    </row>
    <row r="17" spans="1:21" x14ac:dyDescent="0.3">
      <c r="A17" s="166"/>
      <c r="B17" s="6"/>
      <c r="C17" s="6"/>
      <c r="D17" s="6"/>
      <c r="E17" s="167"/>
      <c r="F17" s="168"/>
      <c r="G17" s="6"/>
      <c r="H17" s="6"/>
      <c r="I17" s="6"/>
      <c r="J17" s="169"/>
      <c r="K17" s="122" t="s">
        <v>114</v>
      </c>
      <c r="L17" s="142">
        <v>5.0000000000000044</v>
      </c>
      <c r="M17" s="133">
        <v>103185.82997854894</v>
      </c>
      <c r="N17" s="142">
        <v>5.5000000000000053</v>
      </c>
      <c r="O17" s="133">
        <v>103677.03473196299</v>
      </c>
      <c r="P17" s="142">
        <v>6.000000000000008</v>
      </c>
      <c r="Q17" s="133">
        <v>104168.23948537707</v>
      </c>
      <c r="R17" s="142">
        <v>4.5000000000000053</v>
      </c>
      <c r="S17" s="133">
        <v>102694.62522513491</v>
      </c>
      <c r="T17" s="142">
        <v>4.000000000000008</v>
      </c>
      <c r="U17" s="133">
        <v>102203.42047172083</v>
      </c>
    </row>
    <row r="18" spans="1:21" ht="15.6" x14ac:dyDescent="0.3">
      <c r="A18" s="521" t="s">
        <v>115</v>
      </c>
      <c r="B18" s="522"/>
      <c r="C18" s="522"/>
      <c r="D18" s="522"/>
      <c r="E18" s="522"/>
      <c r="F18" s="522"/>
      <c r="G18" s="522"/>
      <c r="H18" s="522"/>
      <c r="I18" s="522"/>
      <c r="J18" s="523"/>
      <c r="K18" s="122" t="s">
        <v>116</v>
      </c>
      <c r="L18" s="142">
        <v>0</v>
      </c>
      <c r="M18" s="133">
        <v>98720.528585876018</v>
      </c>
      <c r="N18" s="142">
        <v>0</v>
      </c>
      <c r="O18" s="133">
        <v>98726.436754140974</v>
      </c>
      <c r="P18" s="142">
        <v>0</v>
      </c>
      <c r="Q18" s="133">
        <v>98732.3449224059</v>
      </c>
      <c r="R18" s="142">
        <v>0</v>
      </c>
      <c r="S18" s="133">
        <v>98714.620417611121</v>
      </c>
      <c r="T18" s="142">
        <v>0</v>
      </c>
      <c r="U18" s="133">
        <v>98708.712249346179</v>
      </c>
    </row>
    <row r="19" spans="1:21" x14ac:dyDescent="0.3">
      <c r="A19" s="121" t="s">
        <v>117</v>
      </c>
      <c r="B19" s="515" t="s">
        <v>118</v>
      </c>
      <c r="C19" s="516"/>
      <c r="D19" s="517"/>
      <c r="E19" s="121" t="s">
        <v>119</v>
      </c>
      <c r="F19" s="515" t="s">
        <v>120</v>
      </c>
      <c r="G19" s="518"/>
      <c r="H19" s="519"/>
      <c r="I19" s="519"/>
      <c r="J19" s="520"/>
      <c r="K19" s="122" t="s">
        <v>121</v>
      </c>
      <c r="L19" s="142">
        <v>0.999999999999999</v>
      </c>
      <c r="M19" s="133">
        <v>101552.41970673511</v>
      </c>
      <c r="N19" s="142">
        <v>1.0999999999999992</v>
      </c>
      <c r="O19" s="133">
        <v>101635.78153490511</v>
      </c>
      <c r="P19" s="142">
        <v>1.1999999999999997</v>
      </c>
      <c r="Q19" s="133">
        <v>101719.14336307519</v>
      </c>
      <c r="R19" s="142">
        <v>0.89999999999999936</v>
      </c>
      <c r="S19" s="133">
        <v>101469.05787856504</v>
      </c>
      <c r="T19" s="142">
        <v>0.79999999999999938</v>
      </c>
      <c r="U19" s="133">
        <v>101385.69605039504</v>
      </c>
    </row>
    <row r="20" spans="1:21" x14ac:dyDescent="0.3">
      <c r="A20" s="170" t="s">
        <v>125</v>
      </c>
      <c r="B20" s="171" t="s">
        <v>157</v>
      </c>
      <c r="C20" s="172"/>
      <c r="D20" s="173"/>
      <c r="E20" s="133">
        <v>13500</v>
      </c>
      <c r="F20" s="174" t="s">
        <v>158</v>
      </c>
      <c r="G20" s="174"/>
      <c r="H20" s="174"/>
      <c r="I20" s="174"/>
      <c r="J20" s="175"/>
      <c r="K20" s="122" t="s">
        <v>124</v>
      </c>
      <c r="L20" s="142">
        <v>34.999999999999993</v>
      </c>
      <c r="M20" s="133">
        <v>122364.12706122662</v>
      </c>
      <c r="N20" s="142">
        <v>38.5</v>
      </c>
      <c r="O20" s="133">
        <v>125161.86392735381</v>
      </c>
      <c r="P20" s="142">
        <v>41.999999999999993</v>
      </c>
      <c r="Q20" s="133">
        <v>127959.60079348097</v>
      </c>
      <c r="R20" s="142">
        <v>31.5</v>
      </c>
      <c r="S20" s="133">
        <v>119566.39019509943</v>
      </c>
      <c r="T20" s="142">
        <v>27.999999999999993</v>
      </c>
      <c r="U20" s="133">
        <v>116768.65332897223</v>
      </c>
    </row>
    <row r="21" spans="1:21" x14ac:dyDescent="0.3">
      <c r="A21" s="176" t="s">
        <v>125</v>
      </c>
      <c r="B21" s="177" t="s">
        <v>159</v>
      </c>
      <c r="C21" s="178"/>
      <c r="D21" s="179"/>
      <c r="E21" s="133">
        <v>3000</v>
      </c>
      <c r="F21" s="174" t="s">
        <v>158</v>
      </c>
      <c r="G21" s="174"/>
      <c r="H21" s="174"/>
      <c r="I21" s="174"/>
      <c r="J21" s="175"/>
      <c r="K21" s="122" t="s">
        <v>126</v>
      </c>
      <c r="L21" s="142">
        <v>227</v>
      </c>
      <c r="M21" s="133">
        <v>213058.1960790985</v>
      </c>
      <c r="N21" s="142">
        <v>249.70000000000002</v>
      </c>
      <c r="O21" s="133">
        <v>231993.12976262736</v>
      </c>
      <c r="P21" s="142">
        <v>272.40000000000003</v>
      </c>
      <c r="Q21" s="133">
        <v>250928.06344615621</v>
      </c>
      <c r="R21" s="142">
        <v>204.29999999999998</v>
      </c>
      <c r="S21" s="133">
        <v>194123.26239556947</v>
      </c>
      <c r="T21" s="142">
        <v>181.60000000000005</v>
      </c>
      <c r="U21" s="133">
        <v>175188.32871204053</v>
      </c>
    </row>
    <row r="22" spans="1:21" x14ac:dyDescent="0.3">
      <c r="A22" s="176" t="s">
        <v>125</v>
      </c>
      <c r="B22" s="177" t="s">
        <v>160</v>
      </c>
      <c r="C22" s="178"/>
      <c r="D22" s="179"/>
      <c r="E22" s="133">
        <v>82000</v>
      </c>
      <c r="F22" s="174" t="s">
        <v>161</v>
      </c>
      <c r="G22" s="174"/>
      <c r="H22" s="174"/>
      <c r="I22" s="174"/>
      <c r="J22" s="175"/>
      <c r="K22" s="122" t="s">
        <v>38</v>
      </c>
      <c r="L22" s="142">
        <v>500</v>
      </c>
      <c r="M22" s="133">
        <v>437262.85709482018</v>
      </c>
      <c r="N22" s="142">
        <v>550.00000000000011</v>
      </c>
      <c r="O22" s="133">
        <v>475494.10806003073</v>
      </c>
      <c r="P22" s="142">
        <v>600</v>
      </c>
      <c r="Q22" s="133">
        <v>513725.35902524134</v>
      </c>
      <c r="R22" s="142">
        <v>450.00000000000006</v>
      </c>
      <c r="S22" s="133">
        <v>399031.60612960969</v>
      </c>
      <c r="T22" s="142">
        <v>400.00000000000011</v>
      </c>
      <c r="U22" s="133">
        <v>360800.35516439896</v>
      </c>
    </row>
    <row r="23" spans="1:21" x14ac:dyDescent="0.3">
      <c r="A23" s="176" t="s">
        <v>66</v>
      </c>
      <c r="B23" s="177" t="s">
        <v>139</v>
      </c>
      <c r="C23" s="178"/>
      <c r="D23" s="179"/>
      <c r="E23" s="133">
        <v>73270</v>
      </c>
      <c r="F23" s="174" t="s">
        <v>140</v>
      </c>
      <c r="G23" s="174"/>
      <c r="H23" s="174"/>
      <c r="I23" s="174"/>
      <c r="J23" s="175"/>
      <c r="K23" s="122" t="s">
        <v>39</v>
      </c>
      <c r="L23" s="142">
        <v>821.00000000000011</v>
      </c>
      <c r="M23" s="133">
        <v>772185.43717390695</v>
      </c>
      <c r="N23" s="142">
        <v>903.1</v>
      </c>
      <c r="O23" s="133">
        <v>835159.54140731017</v>
      </c>
      <c r="P23" s="142">
        <v>985.1999999999997</v>
      </c>
      <c r="Q23" s="133">
        <v>898133.6456407134</v>
      </c>
      <c r="R23" s="142">
        <v>738.90000000000009</v>
      </c>
      <c r="S23" s="133">
        <v>709211.33294050361</v>
      </c>
      <c r="T23" s="142">
        <v>656.8</v>
      </c>
      <c r="U23" s="133">
        <v>646237.22870710038</v>
      </c>
    </row>
    <row r="24" spans="1:21" x14ac:dyDescent="0.3">
      <c r="A24" s="176"/>
      <c r="B24" s="177"/>
      <c r="C24" s="178"/>
      <c r="D24" s="179"/>
      <c r="E24" s="133"/>
      <c r="F24" s="174" t="s">
        <v>141</v>
      </c>
      <c r="G24" s="174"/>
      <c r="H24" s="174"/>
      <c r="I24" s="174"/>
      <c r="J24" s="175"/>
      <c r="K24" s="180" t="s">
        <v>127</v>
      </c>
      <c r="L24" s="181">
        <v>4048.0000000000005</v>
      </c>
      <c r="M24" s="181">
        <v>4404774.5515613351</v>
      </c>
      <c r="N24" s="181">
        <v>4452.8000000000011</v>
      </c>
      <c r="O24" s="181">
        <v>4721794.6969402367</v>
      </c>
      <c r="P24" s="181">
        <v>4857.5999999999995</v>
      </c>
      <c r="Q24" s="181">
        <v>5038814.8423191374</v>
      </c>
      <c r="R24" s="181">
        <v>3643.2000000000007</v>
      </c>
      <c r="S24" s="181">
        <v>4087754.4061824349</v>
      </c>
      <c r="T24" s="181">
        <v>3238.3999999999996</v>
      </c>
      <c r="U24" s="181">
        <v>3770734.2608035337</v>
      </c>
    </row>
    <row r="25" spans="1:21" x14ac:dyDescent="0.3">
      <c r="A25" s="176"/>
      <c r="B25" s="177"/>
      <c r="C25" s="178"/>
      <c r="D25" s="179"/>
      <c r="E25" s="133"/>
      <c r="F25" s="174" t="s">
        <v>142</v>
      </c>
      <c r="G25" s="174"/>
      <c r="H25" s="174"/>
      <c r="I25" s="174"/>
      <c r="J25" s="175"/>
      <c r="K25" s="180" t="s">
        <v>128</v>
      </c>
      <c r="L25" s="181">
        <v>3455.0000000000005</v>
      </c>
      <c r="M25" s="181">
        <v>3344216.8221065896</v>
      </c>
      <c r="N25" s="181">
        <v>3800.5000000000009</v>
      </c>
      <c r="O25" s="181">
        <v>3610491.3523126356</v>
      </c>
      <c r="P25" s="181">
        <v>4146</v>
      </c>
      <c r="Q25" s="181">
        <v>3876765.8825186826</v>
      </c>
      <c r="R25" s="181">
        <v>3109.5000000000005</v>
      </c>
      <c r="S25" s="181">
        <v>3077942.291900543</v>
      </c>
      <c r="T25" s="181">
        <v>2764</v>
      </c>
      <c r="U25" s="181">
        <v>2811667.7616944965</v>
      </c>
    </row>
    <row r="26" spans="1:21" x14ac:dyDescent="0.3">
      <c r="A26" s="176" t="s">
        <v>125</v>
      </c>
      <c r="B26" s="177" t="s">
        <v>162</v>
      </c>
      <c r="C26" s="178"/>
      <c r="D26" s="179"/>
      <c r="E26" s="133">
        <v>4478</v>
      </c>
      <c r="F26" s="207" t="s">
        <v>184</v>
      </c>
      <c r="G26" s="174"/>
      <c r="H26" s="174"/>
      <c r="I26" s="174"/>
      <c r="J26" s="175"/>
      <c r="K26" s="182"/>
      <c r="L26" s="183"/>
      <c r="M26" s="183"/>
      <c r="N26" s="183"/>
      <c r="O26" s="183"/>
      <c r="P26" s="183"/>
      <c r="Q26" s="183"/>
      <c r="R26" s="183"/>
      <c r="S26" s="183"/>
      <c r="T26" s="183"/>
      <c r="U26" s="184"/>
    </row>
    <row r="27" spans="1:21" ht="15.6" x14ac:dyDescent="0.3">
      <c r="A27" s="176" t="s">
        <v>163</v>
      </c>
      <c r="B27" s="177" t="s">
        <v>185</v>
      </c>
      <c r="C27" s="178"/>
      <c r="D27" s="179"/>
      <c r="E27" s="133">
        <v>6000</v>
      </c>
      <c r="F27" s="174" t="s">
        <v>186</v>
      </c>
      <c r="G27" s="174"/>
      <c r="H27" s="174"/>
      <c r="I27" s="174"/>
      <c r="J27" s="175"/>
      <c r="K27" s="524" t="s">
        <v>129</v>
      </c>
      <c r="L27" s="525"/>
      <c r="M27" s="525"/>
      <c r="N27" s="525"/>
      <c r="O27" s="525"/>
      <c r="P27" s="525"/>
      <c r="Q27" s="525"/>
      <c r="R27" s="525"/>
      <c r="S27" s="525"/>
      <c r="T27" s="525"/>
      <c r="U27" s="526"/>
    </row>
    <row r="28" spans="1:21" x14ac:dyDescent="0.3">
      <c r="A28" s="176"/>
      <c r="B28" s="177"/>
      <c r="C28" s="178"/>
      <c r="D28" s="179"/>
      <c r="E28" s="133"/>
      <c r="F28" s="174"/>
      <c r="G28" s="174"/>
      <c r="H28" s="174"/>
      <c r="I28" s="174"/>
      <c r="J28" s="175"/>
      <c r="K28" s="150"/>
      <c r="L28" s="151" t="s">
        <v>94</v>
      </c>
      <c r="M28" s="152"/>
      <c r="N28" s="151" t="s">
        <v>95</v>
      </c>
      <c r="O28" s="152"/>
      <c r="P28" s="151" t="s">
        <v>96</v>
      </c>
      <c r="Q28" s="152"/>
      <c r="R28" s="151" t="s">
        <v>97</v>
      </c>
      <c r="S28" s="152"/>
      <c r="T28" s="151" t="s">
        <v>98</v>
      </c>
      <c r="U28" s="153"/>
    </row>
    <row r="29" spans="1:21" x14ac:dyDescent="0.3">
      <c r="A29" s="176"/>
      <c r="B29" s="177"/>
      <c r="C29" s="178"/>
      <c r="D29" s="179"/>
      <c r="E29" s="133"/>
      <c r="F29" s="174"/>
      <c r="G29" s="174"/>
      <c r="H29" s="174"/>
      <c r="I29" s="174"/>
      <c r="J29" s="175"/>
      <c r="K29" s="156" t="s">
        <v>104</v>
      </c>
      <c r="L29" s="120" t="s">
        <v>105</v>
      </c>
      <c r="M29" s="120" t="s">
        <v>37</v>
      </c>
      <c r="N29" s="120" t="s">
        <v>105</v>
      </c>
      <c r="O29" s="120" t="s">
        <v>37</v>
      </c>
      <c r="P29" s="120" t="s">
        <v>105</v>
      </c>
      <c r="Q29" s="120" t="s">
        <v>37</v>
      </c>
      <c r="R29" s="120" t="s">
        <v>105</v>
      </c>
      <c r="S29" s="120" t="s">
        <v>37</v>
      </c>
      <c r="T29" s="120" t="s">
        <v>105</v>
      </c>
      <c r="U29" s="120" t="s">
        <v>37</v>
      </c>
    </row>
    <row r="30" spans="1:21" x14ac:dyDescent="0.3">
      <c r="A30" s="185"/>
      <c r="B30" s="186"/>
      <c r="C30" s="187"/>
      <c r="D30" s="188"/>
      <c r="E30" s="189"/>
      <c r="F30" s="174"/>
      <c r="G30" s="174"/>
      <c r="H30" s="174"/>
      <c r="I30" s="174"/>
      <c r="J30" s="175"/>
      <c r="K30" s="122" t="s">
        <v>40</v>
      </c>
      <c r="L30" s="158">
        <v>908.00000000000011</v>
      </c>
      <c r="M30" s="159">
        <v>0</v>
      </c>
      <c r="N30" s="158">
        <v>998.80000000000052</v>
      </c>
      <c r="O30" s="159">
        <v>0</v>
      </c>
      <c r="P30" s="158">
        <v>1089.6000000000004</v>
      </c>
      <c r="Q30" s="159">
        <v>0</v>
      </c>
      <c r="R30" s="158">
        <v>817.20000000000016</v>
      </c>
      <c r="S30" s="159">
        <v>0</v>
      </c>
      <c r="T30" s="158">
        <v>726.39999999999986</v>
      </c>
      <c r="U30" s="159">
        <v>0</v>
      </c>
    </row>
    <row r="31" spans="1:21" x14ac:dyDescent="0.3">
      <c r="A31" s="190"/>
      <c r="B31" s="191"/>
      <c r="C31" s="191"/>
      <c r="D31" s="191" t="s">
        <v>130</v>
      </c>
      <c r="E31" s="192">
        <v>182248</v>
      </c>
      <c r="F31" s="193"/>
      <c r="G31" s="193"/>
      <c r="H31" s="193"/>
      <c r="I31" s="193"/>
      <c r="J31" s="194"/>
      <c r="K31" s="122" t="s">
        <v>41</v>
      </c>
      <c r="L31" s="142">
        <v>706.00000000000034</v>
      </c>
      <c r="M31" s="133">
        <v>0</v>
      </c>
      <c r="N31" s="142">
        <v>776.60000000000048</v>
      </c>
      <c r="O31" s="133">
        <v>0</v>
      </c>
      <c r="P31" s="142">
        <v>847.19999999999982</v>
      </c>
      <c r="Q31" s="133">
        <v>0</v>
      </c>
      <c r="R31" s="142">
        <v>635.4000000000002</v>
      </c>
      <c r="S31" s="133">
        <v>0</v>
      </c>
      <c r="T31" s="142">
        <v>564.80000000000007</v>
      </c>
      <c r="U31" s="133">
        <v>0</v>
      </c>
    </row>
    <row r="32" spans="1:21" x14ac:dyDescent="0.3">
      <c r="A32" s="195"/>
      <c r="B32" s="196"/>
      <c r="C32" s="196"/>
      <c r="D32" s="197"/>
      <c r="E32" s="198"/>
      <c r="F32" s="199"/>
      <c r="G32" s="199"/>
      <c r="H32" s="199"/>
      <c r="I32" s="199"/>
      <c r="J32" s="200"/>
      <c r="K32" s="122" t="s">
        <v>42</v>
      </c>
      <c r="L32" s="142">
        <v>520</v>
      </c>
      <c r="M32" s="133">
        <v>0</v>
      </c>
      <c r="N32" s="142">
        <v>571.99999999999989</v>
      </c>
      <c r="O32" s="133">
        <v>0</v>
      </c>
      <c r="P32" s="142">
        <v>623.99999999999989</v>
      </c>
      <c r="Q32" s="133">
        <v>0</v>
      </c>
      <c r="R32" s="142">
        <v>467.99999999999989</v>
      </c>
      <c r="S32" s="133">
        <v>0</v>
      </c>
      <c r="T32" s="142">
        <v>415.99999999999989</v>
      </c>
      <c r="U32" s="133">
        <v>0</v>
      </c>
    </row>
    <row r="33" spans="1:21" ht="15.6" x14ac:dyDescent="0.3">
      <c r="A33" s="521" t="s">
        <v>131</v>
      </c>
      <c r="B33" s="522"/>
      <c r="C33" s="522"/>
      <c r="D33" s="522"/>
      <c r="E33" s="522"/>
      <c r="F33" s="522"/>
      <c r="G33" s="522"/>
      <c r="H33" s="522"/>
      <c r="I33" s="522"/>
      <c r="J33" s="523"/>
      <c r="K33" s="122" t="s">
        <v>112</v>
      </c>
      <c r="L33" s="142">
        <v>251</v>
      </c>
      <c r="M33" s="133">
        <v>0</v>
      </c>
      <c r="N33" s="142">
        <v>276.10000000000002</v>
      </c>
      <c r="O33" s="133">
        <v>0</v>
      </c>
      <c r="P33" s="142">
        <v>301.2</v>
      </c>
      <c r="Q33" s="133">
        <v>0</v>
      </c>
      <c r="R33" s="142">
        <v>225.9</v>
      </c>
      <c r="S33" s="133">
        <v>0</v>
      </c>
      <c r="T33" s="142">
        <v>200.80000000000004</v>
      </c>
      <c r="U33" s="133">
        <v>0</v>
      </c>
    </row>
    <row r="34" spans="1:21" x14ac:dyDescent="0.3">
      <c r="A34" s="121" t="s">
        <v>117</v>
      </c>
      <c r="B34" s="515" t="s">
        <v>118</v>
      </c>
      <c r="C34" s="516"/>
      <c r="D34" s="517"/>
      <c r="E34" s="121" t="s">
        <v>119</v>
      </c>
      <c r="F34" s="515" t="s">
        <v>120</v>
      </c>
      <c r="G34" s="518"/>
      <c r="H34" s="519"/>
      <c r="I34" s="519"/>
      <c r="J34" s="520"/>
      <c r="K34" s="122" t="s">
        <v>113</v>
      </c>
      <c r="L34" s="142">
        <v>74</v>
      </c>
      <c r="M34" s="133">
        <v>0</v>
      </c>
      <c r="N34" s="142">
        <v>81.399999999999949</v>
      </c>
      <c r="O34" s="133">
        <v>0</v>
      </c>
      <c r="P34" s="142">
        <v>88.800000000000068</v>
      </c>
      <c r="Q34" s="133">
        <v>0</v>
      </c>
      <c r="R34" s="142">
        <v>66.599999999999994</v>
      </c>
      <c r="S34" s="133">
        <v>0</v>
      </c>
      <c r="T34" s="142">
        <v>59.199999999999974</v>
      </c>
      <c r="U34" s="133">
        <v>0</v>
      </c>
    </row>
    <row r="35" spans="1:21" x14ac:dyDescent="0.3">
      <c r="A35" s="170"/>
      <c r="B35" s="171"/>
      <c r="C35" s="172"/>
      <c r="D35" s="201"/>
      <c r="E35" s="159"/>
      <c r="F35" s="202"/>
      <c r="G35" s="202"/>
      <c r="H35" s="202"/>
      <c r="I35" s="202"/>
      <c r="J35" s="203"/>
      <c r="K35" s="122" t="s">
        <v>114</v>
      </c>
      <c r="L35" s="142">
        <v>5.0000000000000044</v>
      </c>
      <c r="M35" s="133">
        <v>0</v>
      </c>
      <c r="N35" s="142">
        <v>5.5000000000000053</v>
      </c>
      <c r="O35" s="133">
        <v>0</v>
      </c>
      <c r="P35" s="142">
        <v>6.000000000000008</v>
      </c>
      <c r="Q35" s="133">
        <v>0</v>
      </c>
      <c r="R35" s="142">
        <v>4.5000000000000053</v>
      </c>
      <c r="S35" s="133">
        <v>0</v>
      </c>
      <c r="T35" s="142">
        <v>4.000000000000008</v>
      </c>
      <c r="U35" s="133">
        <v>0</v>
      </c>
    </row>
    <row r="36" spans="1:21" x14ac:dyDescent="0.3">
      <c r="A36" s="176"/>
      <c r="B36" s="177"/>
      <c r="C36" s="178"/>
      <c r="D36" s="204"/>
      <c r="E36" s="133"/>
      <c r="F36" s="174"/>
      <c r="G36" s="174"/>
      <c r="H36" s="174"/>
      <c r="I36" s="174"/>
      <c r="J36" s="175"/>
      <c r="K36" s="122" t="s">
        <v>116</v>
      </c>
      <c r="L36" s="142">
        <v>0</v>
      </c>
      <c r="M36" s="133">
        <v>0</v>
      </c>
      <c r="N36" s="142">
        <v>0</v>
      </c>
      <c r="O36" s="133">
        <v>0</v>
      </c>
      <c r="P36" s="142">
        <v>0</v>
      </c>
      <c r="Q36" s="133">
        <v>0</v>
      </c>
      <c r="R36" s="142">
        <v>0</v>
      </c>
      <c r="S36" s="133">
        <v>0</v>
      </c>
      <c r="T36" s="142">
        <v>0</v>
      </c>
      <c r="U36" s="133">
        <v>0</v>
      </c>
    </row>
    <row r="37" spans="1:21" x14ac:dyDescent="0.3">
      <c r="A37" s="176"/>
      <c r="B37" s="177"/>
      <c r="C37" s="178"/>
      <c r="D37" s="204"/>
      <c r="E37" s="133"/>
      <c r="F37" s="174"/>
      <c r="G37" s="174"/>
      <c r="H37" s="174"/>
      <c r="I37" s="174"/>
      <c r="J37" s="175"/>
      <c r="K37" s="122" t="s">
        <v>121</v>
      </c>
      <c r="L37" s="142">
        <v>0.999999999999999</v>
      </c>
      <c r="M37" s="133">
        <v>0</v>
      </c>
      <c r="N37" s="142">
        <v>1.0999999999999992</v>
      </c>
      <c r="O37" s="133">
        <v>0</v>
      </c>
      <c r="P37" s="142">
        <v>1.1999999999999997</v>
      </c>
      <c r="Q37" s="133">
        <v>0</v>
      </c>
      <c r="R37" s="142">
        <v>0.89999999999999936</v>
      </c>
      <c r="S37" s="133">
        <v>0</v>
      </c>
      <c r="T37" s="142">
        <v>0.79999999999999938</v>
      </c>
      <c r="U37" s="133">
        <v>0</v>
      </c>
    </row>
    <row r="38" spans="1:21" x14ac:dyDescent="0.3">
      <c r="A38" s="176"/>
      <c r="B38" s="177"/>
      <c r="C38" s="178"/>
      <c r="D38" s="204"/>
      <c r="E38" s="133"/>
      <c r="F38" s="174"/>
      <c r="G38" s="174"/>
      <c r="H38" s="174"/>
      <c r="I38" s="174"/>
      <c r="J38" s="175"/>
      <c r="K38" s="122" t="s">
        <v>124</v>
      </c>
      <c r="L38" s="142">
        <v>34.999999999999993</v>
      </c>
      <c r="M38" s="133">
        <v>0</v>
      </c>
      <c r="N38" s="142">
        <v>38.5</v>
      </c>
      <c r="O38" s="133">
        <v>0</v>
      </c>
      <c r="P38" s="142">
        <v>41.999999999999993</v>
      </c>
      <c r="Q38" s="133">
        <v>0</v>
      </c>
      <c r="R38" s="142">
        <v>31.5</v>
      </c>
      <c r="S38" s="133">
        <v>0</v>
      </c>
      <c r="T38" s="142">
        <v>27.999999999999993</v>
      </c>
      <c r="U38" s="133">
        <v>0</v>
      </c>
    </row>
    <row r="39" spans="1:21" x14ac:dyDescent="0.3">
      <c r="A39" s="176"/>
      <c r="B39" s="177"/>
      <c r="C39" s="178"/>
      <c r="D39" s="204"/>
      <c r="E39" s="133"/>
      <c r="F39" s="174"/>
      <c r="G39" s="174"/>
      <c r="H39" s="174"/>
      <c r="I39" s="174"/>
      <c r="J39" s="175"/>
      <c r="K39" s="122" t="s">
        <v>126</v>
      </c>
      <c r="L39" s="142">
        <v>227</v>
      </c>
      <c r="M39" s="133">
        <v>0</v>
      </c>
      <c r="N39" s="142">
        <v>249.70000000000002</v>
      </c>
      <c r="O39" s="133">
        <v>0</v>
      </c>
      <c r="P39" s="142">
        <v>272.40000000000003</v>
      </c>
      <c r="Q39" s="133">
        <v>0</v>
      </c>
      <c r="R39" s="142">
        <v>204.29999999999998</v>
      </c>
      <c r="S39" s="133">
        <v>0</v>
      </c>
      <c r="T39" s="142">
        <v>181.60000000000005</v>
      </c>
      <c r="U39" s="133">
        <v>0</v>
      </c>
    </row>
    <row r="40" spans="1:21" x14ac:dyDescent="0.3">
      <c r="A40" s="176"/>
      <c r="B40" s="177"/>
      <c r="C40" s="178"/>
      <c r="D40" s="204"/>
      <c r="E40" s="133"/>
      <c r="F40" s="174"/>
      <c r="G40" s="174"/>
      <c r="H40" s="174"/>
      <c r="I40" s="174"/>
      <c r="J40" s="175"/>
      <c r="K40" s="122" t="s">
        <v>38</v>
      </c>
      <c r="L40" s="142">
        <v>500</v>
      </c>
      <c r="M40" s="133">
        <v>0</v>
      </c>
      <c r="N40" s="142">
        <v>550.00000000000011</v>
      </c>
      <c r="O40" s="133">
        <v>0</v>
      </c>
      <c r="P40" s="142">
        <v>600</v>
      </c>
      <c r="Q40" s="133">
        <v>0</v>
      </c>
      <c r="R40" s="142">
        <v>450.00000000000006</v>
      </c>
      <c r="S40" s="133">
        <v>0</v>
      </c>
      <c r="T40" s="142">
        <v>400.00000000000011</v>
      </c>
      <c r="U40" s="133">
        <v>0</v>
      </c>
    </row>
    <row r="41" spans="1:21" x14ac:dyDescent="0.3">
      <c r="A41" s="176"/>
      <c r="B41" s="177"/>
      <c r="C41" s="178"/>
      <c r="D41" s="204"/>
      <c r="E41" s="133"/>
      <c r="F41" s="174"/>
      <c r="G41" s="174"/>
      <c r="H41" s="174"/>
      <c r="I41" s="174"/>
      <c r="J41" s="175"/>
      <c r="K41" s="122" t="s">
        <v>39</v>
      </c>
      <c r="L41" s="142">
        <v>821.00000000000011</v>
      </c>
      <c r="M41" s="133">
        <v>0</v>
      </c>
      <c r="N41" s="142">
        <v>903.1</v>
      </c>
      <c r="O41" s="133">
        <v>0</v>
      </c>
      <c r="P41" s="142">
        <v>985.1999999999997</v>
      </c>
      <c r="Q41" s="133">
        <v>0</v>
      </c>
      <c r="R41" s="142">
        <v>738.90000000000009</v>
      </c>
      <c r="S41" s="133">
        <v>0</v>
      </c>
      <c r="T41" s="142">
        <v>656.8</v>
      </c>
      <c r="U41" s="133">
        <v>0</v>
      </c>
    </row>
    <row r="42" spans="1:21" x14ac:dyDescent="0.3">
      <c r="A42" s="176"/>
      <c r="B42" s="177"/>
      <c r="C42" s="178"/>
      <c r="D42" s="204"/>
      <c r="E42" s="133"/>
      <c r="F42" s="174"/>
      <c r="G42" s="174"/>
      <c r="H42" s="174"/>
      <c r="I42" s="174"/>
      <c r="J42" s="175"/>
      <c r="K42" s="180" t="s">
        <v>132</v>
      </c>
      <c r="L42" s="181">
        <v>4048.0000000000005</v>
      </c>
      <c r="M42" s="181">
        <v>0</v>
      </c>
      <c r="N42" s="181">
        <v>4452.8000000000011</v>
      </c>
      <c r="O42" s="181">
        <v>0</v>
      </c>
      <c r="P42" s="181">
        <v>4857.5999999999995</v>
      </c>
      <c r="Q42" s="181">
        <v>0</v>
      </c>
      <c r="R42" s="181">
        <v>3643.2000000000007</v>
      </c>
      <c r="S42" s="181">
        <v>0</v>
      </c>
      <c r="T42" s="181">
        <v>3238.3999999999996</v>
      </c>
      <c r="U42" s="181">
        <v>0</v>
      </c>
    </row>
    <row r="43" spans="1:21" x14ac:dyDescent="0.3">
      <c r="A43" s="176"/>
      <c r="B43" s="177"/>
      <c r="C43" s="178"/>
      <c r="D43" s="204"/>
      <c r="E43" s="133"/>
      <c r="F43" s="174"/>
      <c r="G43" s="174"/>
      <c r="H43" s="174"/>
      <c r="I43" s="174"/>
      <c r="J43" s="175"/>
      <c r="K43" s="180" t="s">
        <v>133</v>
      </c>
      <c r="L43" s="181">
        <v>3455.0000000000005</v>
      </c>
      <c r="M43" s="181">
        <v>0</v>
      </c>
      <c r="N43" s="181">
        <v>3800.5000000000009</v>
      </c>
      <c r="O43" s="181">
        <v>0</v>
      </c>
      <c r="P43" s="181">
        <v>4146</v>
      </c>
      <c r="Q43" s="181">
        <v>0</v>
      </c>
      <c r="R43" s="181">
        <v>3109.5000000000005</v>
      </c>
      <c r="S43" s="181">
        <v>0</v>
      </c>
      <c r="T43" s="181">
        <v>2764</v>
      </c>
      <c r="U43" s="181">
        <v>0</v>
      </c>
    </row>
    <row r="44" spans="1:21" x14ac:dyDescent="0.3">
      <c r="A44" s="176"/>
      <c r="B44" s="186"/>
      <c r="C44" s="187"/>
      <c r="D44" s="205"/>
      <c r="E44" s="189"/>
      <c r="F44" s="174"/>
      <c r="G44" s="174"/>
      <c r="H44" s="174"/>
      <c r="I44" s="174"/>
      <c r="J44" s="175"/>
      <c r="K44" s="180" t="s">
        <v>134</v>
      </c>
      <c r="L44" s="181">
        <v>4048.0000000000005</v>
      </c>
      <c r="M44" s="181">
        <v>4404774.5515613351</v>
      </c>
      <c r="N44" s="181">
        <v>4452.8000000000011</v>
      </c>
      <c r="O44" s="181">
        <v>4721794.6969402367</v>
      </c>
      <c r="P44" s="181">
        <v>4857.5999999999995</v>
      </c>
      <c r="Q44" s="181">
        <v>5038814.8423191374</v>
      </c>
      <c r="R44" s="181">
        <v>3643.2000000000007</v>
      </c>
      <c r="S44" s="181">
        <v>4087754.4061824349</v>
      </c>
      <c r="T44" s="181">
        <v>3238.3999999999996</v>
      </c>
      <c r="U44" s="181">
        <v>3770734.2608035337</v>
      </c>
    </row>
    <row r="45" spans="1:21" x14ac:dyDescent="0.3">
      <c r="A45" s="190"/>
      <c r="B45" s="191"/>
      <c r="C45" s="191"/>
      <c r="D45" s="191" t="s">
        <v>135</v>
      </c>
      <c r="E45" s="192">
        <v>0</v>
      </c>
      <c r="F45" s="193"/>
      <c r="G45" s="193"/>
      <c r="H45" s="193"/>
      <c r="I45" s="193"/>
      <c r="J45" s="194"/>
      <c r="K45" s="180" t="s">
        <v>136</v>
      </c>
      <c r="L45" s="181">
        <v>3455.0000000000005</v>
      </c>
      <c r="M45" s="181">
        <v>3344216.8221065896</v>
      </c>
      <c r="N45" s="181">
        <v>3800.5000000000009</v>
      </c>
      <c r="O45" s="181">
        <v>3610491.3523126356</v>
      </c>
      <c r="P45" s="181">
        <v>4146</v>
      </c>
      <c r="Q45" s="181">
        <v>3876765.8825186826</v>
      </c>
      <c r="R45" s="181">
        <v>3109.5000000000005</v>
      </c>
      <c r="S45" s="181">
        <v>3077942.291900543</v>
      </c>
      <c r="T45" s="181">
        <v>2764</v>
      </c>
      <c r="U45" s="181">
        <v>2811667.7616944965</v>
      </c>
    </row>
  </sheetData>
  <mergeCells count="27">
    <mergeCell ref="A1:J1"/>
    <mergeCell ref="K1:U1"/>
    <mergeCell ref="A2:J2"/>
    <mergeCell ref="K2:U2"/>
    <mergeCell ref="D3:F3"/>
    <mergeCell ref="N3:Q3"/>
    <mergeCell ref="F4:J4"/>
    <mergeCell ref="B5:C5"/>
    <mergeCell ref="L5:M5"/>
    <mergeCell ref="P5:U7"/>
    <mergeCell ref="B6:C6"/>
    <mergeCell ref="L6:M6"/>
    <mergeCell ref="B7:C7"/>
    <mergeCell ref="L7:M7"/>
    <mergeCell ref="K27:U27"/>
    <mergeCell ref="A33:J33"/>
    <mergeCell ref="B8:C8"/>
    <mergeCell ref="B9:C9"/>
    <mergeCell ref="K9:U9"/>
    <mergeCell ref="B10:C10"/>
    <mergeCell ref="A11:C16"/>
    <mergeCell ref="F14:J16"/>
    <mergeCell ref="B34:D34"/>
    <mergeCell ref="F34:J34"/>
    <mergeCell ref="A18:J18"/>
    <mergeCell ref="B19:D19"/>
    <mergeCell ref="F19:J19"/>
  </mergeCells>
  <phoneticPr fontId="13" type="noConversion"/>
  <conditionalFormatting sqref="J9">
    <cfRule type="cellIs" dxfId="11" priority="4" stopIfTrue="1" operator="greaterThanOrEqual">
      <formula>#REF!</formula>
    </cfRule>
  </conditionalFormatting>
  <conditionalFormatting sqref="J10">
    <cfRule type="cellIs" dxfId="10" priority="3" stopIfTrue="1" operator="greaterThanOrEqual">
      <formula>#REF!</formula>
    </cfRule>
  </conditionalFormatting>
  <conditionalFormatting sqref="H9">
    <cfRule type="cellIs" dxfId="9" priority="2" stopIfTrue="1" operator="greaterThanOrEqual">
      <formula>#REF!</formula>
    </cfRule>
  </conditionalFormatting>
  <conditionalFormatting sqref="F4:J4">
    <cfRule type="containsText" dxfId="8" priority="1" stopIfTrue="1" operator="containsText" text="PEAK DAY">
      <formula>NOT(ISERROR(SEARCH("PEAK DAY",F4)))</formula>
    </cfRule>
  </conditionalFormatting>
  <pageMargins left="0.7" right="0.7" top="0.75" bottom="0.75" header="0.3" footer="0.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opLeftCell="A4" zoomScale="75" zoomScaleNormal="75" workbookViewId="0">
      <selection sqref="A1:IV65536"/>
    </sheetView>
  </sheetViews>
  <sheetFormatPr defaultColWidth="9.109375" defaultRowHeight="14.4" x14ac:dyDescent="0.3"/>
  <cols>
    <col min="1" max="1" width="26.6640625" style="206" customWidth="1"/>
    <col min="2" max="3" width="18.6640625" style="206" customWidth="1"/>
    <col min="4" max="4" width="27.6640625" style="206" customWidth="1"/>
    <col min="5" max="5" width="15.6640625" style="206" customWidth="1"/>
    <col min="6" max="7" width="12.6640625" style="206" customWidth="1"/>
    <col min="8" max="8" width="17.6640625" style="206" customWidth="1"/>
    <col min="9" max="10" width="15.6640625" style="206" customWidth="1"/>
    <col min="11" max="13" width="18.6640625" style="107" customWidth="1"/>
    <col min="14" max="21" width="15.88671875" style="107" customWidth="1"/>
    <col min="22" max="16384" width="9.109375" style="107"/>
  </cols>
  <sheetData>
    <row r="1" spans="1:21" ht="17.399999999999999" x14ac:dyDescent="0.3">
      <c r="A1" s="561" t="s">
        <v>18</v>
      </c>
      <c r="B1" s="562"/>
      <c r="C1" s="562"/>
      <c r="D1" s="562"/>
      <c r="E1" s="562"/>
      <c r="F1" s="562"/>
      <c r="G1" s="562"/>
      <c r="H1" s="562"/>
      <c r="I1" s="562"/>
      <c r="J1" s="563"/>
      <c r="K1" s="561" t="s">
        <v>18</v>
      </c>
      <c r="L1" s="562"/>
      <c r="M1" s="562"/>
      <c r="N1" s="562"/>
      <c r="O1" s="562"/>
      <c r="P1" s="562"/>
      <c r="Q1" s="562"/>
      <c r="R1" s="562"/>
      <c r="S1" s="562"/>
      <c r="T1" s="562"/>
      <c r="U1" s="563"/>
    </row>
    <row r="2" spans="1:21" ht="17.399999999999999" x14ac:dyDescent="0.3">
      <c r="A2" s="564" t="s">
        <v>167</v>
      </c>
      <c r="B2" s="565"/>
      <c r="C2" s="565"/>
      <c r="D2" s="565"/>
      <c r="E2" s="565"/>
      <c r="F2" s="565"/>
      <c r="G2" s="565"/>
      <c r="H2" s="565"/>
      <c r="I2" s="565"/>
      <c r="J2" s="566"/>
      <c r="K2" s="564" t="s">
        <v>168</v>
      </c>
      <c r="L2" s="565"/>
      <c r="M2" s="565"/>
      <c r="N2" s="565"/>
      <c r="O2" s="565"/>
      <c r="P2" s="565"/>
      <c r="Q2" s="565"/>
      <c r="R2" s="565"/>
      <c r="S2" s="565"/>
      <c r="T2" s="565"/>
      <c r="U2" s="566"/>
    </row>
    <row r="3" spans="1:21" x14ac:dyDescent="0.3">
      <c r="A3" s="108"/>
      <c r="B3" s="109"/>
      <c r="C3"/>
      <c r="D3" s="567" t="s">
        <v>180</v>
      </c>
      <c r="E3" s="567"/>
      <c r="F3" s="567"/>
      <c r="G3"/>
      <c r="H3" s="109"/>
      <c r="I3" s="109"/>
      <c r="J3" s="110"/>
      <c r="K3" s="108"/>
      <c r="L3" s="109"/>
      <c r="M3"/>
      <c r="N3" s="567" t="s">
        <v>180</v>
      </c>
      <c r="O3" s="567"/>
      <c r="P3" s="567"/>
      <c r="Q3" s="567"/>
      <c r="R3"/>
      <c r="S3"/>
      <c r="T3" s="109"/>
      <c r="U3" s="110"/>
    </row>
    <row r="4" spans="1:21" x14ac:dyDescent="0.3">
      <c r="A4" s="111"/>
      <c r="B4" s="112"/>
      <c r="C4" s="112"/>
      <c r="D4" s="112"/>
      <c r="E4" s="112"/>
      <c r="F4" s="541" t="s">
        <v>154</v>
      </c>
      <c r="G4" s="541"/>
      <c r="H4" s="541"/>
      <c r="I4" s="541"/>
      <c r="J4" s="542"/>
      <c r="K4" s="113"/>
      <c r="L4" s="114"/>
      <c r="M4" s="114"/>
      <c r="N4" s="114"/>
      <c r="O4" s="114"/>
      <c r="P4" s="114"/>
      <c r="Q4" s="114"/>
      <c r="R4" s="114"/>
      <c r="S4" s="114"/>
      <c r="T4" s="114"/>
      <c r="U4" s="115"/>
    </row>
    <row r="5" spans="1:21" ht="15" customHeight="1" x14ac:dyDescent="0.3">
      <c r="A5" s="116" t="s">
        <v>67</v>
      </c>
      <c r="B5" s="543" t="s">
        <v>65</v>
      </c>
      <c r="C5" s="544"/>
      <c r="D5" s="117" t="s">
        <v>68</v>
      </c>
      <c r="E5" s="118"/>
      <c r="F5" s="117" t="s">
        <v>69</v>
      </c>
      <c r="G5" s="119"/>
      <c r="H5" s="120" t="s">
        <v>70</v>
      </c>
      <c r="I5" s="121" t="s">
        <v>84</v>
      </c>
      <c r="J5" s="121"/>
      <c r="K5" s="116" t="s">
        <v>67</v>
      </c>
      <c r="L5" s="545" t="s">
        <v>65</v>
      </c>
      <c r="M5" s="546"/>
      <c r="N5" s="117" t="s">
        <v>71</v>
      </c>
      <c r="O5" s="119"/>
      <c r="P5" s="547" t="s">
        <v>181</v>
      </c>
      <c r="Q5" s="548"/>
      <c r="R5" s="548"/>
      <c r="S5" s="548"/>
      <c r="T5" s="548"/>
      <c r="U5" s="549"/>
    </row>
    <row r="6" spans="1:21" x14ac:dyDescent="0.3">
      <c r="A6" s="122" t="s">
        <v>72</v>
      </c>
      <c r="B6" s="556" t="s">
        <v>138</v>
      </c>
      <c r="C6" s="557"/>
      <c r="D6" s="123" t="s">
        <v>74</v>
      </c>
      <c r="E6" s="124">
        <v>0.95592031635944996</v>
      </c>
      <c r="F6" s="125" t="s">
        <v>75</v>
      </c>
      <c r="G6" s="126"/>
      <c r="H6" s="127">
        <v>74.5</v>
      </c>
      <c r="I6" s="128">
        <v>31067</v>
      </c>
      <c r="J6" s="129"/>
      <c r="K6" s="122" t="s">
        <v>72</v>
      </c>
      <c r="L6" s="558" t="s">
        <v>138</v>
      </c>
      <c r="M6" s="530"/>
      <c r="N6" s="130">
        <v>188401</v>
      </c>
      <c r="O6" s="131"/>
      <c r="P6" s="550"/>
      <c r="Q6" s="551"/>
      <c r="R6" s="551"/>
      <c r="S6" s="551"/>
      <c r="T6" s="551"/>
      <c r="U6" s="552"/>
    </row>
    <row r="7" spans="1:21" x14ac:dyDescent="0.3">
      <c r="A7" s="122" t="s">
        <v>77</v>
      </c>
      <c r="B7" s="529" t="s">
        <v>137</v>
      </c>
      <c r="C7" s="530"/>
      <c r="D7" s="132" t="s">
        <v>79</v>
      </c>
      <c r="E7" s="133">
        <v>3705.3996298059701</v>
      </c>
      <c r="F7" s="125" t="s">
        <v>80</v>
      </c>
      <c r="G7" s="126"/>
      <c r="H7" s="134">
        <v>55</v>
      </c>
      <c r="I7" s="135">
        <v>31066</v>
      </c>
      <c r="J7" s="136"/>
      <c r="K7" s="137" t="s">
        <v>77</v>
      </c>
      <c r="L7" s="559" t="s">
        <v>137</v>
      </c>
      <c r="M7" s="560"/>
      <c r="N7" s="117"/>
      <c r="O7" s="119"/>
      <c r="P7" s="553"/>
      <c r="Q7" s="554"/>
      <c r="R7" s="554"/>
      <c r="S7" s="554"/>
      <c r="T7" s="554"/>
      <c r="U7" s="555"/>
    </row>
    <row r="8" spans="1:21" ht="15.6" x14ac:dyDescent="0.3">
      <c r="A8" s="122" t="s">
        <v>81</v>
      </c>
      <c r="B8" s="527" t="s">
        <v>64</v>
      </c>
      <c r="C8" s="528"/>
      <c r="D8" s="132" t="s">
        <v>82</v>
      </c>
      <c r="E8" s="133">
        <v>7262.5832744197014</v>
      </c>
      <c r="F8" s="125"/>
      <c r="G8" s="126"/>
      <c r="H8" s="121" t="s">
        <v>83</v>
      </c>
      <c r="I8" s="138" t="s">
        <v>84</v>
      </c>
      <c r="J8" s="121" t="s">
        <v>85</v>
      </c>
      <c r="K8" s="139"/>
      <c r="L8" s="140"/>
      <c r="M8" s="140"/>
      <c r="N8" s="140"/>
      <c r="O8" s="140"/>
      <c r="P8" s="140"/>
      <c r="Q8" s="140"/>
      <c r="R8" s="140"/>
      <c r="S8" s="140"/>
      <c r="T8" s="140"/>
      <c r="U8" s="141"/>
    </row>
    <row r="9" spans="1:21" ht="15.6" x14ac:dyDescent="0.3">
      <c r="A9" s="122" t="s">
        <v>86</v>
      </c>
      <c r="B9" s="527" t="s">
        <v>76</v>
      </c>
      <c r="C9" s="528"/>
      <c r="D9" s="132" t="s">
        <v>87</v>
      </c>
      <c r="E9" s="142">
        <v>116582</v>
      </c>
      <c r="F9" s="125" t="s">
        <v>88</v>
      </c>
      <c r="G9" s="126"/>
      <c r="H9" s="134">
        <v>59.92</v>
      </c>
      <c r="I9" s="143">
        <v>37644</v>
      </c>
      <c r="J9" s="144">
        <v>108097</v>
      </c>
      <c r="K9" s="524" t="s">
        <v>89</v>
      </c>
      <c r="L9" s="525"/>
      <c r="M9" s="525"/>
      <c r="N9" s="525"/>
      <c r="O9" s="525"/>
      <c r="P9" s="525"/>
      <c r="Q9" s="525"/>
      <c r="R9" s="525"/>
      <c r="S9" s="525"/>
      <c r="T9" s="525"/>
      <c r="U9" s="526"/>
    </row>
    <row r="10" spans="1:21" x14ac:dyDescent="0.3">
      <c r="A10" s="122" t="s">
        <v>90</v>
      </c>
      <c r="B10" s="529" t="s">
        <v>91</v>
      </c>
      <c r="C10" s="530"/>
      <c r="D10" s="132" t="s">
        <v>92</v>
      </c>
      <c r="E10" s="133">
        <v>71819</v>
      </c>
      <c r="F10" s="145" t="s">
        <v>93</v>
      </c>
      <c r="G10" s="146"/>
      <c r="H10" s="147">
        <v>65</v>
      </c>
      <c r="I10" s="148">
        <v>41645</v>
      </c>
      <c r="J10" s="149">
        <v>104095</v>
      </c>
      <c r="K10" s="150"/>
      <c r="L10" s="151" t="s">
        <v>94</v>
      </c>
      <c r="M10" s="152"/>
      <c r="N10" s="151" t="s">
        <v>95</v>
      </c>
      <c r="O10" s="152"/>
      <c r="P10" s="151" t="s">
        <v>96</v>
      </c>
      <c r="Q10" s="152"/>
      <c r="R10" s="151" t="s">
        <v>97</v>
      </c>
      <c r="S10" s="152"/>
      <c r="T10" s="151" t="s">
        <v>98</v>
      </c>
      <c r="U10" s="153"/>
    </row>
    <row r="11" spans="1:21" ht="15" customHeight="1" x14ac:dyDescent="0.3">
      <c r="A11" s="531" t="s">
        <v>182</v>
      </c>
      <c r="B11" s="532"/>
      <c r="C11" s="533"/>
      <c r="D11" s="154" t="s">
        <v>99</v>
      </c>
      <c r="E11" s="155">
        <v>188401</v>
      </c>
      <c r="F11" s="117" t="s">
        <v>100</v>
      </c>
      <c r="G11" s="119"/>
      <c r="H11" s="120" t="s">
        <v>101</v>
      </c>
      <c r="I11" s="121" t="s">
        <v>102</v>
      </c>
      <c r="J11" s="121" t="s">
        <v>103</v>
      </c>
      <c r="K11" s="156" t="s">
        <v>104</v>
      </c>
      <c r="L11" s="120" t="s">
        <v>105</v>
      </c>
      <c r="M11" s="120" t="s">
        <v>37</v>
      </c>
      <c r="N11" s="120" t="s">
        <v>105</v>
      </c>
      <c r="O11" s="120" t="s">
        <v>37</v>
      </c>
      <c r="P11" s="120" t="s">
        <v>105</v>
      </c>
      <c r="Q11" s="120" t="s">
        <v>37</v>
      </c>
      <c r="R11" s="120" t="s">
        <v>105</v>
      </c>
      <c r="S11" s="120" t="s">
        <v>37</v>
      </c>
      <c r="T11" s="120" t="s">
        <v>105</v>
      </c>
      <c r="U11" s="120" t="s">
        <v>37</v>
      </c>
    </row>
    <row r="12" spans="1:21" x14ac:dyDescent="0.3">
      <c r="A12" s="534"/>
      <c r="B12" s="535"/>
      <c r="C12" s="536"/>
      <c r="D12" s="118" t="s">
        <v>106</v>
      </c>
      <c r="E12" s="157"/>
      <c r="F12" s="116" t="s">
        <v>107</v>
      </c>
      <c r="G12" s="116"/>
      <c r="H12" s="101">
        <v>7430276.2803996503</v>
      </c>
      <c r="I12" s="101">
        <v>165108.79664429362</v>
      </c>
      <c r="J12" s="101">
        <v>7595385.077043944</v>
      </c>
      <c r="K12" s="122" t="s">
        <v>40</v>
      </c>
      <c r="L12" s="158">
        <v>1007.0000000000007</v>
      </c>
      <c r="M12" s="159">
        <v>1524487.1327789859</v>
      </c>
      <c r="N12" s="158">
        <v>1107.7000000000003</v>
      </c>
      <c r="O12" s="159">
        <v>1652228.5447136471</v>
      </c>
      <c r="P12" s="158">
        <v>1208.3999999999999</v>
      </c>
      <c r="Q12" s="159">
        <v>1779969.9566483074</v>
      </c>
      <c r="R12" s="158">
        <v>906.30000000000007</v>
      </c>
      <c r="S12" s="159">
        <v>1396745.7208443256</v>
      </c>
      <c r="T12" s="158">
        <v>805.59999999999945</v>
      </c>
      <c r="U12" s="159">
        <v>1269004.3089096651</v>
      </c>
    </row>
    <row r="13" spans="1:21" x14ac:dyDescent="0.3">
      <c r="A13" s="534"/>
      <c r="B13" s="535"/>
      <c r="C13" s="536"/>
      <c r="D13" s="160" t="s">
        <v>108</v>
      </c>
      <c r="E13" s="159">
        <v>182248</v>
      </c>
      <c r="F13" s="126" t="s">
        <v>109</v>
      </c>
      <c r="G13" s="122"/>
      <c r="H13" s="161">
        <v>5615156.2546359906</v>
      </c>
      <c r="I13" s="161">
        <v>75165.635704502274</v>
      </c>
      <c r="J13" s="161">
        <v>5690321.8903404931</v>
      </c>
      <c r="K13" s="122" t="s">
        <v>41</v>
      </c>
      <c r="L13" s="142">
        <v>795.00000000000011</v>
      </c>
      <c r="M13" s="133">
        <v>1187013.8305023368</v>
      </c>
      <c r="N13" s="142">
        <v>874.50000000000023</v>
      </c>
      <c r="O13" s="133">
        <v>1288200.4141787381</v>
      </c>
      <c r="P13" s="142">
        <v>954.00000000000011</v>
      </c>
      <c r="Q13" s="133">
        <v>1389386.9978551397</v>
      </c>
      <c r="R13" s="142">
        <v>715.5</v>
      </c>
      <c r="S13" s="133">
        <v>1085827.2468259353</v>
      </c>
      <c r="T13" s="142">
        <v>636</v>
      </c>
      <c r="U13" s="133">
        <v>984640.66314953414</v>
      </c>
    </row>
    <row r="14" spans="1:21" ht="15" customHeight="1" x14ac:dyDescent="0.3">
      <c r="A14" s="534"/>
      <c r="B14" s="535"/>
      <c r="C14" s="536"/>
      <c r="D14" s="162" t="s">
        <v>110</v>
      </c>
      <c r="E14" s="133">
        <v>-6153</v>
      </c>
      <c r="F14" s="540" t="s">
        <v>183</v>
      </c>
      <c r="G14" s="532"/>
      <c r="H14" s="532"/>
      <c r="I14" s="532"/>
      <c r="J14" s="533"/>
      <c r="K14" s="122" t="s">
        <v>42</v>
      </c>
      <c r="L14" s="142">
        <v>591.99999999999977</v>
      </c>
      <c r="M14" s="133">
        <v>864293.02339517232</v>
      </c>
      <c r="N14" s="142">
        <v>651.20000000000005</v>
      </c>
      <c r="O14" s="133">
        <v>939847.71731994674</v>
      </c>
      <c r="P14" s="142">
        <v>710.39999999999986</v>
      </c>
      <c r="Q14" s="133">
        <v>1015402.4112447206</v>
      </c>
      <c r="R14" s="142">
        <v>532.80000000000018</v>
      </c>
      <c r="S14" s="133">
        <v>788738.32947039837</v>
      </c>
      <c r="T14" s="142">
        <v>473.60000000000019</v>
      </c>
      <c r="U14" s="133">
        <v>713183.63554562454</v>
      </c>
    </row>
    <row r="15" spans="1:21" x14ac:dyDescent="0.3">
      <c r="A15" s="534"/>
      <c r="B15" s="535"/>
      <c r="C15" s="536"/>
      <c r="D15" s="162" t="s">
        <v>111</v>
      </c>
      <c r="E15" s="163">
        <v>-3.2659062319202126E-2</v>
      </c>
      <c r="F15" s="534"/>
      <c r="G15" s="535"/>
      <c r="H15" s="535"/>
      <c r="I15" s="535"/>
      <c r="J15" s="536"/>
      <c r="K15" s="122" t="s">
        <v>112</v>
      </c>
      <c r="L15" s="142">
        <v>288.99999999999989</v>
      </c>
      <c r="M15" s="133">
        <v>465859.22129512648</v>
      </c>
      <c r="N15" s="142">
        <v>317.89999999999992</v>
      </c>
      <c r="O15" s="133">
        <v>506738.77828861668</v>
      </c>
      <c r="P15" s="142">
        <v>346.80000000000007</v>
      </c>
      <c r="Q15" s="133">
        <v>547618.33528210677</v>
      </c>
      <c r="R15" s="142">
        <v>260.10000000000002</v>
      </c>
      <c r="S15" s="133">
        <v>424979.66430163651</v>
      </c>
      <c r="T15" s="142">
        <v>231.19999999999987</v>
      </c>
      <c r="U15" s="133">
        <v>384100.10730814637</v>
      </c>
    </row>
    <row r="16" spans="1:21" x14ac:dyDescent="0.3">
      <c r="A16" s="537"/>
      <c r="B16" s="538"/>
      <c r="C16" s="539"/>
      <c r="D16" s="164"/>
      <c r="E16" s="165"/>
      <c r="F16" s="537"/>
      <c r="G16" s="538"/>
      <c r="H16" s="538"/>
      <c r="I16" s="538"/>
      <c r="J16" s="539"/>
      <c r="K16" s="122" t="s">
        <v>113</v>
      </c>
      <c r="L16" s="142">
        <v>86</v>
      </c>
      <c r="M16" s="133">
        <v>238988.52729745689</v>
      </c>
      <c r="N16" s="142">
        <v>94.599999999999966</v>
      </c>
      <c r="O16" s="133">
        <v>251329.7404083017</v>
      </c>
      <c r="P16" s="142">
        <v>103.20000000000003</v>
      </c>
      <c r="Q16" s="133">
        <v>263670.95351914648</v>
      </c>
      <c r="R16" s="142">
        <v>77.400000000000048</v>
      </c>
      <c r="S16" s="133">
        <v>226647.31418661203</v>
      </c>
      <c r="T16" s="142">
        <v>68.799999999999983</v>
      </c>
      <c r="U16" s="133">
        <v>214306.10107576728</v>
      </c>
    </row>
    <row r="17" spans="1:21" x14ac:dyDescent="0.3">
      <c r="A17" s="166"/>
      <c r="B17" s="6"/>
      <c r="C17" s="6"/>
      <c r="D17" s="6"/>
      <c r="E17" s="167"/>
      <c r="F17" s="168"/>
      <c r="G17" s="6"/>
      <c r="H17" s="6"/>
      <c r="I17" s="6"/>
      <c r="J17" s="169"/>
      <c r="K17" s="122" t="s">
        <v>114</v>
      </c>
      <c r="L17" s="142">
        <v>6.0000000000000027</v>
      </c>
      <c r="M17" s="133">
        <v>179111.75052590555</v>
      </c>
      <c r="N17" s="142">
        <v>6.6000000000000192</v>
      </c>
      <c r="O17" s="133">
        <v>180013.21185314169</v>
      </c>
      <c r="P17" s="142">
        <v>7.2000000000000126</v>
      </c>
      <c r="Q17" s="133">
        <v>180914.67318037787</v>
      </c>
      <c r="R17" s="142">
        <v>5.4000000000000092</v>
      </c>
      <c r="S17" s="133">
        <v>178210.28919866937</v>
      </c>
      <c r="T17" s="142">
        <v>4.8000000000000096</v>
      </c>
      <c r="U17" s="133">
        <v>177308.82787143326</v>
      </c>
    </row>
    <row r="18" spans="1:21" ht="15.6" x14ac:dyDescent="0.3">
      <c r="A18" s="521" t="s">
        <v>115</v>
      </c>
      <c r="B18" s="522"/>
      <c r="C18" s="522"/>
      <c r="D18" s="522"/>
      <c r="E18" s="522"/>
      <c r="F18" s="522"/>
      <c r="G18" s="522"/>
      <c r="H18" s="522"/>
      <c r="I18" s="522"/>
      <c r="J18" s="523"/>
      <c r="K18" s="122" t="s">
        <v>116</v>
      </c>
      <c r="L18" s="142">
        <v>0</v>
      </c>
      <c r="M18" s="133">
        <v>165622.59458994481</v>
      </c>
      <c r="N18" s="142">
        <v>0</v>
      </c>
      <c r="O18" s="133">
        <v>165628.65703878039</v>
      </c>
      <c r="P18" s="142">
        <v>0</v>
      </c>
      <c r="Q18" s="133">
        <v>165634.71948761598</v>
      </c>
      <c r="R18" s="142">
        <v>0</v>
      </c>
      <c r="S18" s="133">
        <v>165616.53214110926</v>
      </c>
      <c r="T18" s="142">
        <v>0</v>
      </c>
      <c r="U18" s="133">
        <v>165610.46969227368</v>
      </c>
    </row>
    <row r="19" spans="1:21" x14ac:dyDescent="0.3">
      <c r="A19" s="121" t="s">
        <v>117</v>
      </c>
      <c r="B19" s="515" t="s">
        <v>118</v>
      </c>
      <c r="C19" s="516"/>
      <c r="D19" s="517"/>
      <c r="E19" s="121" t="s">
        <v>119</v>
      </c>
      <c r="F19" s="515" t="s">
        <v>120</v>
      </c>
      <c r="G19" s="518"/>
      <c r="H19" s="519"/>
      <c r="I19" s="519"/>
      <c r="J19" s="520"/>
      <c r="K19" s="122" t="s">
        <v>121</v>
      </c>
      <c r="L19" s="142">
        <v>0.99999999999999922</v>
      </c>
      <c r="M19" s="133">
        <v>177615.83211450174</v>
      </c>
      <c r="N19" s="142">
        <v>1.1000000000000001</v>
      </c>
      <c r="O19" s="133">
        <v>177753.67962072301</v>
      </c>
      <c r="P19" s="142">
        <v>1.1999999999999988</v>
      </c>
      <c r="Q19" s="133">
        <v>177891.52712694422</v>
      </c>
      <c r="R19" s="142">
        <v>0.8999999999999998</v>
      </c>
      <c r="S19" s="133">
        <v>177477.98460828047</v>
      </c>
      <c r="T19" s="142">
        <v>0.79999999999999949</v>
      </c>
      <c r="U19" s="133">
        <v>177340.13710205918</v>
      </c>
    </row>
    <row r="20" spans="1:21" x14ac:dyDescent="0.3">
      <c r="A20" s="170" t="s">
        <v>125</v>
      </c>
      <c r="B20" s="171" t="s">
        <v>157</v>
      </c>
      <c r="C20" s="172"/>
      <c r="D20" s="173"/>
      <c r="E20" s="133">
        <v>13500</v>
      </c>
      <c r="F20" s="174" t="s">
        <v>158</v>
      </c>
      <c r="G20" s="174"/>
      <c r="H20" s="174"/>
      <c r="I20" s="174"/>
      <c r="J20" s="175"/>
      <c r="K20" s="122" t="s">
        <v>124</v>
      </c>
      <c r="L20" s="142">
        <v>46</v>
      </c>
      <c r="M20" s="133">
        <v>222968.45861917094</v>
      </c>
      <c r="N20" s="142">
        <v>50.599999999999994</v>
      </c>
      <c r="O20" s="133">
        <v>229147.61986005923</v>
      </c>
      <c r="P20" s="142">
        <v>55.199999999999989</v>
      </c>
      <c r="Q20" s="133">
        <v>235326.78110094735</v>
      </c>
      <c r="R20" s="142">
        <v>41.400000000000006</v>
      </c>
      <c r="S20" s="133">
        <v>216789.29737828276</v>
      </c>
      <c r="T20" s="142">
        <v>36.799999999999997</v>
      </c>
      <c r="U20" s="133">
        <v>210610.13613739458</v>
      </c>
    </row>
    <row r="21" spans="1:21" x14ac:dyDescent="0.3">
      <c r="A21" s="176" t="s">
        <v>125</v>
      </c>
      <c r="B21" s="177" t="s">
        <v>159</v>
      </c>
      <c r="C21" s="178"/>
      <c r="D21" s="179"/>
      <c r="E21" s="133">
        <v>3000</v>
      </c>
      <c r="F21" s="174" t="s">
        <v>158</v>
      </c>
      <c r="G21" s="174"/>
      <c r="H21" s="174"/>
      <c r="I21" s="174"/>
      <c r="J21" s="175"/>
      <c r="K21" s="122" t="s">
        <v>126</v>
      </c>
      <c r="L21" s="142">
        <v>256</v>
      </c>
      <c r="M21" s="133">
        <v>364953.64132155321</v>
      </c>
      <c r="N21" s="142">
        <v>281.60000000000002</v>
      </c>
      <c r="O21" s="133">
        <v>400267.0263876199</v>
      </c>
      <c r="P21" s="142">
        <v>307.20000000000005</v>
      </c>
      <c r="Q21" s="133">
        <v>435580.41145368665</v>
      </c>
      <c r="R21" s="142">
        <v>230.39999999999998</v>
      </c>
      <c r="S21" s="133">
        <v>329640.25625548634</v>
      </c>
      <c r="T21" s="142">
        <v>204.8</v>
      </c>
      <c r="U21" s="133">
        <v>294326.87118941959</v>
      </c>
    </row>
    <row r="22" spans="1:21" x14ac:dyDescent="0.3">
      <c r="A22" s="176" t="s">
        <v>125</v>
      </c>
      <c r="B22" s="177" t="s">
        <v>160</v>
      </c>
      <c r="C22" s="178"/>
      <c r="D22" s="179"/>
      <c r="E22" s="133">
        <v>82000</v>
      </c>
      <c r="F22" s="174" t="s">
        <v>161</v>
      </c>
      <c r="G22" s="174"/>
      <c r="H22" s="174"/>
      <c r="I22" s="174"/>
      <c r="J22" s="175"/>
      <c r="K22" s="122" t="s">
        <v>38</v>
      </c>
      <c r="L22" s="142">
        <v>558</v>
      </c>
      <c r="M22" s="133">
        <v>737155.89640045073</v>
      </c>
      <c r="N22" s="142">
        <v>613.80000000000007</v>
      </c>
      <c r="O22" s="133">
        <v>807493.73150342586</v>
      </c>
      <c r="P22" s="142">
        <v>669.60000000000014</v>
      </c>
      <c r="Q22" s="133">
        <v>877831.56660640088</v>
      </c>
      <c r="R22" s="142">
        <v>502.20000000000005</v>
      </c>
      <c r="S22" s="133">
        <v>666818.06129747583</v>
      </c>
      <c r="T22" s="142">
        <v>446.40000000000015</v>
      </c>
      <c r="U22" s="133">
        <v>596480.22619450092</v>
      </c>
    </row>
    <row r="23" spans="1:21" x14ac:dyDescent="0.3">
      <c r="A23" s="176" t="s">
        <v>66</v>
      </c>
      <c r="B23" s="177" t="s">
        <v>139</v>
      </c>
      <c r="C23" s="178"/>
      <c r="D23" s="179"/>
      <c r="E23" s="133">
        <v>73270</v>
      </c>
      <c r="F23" s="174" t="s">
        <v>140</v>
      </c>
      <c r="G23" s="174"/>
      <c r="H23" s="174"/>
      <c r="I23" s="174"/>
      <c r="J23" s="175"/>
      <c r="K23" s="122" t="s">
        <v>39</v>
      </c>
      <c r="L23" s="142">
        <v>911.00000000000068</v>
      </c>
      <c r="M23" s="133">
        <v>1302206.3715590455</v>
      </c>
      <c r="N23" s="142">
        <v>1002.1000000000003</v>
      </c>
      <c r="O23" s="133">
        <v>1417422.0879108279</v>
      </c>
      <c r="P23" s="142">
        <v>1093.1999999999998</v>
      </c>
      <c r="Q23" s="133">
        <v>1532637.8042626097</v>
      </c>
      <c r="R23" s="142">
        <v>819.89999999999941</v>
      </c>
      <c r="S23" s="133">
        <v>1186990.655207264</v>
      </c>
      <c r="T23" s="142">
        <v>728.79999999999984</v>
      </c>
      <c r="U23" s="133">
        <v>1071774.9388554823</v>
      </c>
    </row>
    <row r="24" spans="1:21" x14ac:dyDescent="0.3">
      <c r="A24" s="176"/>
      <c r="B24" s="177"/>
      <c r="C24" s="178"/>
      <c r="D24" s="179"/>
      <c r="E24" s="133"/>
      <c r="F24" s="174" t="s">
        <v>141</v>
      </c>
      <c r="G24" s="174"/>
      <c r="H24" s="174"/>
      <c r="I24" s="174"/>
      <c r="J24" s="175"/>
      <c r="K24" s="180" t="s">
        <v>127</v>
      </c>
      <c r="L24" s="181">
        <v>4547.0000000000018</v>
      </c>
      <c r="M24" s="181">
        <v>7430276.2803996503</v>
      </c>
      <c r="N24" s="181">
        <v>5001.7000000000007</v>
      </c>
      <c r="O24" s="181">
        <v>8016071.20908383</v>
      </c>
      <c r="P24" s="181">
        <v>5456.4</v>
      </c>
      <c r="Q24" s="181">
        <v>8601866.1377680041</v>
      </c>
      <c r="R24" s="181">
        <v>4092.3</v>
      </c>
      <c r="S24" s="181">
        <v>6844481.3517154763</v>
      </c>
      <c r="T24" s="181">
        <v>3637.6000000000004</v>
      </c>
      <c r="U24" s="181">
        <v>6258686.4230313003</v>
      </c>
    </row>
    <row r="25" spans="1:21" x14ac:dyDescent="0.3">
      <c r="A25" s="176"/>
      <c r="B25" s="177"/>
      <c r="C25" s="178"/>
      <c r="D25" s="179"/>
      <c r="E25" s="133"/>
      <c r="F25" s="174" t="s">
        <v>142</v>
      </c>
      <c r="G25" s="174"/>
      <c r="H25" s="174"/>
      <c r="I25" s="174"/>
      <c r="J25" s="175"/>
      <c r="K25" s="180" t="s">
        <v>128</v>
      </c>
      <c r="L25" s="181">
        <v>3863.0000000000018</v>
      </c>
      <c r="M25" s="181">
        <v>5615156.2546359906</v>
      </c>
      <c r="N25" s="181">
        <v>4249.3000000000011</v>
      </c>
      <c r="O25" s="181">
        <v>6105192.4956265865</v>
      </c>
      <c r="P25" s="181">
        <v>4635.6000000000004</v>
      </c>
      <c r="Q25" s="181">
        <v>6595228.7366171777</v>
      </c>
      <c r="R25" s="181">
        <v>3476.7</v>
      </c>
      <c r="S25" s="181">
        <v>5125120.0136453994</v>
      </c>
      <c r="T25" s="181">
        <v>3090.3999999999996</v>
      </c>
      <c r="U25" s="181">
        <v>4635083.7726548072</v>
      </c>
    </row>
    <row r="26" spans="1:21" x14ac:dyDescent="0.3">
      <c r="A26" s="176" t="s">
        <v>125</v>
      </c>
      <c r="B26" s="177" t="s">
        <v>162</v>
      </c>
      <c r="C26" s="178"/>
      <c r="D26" s="179"/>
      <c r="E26" s="133">
        <v>4478</v>
      </c>
      <c r="F26" s="207" t="s">
        <v>184</v>
      </c>
      <c r="G26" s="207"/>
      <c r="H26" s="174"/>
      <c r="I26" s="174"/>
      <c r="J26" s="175"/>
      <c r="K26" s="182"/>
      <c r="L26" s="183"/>
      <c r="M26" s="183"/>
      <c r="N26" s="183"/>
      <c r="O26" s="183"/>
      <c r="P26" s="183"/>
      <c r="Q26" s="183"/>
      <c r="R26" s="183"/>
      <c r="S26" s="183"/>
      <c r="T26" s="183"/>
      <c r="U26" s="184"/>
    </row>
    <row r="27" spans="1:21" ht="15.6" x14ac:dyDescent="0.3">
      <c r="A27" s="176" t="s">
        <v>163</v>
      </c>
      <c r="B27" s="177" t="s">
        <v>185</v>
      </c>
      <c r="C27" s="178"/>
      <c r="D27" s="179"/>
      <c r="E27" s="133">
        <v>6000</v>
      </c>
      <c r="F27" s="174" t="s">
        <v>186</v>
      </c>
      <c r="G27" s="174"/>
      <c r="H27" s="174"/>
      <c r="I27" s="174"/>
      <c r="J27" s="175"/>
      <c r="K27" s="524" t="s">
        <v>129</v>
      </c>
      <c r="L27" s="525"/>
      <c r="M27" s="525"/>
      <c r="N27" s="525"/>
      <c r="O27" s="525"/>
      <c r="P27" s="525"/>
      <c r="Q27" s="525"/>
      <c r="R27" s="525"/>
      <c r="S27" s="525"/>
      <c r="T27" s="525"/>
      <c r="U27" s="526"/>
    </row>
    <row r="28" spans="1:21" x14ac:dyDescent="0.3">
      <c r="A28" s="176"/>
      <c r="B28" s="177"/>
      <c r="C28" s="178"/>
      <c r="D28" s="179"/>
      <c r="E28" s="133"/>
      <c r="F28" s="174"/>
      <c r="G28" s="174"/>
      <c r="H28" s="174"/>
      <c r="I28" s="174"/>
      <c r="J28" s="175"/>
      <c r="K28" s="150"/>
      <c r="L28" s="151" t="s">
        <v>94</v>
      </c>
      <c r="M28" s="152"/>
      <c r="N28" s="151" t="s">
        <v>95</v>
      </c>
      <c r="O28" s="152"/>
      <c r="P28" s="151" t="s">
        <v>96</v>
      </c>
      <c r="Q28" s="152"/>
      <c r="R28" s="151" t="s">
        <v>97</v>
      </c>
      <c r="S28" s="152"/>
      <c r="T28" s="151" t="s">
        <v>98</v>
      </c>
      <c r="U28" s="153"/>
    </row>
    <row r="29" spans="1:21" x14ac:dyDescent="0.3">
      <c r="A29" s="176"/>
      <c r="B29" s="177"/>
      <c r="C29" s="178"/>
      <c r="D29" s="179"/>
      <c r="E29" s="133"/>
      <c r="F29" s="174"/>
      <c r="G29" s="174"/>
      <c r="H29" s="174"/>
      <c r="I29" s="174"/>
      <c r="J29" s="175"/>
      <c r="K29" s="156" t="s">
        <v>104</v>
      </c>
      <c r="L29" s="120" t="s">
        <v>105</v>
      </c>
      <c r="M29" s="120" t="s">
        <v>37</v>
      </c>
      <c r="N29" s="120" t="s">
        <v>105</v>
      </c>
      <c r="O29" s="120" t="s">
        <v>37</v>
      </c>
      <c r="P29" s="120" t="s">
        <v>105</v>
      </c>
      <c r="Q29" s="120" t="s">
        <v>37</v>
      </c>
      <c r="R29" s="120" t="s">
        <v>105</v>
      </c>
      <c r="S29" s="120" t="s">
        <v>37</v>
      </c>
      <c r="T29" s="120" t="s">
        <v>105</v>
      </c>
      <c r="U29" s="120" t="s">
        <v>37</v>
      </c>
    </row>
    <row r="30" spans="1:21" x14ac:dyDescent="0.3">
      <c r="A30" s="185"/>
      <c r="B30" s="186"/>
      <c r="C30" s="187"/>
      <c r="D30" s="188"/>
      <c r="E30" s="189"/>
      <c r="F30" s="174"/>
      <c r="G30" s="174"/>
      <c r="H30" s="174"/>
      <c r="I30" s="174"/>
      <c r="J30" s="175"/>
      <c r="K30" s="122" t="s">
        <v>40</v>
      </c>
      <c r="L30" s="158">
        <v>1007.0000000000007</v>
      </c>
      <c r="M30" s="159">
        <v>14671.216428402364</v>
      </c>
      <c r="N30" s="158">
        <v>1107.7000000000003</v>
      </c>
      <c r="O30" s="159">
        <v>17170.083000213035</v>
      </c>
      <c r="P30" s="158">
        <v>1208.3999999999999</v>
      </c>
      <c r="Q30" s="159">
        <v>19668.949572023717</v>
      </c>
      <c r="R30" s="158">
        <v>906.30000000000007</v>
      </c>
      <c r="S30" s="159">
        <v>12172.349856591687</v>
      </c>
      <c r="T30" s="158">
        <v>805.59999999999945</v>
      </c>
      <c r="U30" s="159">
        <v>9673.4832847810212</v>
      </c>
    </row>
    <row r="31" spans="1:21" x14ac:dyDescent="0.3">
      <c r="A31" s="190"/>
      <c r="B31" s="191"/>
      <c r="C31" s="191"/>
      <c r="D31" s="191" t="s">
        <v>130</v>
      </c>
      <c r="E31" s="192">
        <v>182248</v>
      </c>
      <c r="F31" s="193"/>
      <c r="G31" s="193"/>
      <c r="H31" s="193"/>
      <c r="I31" s="193"/>
      <c r="J31" s="194"/>
      <c r="K31" s="122" t="s">
        <v>41</v>
      </c>
      <c r="L31" s="142">
        <v>795.00000000000011</v>
      </c>
      <c r="M31" s="133">
        <v>15778.302123487427</v>
      </c>
      <c r="N31" s="142">
        <v>874.50000000000023</v>
      </c>
      <c r="O31" s="133">
        <v>18021.768271876655</v>
      </c>
      <c r="P31" s="142">
        <v>954.00000000000011</v>
      </c>
      <c r="Q31" s="133">
        <v>20265.234420265879</v>
      </c>
      <c r="R31" s="142">
        <v>715.5</v>
      </c>
      <c r="S31" s="133">
        <v>13534.835975098202</v>
      </c>
      <c r="T31" s="142">
        <v>636</v>
      </c>
      <c r="U31" s="133">
        <v>11291.369826708975</v>
      </c>
    </row>
    <row r="32" spans="1:21" x14ac:dyDescent="0.3">
      <c r="A32" s="195"/>
      <c r="B32" s="196"/>
      <c r="C32" s="196"/>
      <c r="D32" s="197"/>
      <c r="E32" s="198"/>
      <c r="F32" s="199"/>
      <c r="G32" s="199"/>
      <c r="H32" s="199"/>
      <c r="I32" s="199"/>
      <c r="J32" s="200"/>
      <c r="K32" s="122" t="s">
        <v>42</v>
      </c>
      <c r="L32" s="142">
        <v>591.99999999999977</v>
      </c>
      <c r="M32" s="133">
        <v>13937.263853588533</v>
      </c>
      <c r="N32" s="142">
        <v>651.20000000000005</v>
      </c>
      <c r="O32" s="133">
        <v>15902.027830951698</v>
      </c>
      <c r="P32" s="142">
        <v>710.39999999999986</v>
      </c>
      <c r="Q32" s="133">
        <v>17866.791808314854</v>
      </c>
      <c r="R32" s="142">
        <v>532.80000000000018</v>
      </c>
      <c r="S32" s="133">
        <v>11972.499876225393</v>
      </c>
      <c r="T32" s="142">
        <v>473.60000000000019</v>
      </c>
      <c r="U32" s="133">
        <v>10007.735898862235</v>
      </c>
    </row>
    <row r="33" spans="1:21" ht="15.6" x14ac:dyDescent="0.3">
      <c r="A33" s="521" t="s">
        <v>131</v>
      </c>
      <c r="B33" s="522"/>
      <c r="C33" s="522"/>
      <c r="D33" s="522"/>
      <c r="E33" s="522"/>
      <c r="F33" s="522"/>
      <c r="G33" s="522"/>
      <c r="H33" s="522"/>
      <c r="I33" s="522"/>
      <c r="J33" s="523"/>
      <c r="K33" s="122" t="s">
        <v>112</v>
      </c>
      <c r="L33" s="142">
        <v>288.99999999999989</v>
      </c>
      <c r="M33" s="133">
        <v>12723.077383329663</v>
      </c>
      <c r="N33" s="142">
        <v>317.89999999999992</v>
      </c>
      <c r="O33" s="133">
        <v>13885.119513701899</v>
      </c>
      <c r="P33" s="142">
        <v>346.80000000000007</v>
      </c>
      <c r="Q33" s="133">
        <v>15047.161644074133</v>
      </c>
      <c r="R33" s="142">
        <v>260.10000000000002</v>
      </c>
      <c r="S33" s="133">
        <v>11561.035252957436</v>
      </c>
      <c r="T33" s="142">
        <v>231.19999999999987</v>
      </c>
      <c r="U33" s="133">
        <v>10398.993122585201</v>
      </c>
    </row>
    <row r="34" spans="1:21" x14ac:dyDescent="0.3">
      <c r="A34" s="121" t="s">
        <v>117</v>
      </c>
      <c r="B34" s="515" t="s">
        <v>118</v>
      </c>
      <c r="C34" s="516"/>
      <c r="D34" s="517"/>
      <c r="E34" s="121" t="s">
        <v>119</v>
      </c>
      <c r="F34" s="515" t="s">
        <v>120</v>
      </c>
      <c r="G34" s="518"/>
      <c r="H34" s="519"/>
      <c r="I34" s="519"/>
      <c r="J34" s="520"/>
      <c r="K34" s="122" t="s">
        <v>113</v>
      </c>
      <c r="L34" s="142">
        <v>86</v>
      </c>
      <c r="M34" s="133">
        <v>14531.530014142689</v>
      </c>
      <c r="N34" s="142">
        <v>94.599999999999966</v>
      </c>
      <c r="O34" s="133">
        <v>15073.109388995221</v>
      </c>
      <c r="P34" s="142">
        <v>103.20000000000003</v>
      </c>
      <c r="Q34" s="133">
        <v>15614.68876384776</v>
      </c>
      <c r="R34" s="142">
        <v>77.400000000000048</v>
      </c>
      <c r="S34" s="133">
        <v>13989.950639290157</v>
      </c>
      <c r="T34" s="142">
        <v>68.799999999999983</v>
      </c>
      <c r="U34" s="133">
        <v>13448.371264437621</v>
      </c>
    </row>
    <row r="35" spans="1:21" x14ac:dyDescent="0.3">
      <c r="A35" s="170"/>
      <c r="B35" s="171"/>
      <c r="C35" s="172"/>
      <c r="D35" s="201"/>
      <c r="E35" s="159"/>
      <c r="F35" s="202"/>
      <c r="G35" s="202"/>
      <c r="H35" s="202"/>
      <c r="I35" s="202"/>
      <c r="J35" s="203"/>
      <c r="K35" s="122" t="s">
        <v>114</v>
      </c>
      <c r="L35" s="142">
        <v>6.0000000000000027</v>
      </c>
      <c r="M35" s="133">
        <v>13246.744100219514</v>
      </c>
      <c r="N35" s="142">
        <v>6.6000000000000192</v>
      </c>
      <c r="O35" s="133">
        <v>13423.569382079046</v>
      </c>
      <c r="P35" s="142">
        <v>7.2000000000000126</v>
      </c>
      <c r="Q35" s="133">
        <v>13600.394663938589</v>
      </c>
      <c r="R35" s="142">
        <v>5.4000000000000092</v>
      </c>
      <c r="S35" s="133">
        <v>13069.918818359969</v>
      </c>
      <c r="T35" s="142">
        <v>4.8000000000000096</v>
      </c>
      <c r="U35" s="133">
        <v>12893.093536500424</v>
      </c>
    </row>
    <row r="36" spans="1:21" x14ac:dyDescent="0.3">
      <c r="A36" s="176"/>
      <c r="B36" s="177"/>
      <c r="C36" s="178"/>
      <c r="D36" s="204"/>
      <c r="E36" s="133"/>
      <c r="F36" s="174"/>
      <c r="G36" s="174"/>
      <c r="H36" s="174"/>
      <c r="I36" s="174"/>
      <c r="J36" s="175"/>
      <c r="K36" s="122" t="s">
        <v>116</v>
      </c>
      <c r="L36" s="142">
        <v>0</v>
      </c>
      <c r="M36" s="133">
        <v>13384.856371714393</v>
      </c>
      <c r="N36" s="142">
        <v>0</v>
      </c>
      <c r="O36" s="133">
        <v>13441.23365799477</v>
      </c>
      <c r="P36" s="142">
        <v>0</v>
      </c>
      <c r="Q36" s="133">
        <v>13497.610944275155</v>
      </c>
      <c r="R36" s="142">
        <v>0</v>
      </c>
      <c r="S36" s="133">
        <v>13328.479085434012</v>
      </c>
      <c r="T36" s="142">
        <v>0</v>
      </c>
      <c r="U36" s="133">
        <v>13272.101799153621</v>
      </c>
    </row>
    <row r="37" spans="1:21" x14ac:dyDescent="0.3">
      <c r="A37" s="176"/>
      <c r="B37" s="177"/>
      <c r="C37" s="178"/>
      <c r="D37" s="204"/>
      <c r="E37" s="133"/>
      <c r="F37" s="174"/>
      <c r="G37" s="174"/>
      <c r="H37" s="174"/>
      <c r="I37" s="174"/>
      <c r="J37" s="175"/>
      <c r="K37" s="122" t="s">
        <v>121</v>
      </c>
      <c r="L37" s="142">
        <v>0.99999999999999922</v>
      </c>
      <c r="M37" s="133">
        <v>13774.443282807426</v>
      </c>
      <c r="N37" s="142">
        <v>1.1000000000000001</v>
      </c>
      <c r="O37" s="133">
        <v>13792.957213452171</v>
      </c>
      <c r="P37" s="142">
        <v>1.1999999999999988</v>
      </c>
      <c r="Q37" s="133">
        <v>13811.471144096919</v>
      </c>
      <c r="R37" s="142">
        <v>0.8999999999999998</v>
      </c>
      <c r="S37" s="133">
        <v>13755.929352162686</v>
      </c>
      <c r="T37" s="142">
        <v>0.79999999999999949</v>
      </c>
      <c r="U37" s="133">
        <v>13737.415421517959</v>
      </c>
    </row>
    <row r="38" spans="1:21" x14ac:dyDescent="0.3">
      <c r="A38" s="176"/>
      <c r="B38" s="177"/>
      <c r="C38" s="178"/>
      <c r="D38" s="204"/>
      <c r="E38" s="133"/>
      <c r="F38" s="174"/>
      <c r="G38" s="174"/>
      <c r="H38" s="174"/>
      <c r="I38" s="174"/>
      <c r="J38" s="175"/>
      <c r="K38" s="122" t="s">
        <v>124</v>
      </c>
      <c r="L38" s="142">
        <v>46</v>
      </c>
      <c r="M38" s="133">
        <v>11128.769051759238</v>
      </c>
      <c r="N38" s="142">
        <v>50.599999999999994</v>
      </c>
      <c r="O38" s="133">
        <v>11188.58721963065</v>
      </c>
      <c r="P38" s="142">
        <v>55.199999999999989</v>
      </c>
      <c r="Q38" s="133">
        <v>11248.405387502056</v>
      </c>
      <c r="R38" s="142">
        <v>41.400000000000006</v>
      </c>
      <c r="S38" s="133">
        <v>11068.950883887828</v>
      </c>
      <c r="T38" s="142">
        <v>36.799999999999997</v>
      </c>
      <c r="U38" s="133">
        <v>11009.132716016436</v>
      </c>
    </row>
    <row r="39" spans="1:21" x14ac:dyDescent="0.3">
      <c r="A39" s="176"/>
      <c r="B39" s="177"/>
      <c r="C39" s="178"/>
      <c r="D39" s="204"/>
      <c r="E39" s="133"/>
      <c r="F39" s="174"/>
      <c r="G39" s="174"/>
      <c r="H39" s="174"/>
      <c r="I39" s="174"/>
      <c r="J39" s="175"/>
      <c r="K39" s="122" t="s">
        <v>126</v>
      </c>
      <c r="L39" s="142">
        <v>256</v>
      </c>
      <c r="M39" s="133">
        <v>11153.740735818423</v>
      </c>
      <c r="N39" s="142">
        <v>281.60000000000002</v>
      </c>
      <c r="O39" s="133">
        <v>11548.0441779947</v>
      </c>
      <c r="P39" s="142">
        <v>307.20000000000005</v>
      </c>
      <c r="Q39" s="133">
        <v>11942.347620170964</v>
      </c>
      <c r="R39" s="142">
        <v>230.39999999999998</v>
      </c>
      <c r="S39" s="133">
        <v>10759.437293642151</v>
      </c>
      <c r="T39" s="142">
        <v>204.8</v>
      </c>
      <c r="U39" s="133">
        <v>10365.133851465878</v>
      </c>
    </row>
    <row r="40" spans="1:21" x14ac:dyDescent="0.3">
      <c r="A40" s="176"/>
      <c r="B40" s="177"/>
      <c r="C40" s="178"/>
      <c r="D40" s="204"/>
      <c r="E40" s="133"/>
      <c r="F40" s="174"/>
      <c r="G40" s="174"/>
      <c r="H40" s="174"/>
      <c r="I40" s="174"/>
      <c r="J40" s="175"/>
      <c r="K40" s="122" t="s">
        <v>38</v>
      </c>
      <c r="L40" s="142">
        <v>558</v>
      </c>
      <c r="M40" s="133">
        <v>15733.289058695849</v>
      </c>
      <c r="N40" s="142">
        <v>613.80000000000007</v>
      </c>
      <c r="O40" s="133">
        <v>16767.517693317317</v>
      </c>
      <c r="P40" s="142">
        <v>669.60000000000014</v>
      </c>
      <c r="Q40" s="133">
        <v>17801.746327938774</v>
      </c>
      <c r="R40" s="142">
        <v>502.20000000000005</v>
      </c>
      <c r="S40" s="133">
        <v>14699.060424074394</v>
      </c>
      <c r="T40" s="142">
        <v>446.40000000000015</v>
      </c>
      <c r="U40" s="133">
        <v>13664.831789452932</v>
      </c>
    </row>
    <row r="41" spans="1:21" x14ac:dyDescent="0.3">
      <c r="A41" s="176"/>
      <c r="B41" s="177"/>
      <c r="C41" s="178"/>
      <c r="D41" s="204"/>
      <c r="E41" s="133"/>
      <c r="F41" s="174"/>
      <c r="G41" s="174"/>
      <c r="H41" s="174"/>
      <c r="I41" s="174"/>
      <c r="J41" s="175"/>
      <c r="K41" s="122" t="s">
        <v>39</v>
      </c>
      <c r="L41" s="142">
        <v>911.00000000000068</v>
      </c>
      <c r="M41" s="133">
        <v>15045.564240328093</v>
      </c>
      <c r="N41" s="142">
        <v>1002.1000000000003</v>
      </c>
      <c r="O41" s="133">
        <v>17012.811668629449</v>
      </c>
      <c r="P41" s="142">
        <v>1093.1999999999998</v>
      </c>
      <c r="Q41" s="133">
        <v>18980.059096930796</v>
      </c>
      <c r="R41" s="142">
        <v>819.89999999999941</v>
      </c>
      <c r="S41" s="133">
        <v>13078.316812026738</v>
      </c>
      <c r="T41" s="142">
        <v>728.79999999999984</v>
      </c>
      <c r="U41" s="133">
        <v>11111.069383725382</v>
      </c>
    </row>
    <row r="42" spans="1:21" x14ac:dyDescent="0.3">
      <c r="A42" s="176"/>
      <c r="B42" s="177"/>
      <c r="C42" s="178"/>
      <c r="D42" s="204"/>
      <c r="E42" s="133"/>
      <c r="F42" s="174"/>
      <c r="G42" s="174"/>
      <c r="H42" s="174"/>
      <c r="I42" s="174"/>
      <c r="J42" s="175"/>
      <c r="K42" s="180" t="s">
        <v>132</v>
      </c>
      <c r="L42" s="181">
        <v>4547.0000000000018</v>
      </c>
      <c r="M42" s="181">
        <v>165108.79664429362</v>
      </c>
      <c r="N42" s="181">
        <v>5001.7000000000007</v>
      </c>
      <c r="O42" s="181">
        <v>177226.82901883658</v>
      </c>
      <c r="P42" s="181">
        <v>5456.4</v>
      </c>
      <c r="Q42" s="181">
        <v>189344.86139337957</v>
      </c>
      <c r="R42" s="181">
        <v>4092.3</v>
      </c>
      <c r="S42" s="181">
        <v>152990.76426975068</v>
      </c>
      <c r="T42" s="181">
        <v>3637.6000000000004</v>
      </c>
      <c r="U42" s="181">
        <v>140872.73189520769</v>
      </c>
    </row>
    <row r="43" spans="1:21" x14ac:dyDescent="0.3">
      <c r="A43" s="176"/>
      <c r="B43" s="177"/>
      <c r="C43" s="178"/>
      <c r="D43" s="204"/>
      <c r="E43" s="133"/>
      <c r="F43" s="174"/>
      <c r="G43" s="174"/>
      <c r="H43" s="174"/>
      <c r="I43" s="174"/>
      <c r="J43" s="175"/>
      <c r="K43" s="180" t="s">
        <v>133</v>
      </c>
      <c r="L43" s="181">
        <v>3863.0000000000018</v>
      </c>
      <c r="M43" s="181">
        <v>75165.635704502274</v>
      </c>
      <c r="N43" s="181">
        <v>4249.3000000000011</v>
      </c>
      <c r="O43" s="181">
        <v>84874.208464988158</v>
      </c>
      <c r="P43" s="181">
        <v>4635.6000000000004</v>
      </c>
      <c r="Q43" s="181">
        <v>94582.781225474013</v>
      </c>
      <c r="R43" s="181">
        <v>3476.7</v>
      </c>
      <c r="S43" s="181">
        <v>65457.062944016412</v>
      </c>
      <c r="T43" s="181">
        <v>3090.3999999999996</v>
      </c>
      <c r="U43" s="181">
        <v>55748.49018353055</v>
      </c>
    </row>
    <row r="44" spans="1:21" x14ac:dyDescent="0.3">
      <c r="A44" s="176"/>
      <c r="B44" s="186"/>
      <c r="C44" s="187"/>
      <c r="D44" s="205"/>
      <c r="E44" s="189"/>
      <c r="F44" s="174"/>
      <c r="G44" s="174"/>
      <c r="H44" s="174"/>
      <c r="I44" s="174"/>
      <c r="J44" s="175"/>
      <c r="K44" s="180" t="s">
        <v>134</v>
      </c>
      <c r="L44" s="181">
        <v>4547.0000000000018</v>
      </c>
      <c r="M44" s="181">
        <v>7595385.077043944</v>
      </c>
      <c r="N44" s="181">
        <v>5001.7000000000007</v>
      </c>
      <c r="O44" s="181">
        <v>8193298.0381026668</v>
      </c>
      <c r="P44" s="181">
        <v>5456.4</v>
      </c>
      <c r="Q44" s="181">
        <v>8791210.9991613831</v>
      </c>
      <c r="R44" s="181">
        <v>4092.3</v>
      </c>
      <c r="S44" s="181">
        <v>6997472.1159852268</v>
      </c>
      <c r="T44" s="181">
        <v>3637.6000000000004</v>
      </c>
      <c r="U44" s="181">
        <v>6399559.1549265077</v>
      </c>
    </row>
    <row r="45" spans="1:21" x14ac:dyDescent="0.3">
      <c r="A45" s="190"/>
      <c r="B45" s="191"/>
      <c r="C45" s="191"/>
      <c r="D45" s="191" t="s">
        <v>135</v>
      </c>
      <c r="E45" s="192">
        <v>0</v>
      </c>
      <c r="F45" s="193"/>
      <c r="G45" s="193"/>
      <c r="H45" s="193"/>
      <c r="I45" s="193"/>
      <c r="J45" s="194"/>
      <c r="K45" s="180" t="s">
        <v>136</v>
      </c>
      <c r="L45" s="181">
        <v>3863.0000000000018</v>
      </c>
      <c r="M45" s="181">
        <v>5690321.8903404931</v>
      </c>
      <c r="N45" s="181">
        <v>4249.3000000000011</v>
      </c>
      <c r="O45" s="181">
        <v>6190066.704091575</v>
      </c>
      <c r="P45" s="181">
        <v>4635.6000000000004</v>
      </c>
      <c r="Q45" s="181">
        <v>6689811.5178426513</v>
      </c>
      <c r="R45" s="181">
        <v>3476.7</v>
      </c>
      <c r="S45" s="181">
        <v>5190577.0765894158</v>
      </c>
      <c r="T45" s="181">
        <v>3090.3999999999996</v>
      </c>
      <c r="U45" s="181">
        <v>4690832.2628383376</v>
      </c>
    </row>
  </sheetData>
  <mergeCells count="27">
    <mergeCell ref="A1:J1"/>
    <mergeCell ref="K1:U1"/>
    <mergeCell ref="A2:J2"/>
    <mergeCell ref="K2:U2"/>
    <mergeCell ref="D3:F3"/>
    <mergeCell ref="N3:Q3"/>
    <mergeCell ref="F4:J4"/>
    <mergeCell ref="B5:C5"/>
    <mergeCell ref="L5:M5"/>
    <mergeCell ref="P5:U7"/>
    <mergeCell ref="B6:C6"/>
    <mergeCell ref="L6:M6"/>
    <mergeCell ref="B7:C7"/>
    <mergeCell ref="L7:M7"/>
    <mergeCell ref="K27:U27"/>
    <mergeCell ref="A33:J33"/>
    <mergeCell ref="B8:C8"/>
    <mergeCell ref="B9:C9"/>
    <mergeCell ref="K9:U9"/>
    <mergeCell ref="B10:C10"/>
    <mergeCell ref="A11:C16"/>
    <mergeCell ref="F14:J16"/>
    <mergeCell ref="B34:D34"/>
    <mergeCell ref="F34:J34"/>
    <mergeCell ref="A18:J18"/>
    <mergeCell ref="B19:D19"/>
    <mergeCell ref="F19:J19"/>
  </mergeCells>
  <phoneticPr fontId="13" type="noConversion"/>
  <conditionalFormatting sqref="J9">
    <cfRule type="cellIs" dxfId="7" priority="4" stopIfTrue="1" operator="greaterThanOrEqual">
      <formula>#REF!</formula>
    </cfRule>
  </conditionalFormatting>
  <conditionalFormatting sqref="J10">
    <cfRule type="cellIs" dxfId="6" priority="3" stopIfTrue="1" operator="greaterThanOrEqual">
      <formula>#REF!</formula>
    </cfRule>
  </conditionalFormatting>
  <conditionalFormatting sqref="H9">
    <cfRule type="cellIs" dxfId="5" priority="2" stopIfTrue="1" operator="greaterThanOrEqual">
      <formula>#REF!</formula>
    </cfRule>
  </conditionalFormatting>
  <conditionalFormatting sqref="F4:J4">
    <cfRule type="containsText" dxfId="4" priority="1" stopIfTrue="1" operator="containsText" text="PEAK DAY">
      <formula>NOT(ISERROR(SEARCH("PEAK DAY",F4)))</formula>
    </cfRule>
  </conditionalFormatting>
  <pageMargins left="0.7" right="0.7" top="0.75" bottom="0.75" header="0.3" footer="0.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zoomScale="75" zoomScaleNormal="75" workbookViewId="0">
      <selection sqref="A1:IV65536"/>
    </sheetView>
  </sheetViews>
  <sheetFormatPr defaultColWidth="9.109375" defaultRowHeight="14.4" x14ac:dyDescent="0.3"/>
  <cols>
    <col min="1" max="1" width="26.6640625" style="206" customWidth="1"/>
    <col min="2" max="3" width="18.6640625" style="206" customWidth="1"/>
    <col min="4" max="4" width="27.6640625" style="206" customWidth="1"/>
    <col min="5" max="5" width="15.6640625" style="206" customWidth="1"/>
    <col min="6" max="7" width="12.6640625" style="206" customWidth="1"/>
    <col min="8" max="8" width="17.6640625" style="206" customWidth="1"/>
    <col min="9" max="10" width="15.6640625" style="206" customWidth="1"/>
    <col min="11" max="13" width="18.6640625" style="107" customWidth="1"/>
    <col min="14" max="21" width="15.88671875" style="107" customWidth="1"/>
    <col min="22" max="16384" width="9.109375" style="107"/>
  </cols>
  <sheetData>
    <row r="1" spans="1:21" ht="17.399999999999999" x14ac:dyDescent="0.3">
      <c r="A1" s="561" t="s">
        <v>18</v>
      </c>
      <c r="B1" s="562"/>
      <c r="C1" s="562"/>
      <c r="D1" s="562"/>
      <c r="E1" s="562"/>
      <c r="F1" s="562"/>
      <c r="G1" s="562"/>
      <c r="H1" s="562"/>
      <c r="I1" s="562"/>
      <c r="J1" s="563"/>
      <c r="K1" s="561" t="s">
        <v>18</v>
      </c>
      <c r="L1" s="562"/>
      <c r="M1" s="562"/>
      <c r="N1" s="562"/>
      <c r="O1" s="562"/>
      <c r="P1" s="562"/>
      <c r="Q1" s="562"/>
      <c r="R1" s="562"/>
      <c r="S1" s="562"/>
      <c r="T1" s="562"/>
      <c r="U1" s="563"/>
    </row>
    <row r="2" spans="1:21" ht="17.399999999999999" x14ac:dyDescent="0.3">
      <c r="A2" s="564" t="s">
        <v>167</v>
      </c>
      <c r="B2" s="565"/>
      <c r="C2" s="565"/>
      <c r="D2" s="565"/>
      <c r="E2" s="565"/>
      <c r="F2" s="565"/>
      <c r="G2" s="565"/>
      <c r="H2" s="565"/>
      <c r="I2" s="565"/>
      <c r="J2" s="566"/>
      <c r="K2" s="564" t="s">
        <v>168</v>
      </c>
      <c r="L2" s="565"/>
      <c r="M2" s="565"/>
      <c r="N2" s="565"/>
      <c r="O2" s="565"/>
      <c r="P2" s="565"/>
      <c r="Q2" s="565"/>
      <c r="R2" s="565"/>
      <c r="S2" s="565"/>
      <c r="T2" s="565"/>
      <c r="U2" s="566"/>
    </row>
    <row r="3" spans="1:21" x14ac:dyDescent="0.3">
      <c r="A3" s="108"/>
      <c r="B3" s="109"/>
      <c r="C3"/>
      <c r="D3" s="567" t="s">
        <v>191</v>
      </c>
      <c r="E3" s="567"/>
      <c r="F3" s="567"/>
      <c r="G3"/>
      <c r="H3" s="109"/>
      <c r="I3" s="109"/>
      <c r="J3" s="110"/>
      <c r="K3" s="108"/>
      <c r="L3" s="109"/>
      <c r="M3"/>
      <c r="N3" s="567" t="s">
        <v>191</v>
      </c>
      <c r="O3" s="567"/>
      <c r="P3" s="567"/>
      <c r="Q3" s="567"/>
      <c r="R3"/>
      <c r="S3"/>
      <c r="T3" s="109"/>
      <c r="U3" s="110"/>
    </row>
    <row r="4" spans="1:21" x14ac:dyDescent="0.3">
      <c r="A4" s="111"/>
      <c r="B4" s="112"/>
      <c r="C4" s="112"/>
      <c r="D4" s="112"/>
      <c r="E4" s="112"/>
      <c r="F4" s="541" t="s">
        <v>154</v>
      </c>
      <c r="G4" s="541"/>
      <c r="H4" s="541"/>
      <c r="I4" s="541"/>
      <c r="J4" s="542"/>
      <c r="K4" s="113"/>
      <c r="L4" s="114"/>
      <c r="M4" s="114"/>
      <c r="N4" s="114"/>
      <c r="O4" s="114"/>
      <c r="P4" s="114"/>
      <c r="Q4" s="114"/>
      <c r="R4" s="114"/>
      <c r="S4" s="114"/>
      <c r="T4" s="114"/>
      <c r="U4" s="115"/>
    </row>
    <row r="5" spans="1:21" ht="15" customHeight="1" x14ac:dyDescent="0.3">
      <c r="A5" s="116" t="s">
        <v>67</v>
      </c>
      <c r="B5" s="543" t="s">
        <v>65</v>
      </c>
      <c r="C5" s="544"/>
      <c r="D5" s="117" t="s">
        <v>68</v>
      </c>
      <c r="E5" s="118"/>
      <c r="F5" s="117" t="s">
        <v>69</v>
      </c>
      <c r="G5" s="119"/>
      <c r="H5" s="120" t="s">
        <v>70</v>
      </c>
      <c r="I5" s="121" t="s">
        <v>84</v>
      </c>
      <c r="J5" s="121"/>
      <c r="K5" s="116" t="s">
        <v>67</v>
      </c>
      <c r="L5" s="545" t="s">
        <v>65</v>
      </c>
      <c r="M5" s="546"/>
      <c r="N5" s="117" t="s">
        <v>71</v>
      </c>
      <c r="O5" s="119"/>
      <c r="P5" s="547" t="s">
        <v>192</v>
      </c>
      <c r="Q5" s="548"/>
      <c r="R5" s="548"/>
      <c r="S5" s="548"/>
      <c r="T5" s="548"/>
      <c r="U5" s="549"/>
    </row>
    <row r="6" spans="1:21" x14ac:dyDescent="0.3">
      <c r="A6" s="122" t="s">
        <v>72</v>
      </c>
      <c r="B6" s="556" t="s">
        <v>145</v>
      </c>
      <c r="C6" s="557"/>
      <c r="D6" s="123" t="s">
        <v>74</v>
      </c>
      <c r="E6" s="124">
        <v>0.97649924410908595</v>
      </c>
      <c r="F6" s="125" t="s">
        <v>75</v>
      </c>
      <c r="G6" s="126"/>
      <c r="H6" s="127">
        <v>73.5</v>
      </c>
      <c r="I6" s="128">
        <v>34353</v>
      </c>
      <c r="J6" s="129"/>
      <c r="K6" s="122" t="s">
        <v>72</v>
      </c>
      <c r="L6" s="558" t="s">
        <v>145</v>
      </c>
      <c r="M6" s="530"/>
      <c r="N6" s="130">
        <v>20301</v>
      </c>
      <c r="O6" s="131"/>
      <c r="P6" s="550"/>
      <c r="Q6" s="551"/>
      <c r="R6" s="551"/>
      <c r="S6" s="551"/>
      <c r="T6" s="551"/>
      <c r="U6" s="552"/>
    </row>
    <row r="7" spans="1:21" x14ac:dyDescent="0.3">
      <c r="A7" s="122" t="s">
        <v>77</v>
      </c>
      <c r="B7" s="529" t="s">
        <v>146</v>
      </c>
      <c r="C7" s="530"/>
      <c r="D7" s="132" t="s">
        <v>79</v>
      </c>
      <c r="E7" s="133">
        <v>449.72500089039801</v>
      </c>
      <c r="F7" s="125" t="s">
        <v>80</v>
      </c>
      <c r="G7" s="126"/>
      <c r="H7" s="134">
        <v>71.5</v>
      </c>
      <c r="I7" s="135">
        <v>34352</v>
      </c>
      <c r="J7" s="136"/>
      <c r="K7" s="137" t="s">
        <v>77</v>
      </c>
      <c r="L7" s="559" t="s">
        <v>146</v>
      </c>
      <c r="M7" s="560"/>
      <c r="N7" s="117"/>
      <c r="O7" s="119"/>
      <c r="P7" s="553"/>
      <c r="Q7" s="554"/>
      <c r="R7" s="554"/>
      <c r="S7" s="554"/>
      <c r="T7" s="554"/>
      <c r="U7" s="555"/>
    </row>
    <row r="8" spans="1:21" ht="15.6" x14ac:dyDescent="0.3">
      <c r="A8" s="122" t="s">
        <v>81</v>
      </c>
      <c r="B8" s="527" t="s">
        <v>64</v>
      </c>
      <c r="C8" s="528"/>
      <c r="D8" s="132" t="s">
        <v>82</v>
      </c>
      <c r="E8" s="133">
        <v>881.46100174518006</v>
      </c>
      <c r="F8" s="125"/>
      <c r="G8" s="126"/>
      <c r="H8" s="121" t="s">
        <v>83</v>
      </c>
      <c r="I8" s="138" t="s">
        <v>84</v>
      </c>
      <c r="J8" s="121" t="s">
        <v>85</v>
      </c>
      <c r="K8" s="139"/>
      <c r="L8" s="140"/>
      <c r="M8" s="140"/>
      <c r="N8" s="140"/>
      <c r="O8" s="140"/>
      <c r="P8" s="140"/>
      <c r="Q8" s="140"/>
      <c r="R8" s="140"/>
      <c r="S8" s="140"/>
      <c r="T8" s="140"/>
      <c r="U8" s="141"/>
    </row>
    <row r="9" spans="1:21" ht="15.6" x14ac:dyDescent="0.3">
      <c r="A9" s="122" t="s">
        <v>86</v>
      </c>
      <c r="B9" s="527" t="s">
        <v>76</v>
      </c>
      <c r="C9" s="528"/>
      <c r="D9" s="132" t="s">
        <v>87</v>
      </c>
      <c r="E9" s="142">
        <v>20301</v>
      </c>
      <c r="F9" s="125" t="s">
        <v>88</v>
      </c>
      <c r="G9" s="126"/>
      <c r="H9" s="134">
        <v>65.239999999999995</v>
      </c>
      <c r="I9" s="143">
        <v>41645</v>
      </c>
      <c r="J9" s="144">
        <v>17430</v>
      </c>
      <c r="K9" s="524" t="s">
        <v>89</v>
      </c>
      <c r="L9" s="525"/>
      <c r="M9" s="525"/>
      <c r="N9" s="525"/>
      <c r="O9" s="525"/>
      <c r="P9" s="525"/>
      <c r="Q9" s="525"/>
      <c r="R9" s="525"/>
      <c r="S9" s="525"/>
      <c r="T9" s="525"/>
      <c r="U9" s="526"/>
    </row>
    <row r="10" spans="1:21" x14ac:dyDescent="0.3">
      <c r="A10" s="122" t="s">
        <v>90</v>
      </c>
      <c r="B10" s="529" t="s">
        <v>91</v>
      </c>
      <c r="C10" s="530"/>
      <c r="D10" s="132" t="s">
        <v>92</v>
      </c>
      <c r="E10" s="133">
        <v>0</v>
      </c>
      <c r="F10" s="145" t="s">
        <v>93</v>
      </c>
      <c r="G10" s="146"/>
      <c r="H10" s="147">
        <v>65.239999999999995</v>
      </c>
      <c r="I10" s="148">
        <v>41645</v>
      </c>
      <c r="J10" s="149">
        <v>17430</v>
      </c>
      <c r="K10" s="150"/>
      <c r="L10" s="151" t="s">
        <v>94</v>
      </c>
      <c r="M10" s="152"/>
      <c r="N10" s="151" t="s">
        <v>95</v>
      </c>
      <c r="O10" s="152"/>
      <c r="P10" s="151" t="s">
        <v>96</v>
      </c>
      <c r="Q10" s="152"/>
      <c r="R10" s="151" t="s">
        <v>97</v>
      </c>
      <c r="S10" s="152"/>
      <c r="T10" s="151" t="s">
        <v>98</v>
      </c>
      <c r="U10" s="153"/>
    </row>
    <row r="11" spans="1:21" ht="15" customHeight="1" x14ac:dyDescent="0.3">
      <c r="A11" s="531" t="s">
        <v>193</v>
      </c>
      <c r="B11" s="532"/>
      <c r="C11" s="533"/>
      <c r="D11" s="154" t="s">
        <v>99</v>
      </c>
      <c r="E11" s="155">
        <v>20301</v>
      </c>
      <c r="F11" s="117" t="s">
        <v>100</v>
      </c>
      <c r="G11" s="119"/>
      <c r="H11" s="120" t="s">
        <v>101</v>
      </c>
      <c r="I11" s="121" t="s">
        <v>102</v>
      </c>
      <c r="J11" s="121" t="s">
        <v>103</v>
      </c>
      <c r="K11" s="156" t="s">
        <v>104</v>
      </c>
      <c r="L11" s="120" t="s">
        <v>105</v>
      </c>
      <c r="M11" s="120" t="s">
        <v>37</v>
      </c>
      <c r="N11" s="120" t="s">
        <v>105</v>
      </c>
      <c r="O11" s="120" t="s">
        <v>37</v>
      </c>
      <c r="P11" s="120" t="s">
        <v>105</v>
      </c>
      <c r="Q11" s="120" t="s">
        <v>37</v>
      </c>
      <c r="R11" s="120" t="s">
        <v>105</v>
      </c>
      <c r="S11" s="120" t="s">
        <v>37</v>
      </c>
      <c r="T11" s="120" t="s">
        <v>105</v>
      </c>
      <c r="U11" s="120" t="s">
        <v>37</v>
      </c>
    </row>
    <row r="12" spans="1:21" x14ac:dyDescent="0.3">
      <c r="A12" s="534"/>
      <c r="B12" s="535"/>
      <c r="C12" s="536"/>
      <c r="D12" s="118" t="s">
        <v>106</v>
      </c>
      <c r="E12" s="157"/>
      <c r="F12" s="116" t="s">
        <v>107</v>
      </c>
      <c r="G12" s="116"/>
      <c r="H12" s="101">
        <v>1130825.517396827</v>
      </c>
      <c r="I12" s="101">
        <v>0</v>
      </c>
      <c r="J12" s="101">
        <v>1130825.517396827</v>
      </c>
      <c r="K12" s="122" t="s">
        <v>40</v>
      </c>
      <c r="L12" s="158">
        <v>932.99999999999966</v>
      </c>
      <c r="M12" s="159">
        <v>244595.77822872828</v>
      </c>
      <c r="N12" s="158">
        <v>1026.2999999999993</v>
      </c>
      <c r="O12" s="159">
        <v>266544.8745744027</v>
      </c>
      <c r="P12" s="158">
        <v>1119.6000000000004</v>
      </c>
      <c r="Q12" s="159">
        <v>288493.97092007706</v>
      </c>
      <c r="R12" s="158">
        <v>839.70000000000016</v>
      </c>
      <c r="S12" s="159">
        <v>222646.68188305388</v>
      </c>
      <c r="T12" s="158">
        <v>746.40000000000032</v>
      </c>
      <c r="U12" s="159">
        <v>200697.58553737946</v>
      </c>
    </row>
    <row r="13" spans="1:21" x14ac:dyDescent="0.3">
      <c r="A13" s="534"/>
      <c r="B13" s="535"/>
      <c r="C13" s="536"/>
      <c r="D13" s="160" t="s">
        <v>108</v>
      </c>
      <c r="E13" s="159">
        <v>20350</v>
      </c>
      <c r="F13" s="126" t="s">
        <v>109</v>
      </c>
      <c r="G13" s="122"/>
      <c r="H13" s="161">
        <v>892632.87947926763</v>
      </c>
      <c r="I13" s="161">
        <v>0</v>
      </c>
      <c r="J13" s="161">
        <v>892632.87947926763</v>
      </c>
      <c r="K13" s="122" t="s">
        <v>41</v>
      </c>
      <c r="L13" s="142">
        <v>732.00000000000023</v>
      </c>
      <c r="M13" s="133">
        <v>187294.64024523599</v>
      </c>
      <c r="N13" s="142">
        <v>805.20000000000039</v>
      </c>
      <c r="O13" s="133">
        <v>204579.39392171317</v>
      </c>
      <c r="P13" s="142">
        <v>878.4000000000002</v>
      </c>
      <c r="Q13" s="133">
        <v>221864.14759819052</v>
      </c>
      <c r="R13" s="142">
        <v>658.80000000000018</v>
      </c>
      <c r="S13" s="133">
        <v>170009.88656875875</v>
      </c>
      <c r="T13" s="142">
        <v>585.59999999999991</v>
      </c>
      <c r="U13" s="133">
        <v>152725.13289228146</v>
      </c>
    </row>
    <row r="14" spans="1:21" ht="15" customHeight="1" x14ac:dyDescent="0.3">
      <c r="A14" s="534"/>
      <c r="B14" s="535"/>
      <c r="C14" s="536"/>
      <c r="D14" s="162" t="s">
        <v>110</v>
      </c>
      <c r="E14" s="133">
        <v>49</v>
      </c>
      <c r="F14" s="540" t="s">
        <v>194</v>
      </c>
      <c r="G14" s="532"/>
      <c r="H14" s="532"/>
      <c r="I14" s="532"/>
      <c r="J14" s="533"/>
      <c r="K14" s="122" t="s">
        <v>42</v>
      </c>
      <c r="L14" s="142">
        <v>538</v>
      </c>
      <c r="M14" s="133">
        <v>144196.03206219734</v>
      </c>
      <c r="N14" s="142">
        <v>591.79999999999984</v>
      </c>
      <c r="O14" s="133">
        <v>156946.4851136698</v>
      </c>
      <c r="P14" s="142">
        <v>645.59999999999991</v>
      </c>
      <c r="Q14" s="133">
        <v>169696.93816514229</v>
      </c>
      <c r="R14" s="142">
        <v>484.2</v>
      </c>
      <c r="S14" s="133">
        <v>131445.5790107249</v>
      </c>
      <c r="T14" s="142">
        <v>430.39999999999992</v>
      </c>
      <c r="U14" s="133">
        <v>118695.1259592524</v>
      </c>
    </row>
    <row r="15" spans="1:21" x14ac:dyDescent="0.3">
      <c r="A15" s="534"/>
      <c r="B15" s="535"/>
      <c r="C15" s="536"/>
      <c r="D15" s="162" t="s">
        <v>111</v>
      </c>
      <c r="E15" s="163">
        <v>2.4136742032412196E-3</v>
      </c>
      <c r="F15" s="534"/>
      <c r="G15" s="535"/>
      <c r="H15" s="535"/>
      <c r="I15" s="535"/>
      <c r="J15" s="536"/>
      <c r="K15" s="122" t="s">
        <v>112</v>
      </c>
      <c r="L15" s="142">
        <v>246</v>
      </c>
      <c r="M15" s="133">
        <v>67672.620289974933</v>
      </c>
      <c r="N15" s="142">
        <v>270.60000000000014</v>
      </c>
      <c r="O15" s="133">
        <v>73930.310184246206</v>
      </c>
      <c r="P15" s="142">
        <v>295.20000000000005</v>
      </c>
      <c r="Q15" s="133">
        <v>80188.000078517478</v>
      </c>
      <c r="R15" s="142">
        <v>221.40000000000006</v>
      </c>
      <c r="S15" s="133">
        <v>61414.930395703654</v>
      </c>
      <c r="T15" s="142">
        <v>196.79999999999998</v>
      </c>
      <c r="U15" s="133">
        <v>55157.240501432374</v>
      </c>
    </row>
    <row r="16" spans="1:21" x14ac:dyDescent="0.3">
      <c r="A16" s="537"/>
      <c r="B16" s="538"/>
      <c r="C16" s="539"/>
      <c r="D16" s="164"/>
      <c r="E16" s="165"/>
      <c r="F16" s="537"/>
      <c r="G16" s="538"/>
      <c r="H16" s="538"/>
      <c r="I16" s="538"/>
      <c r="J16" s="539"/>
      <c r="K16" s="122" t="s">
        <v>113</v>
      </c>
      <c r="L16" s="142">
        <v>66.999999999999972</v>
      </c>
      <c r="M16" s="133">
        <v>34781.255613280104</v>
      </c>
      <c r="N16" s="142">
        <v>73.699999999999918</v>
      </c>
      <c r="O16" s="133">
        <v>36507.718869905606</v>
      </c>
      <c r="P16" s="142">
        <v>80.400000000000048</v>
      </c>
      <c r="Q16" s="133">
        <v>38234.182126531094</v>
      </c>
      <c r="R16" s="142">
        <v>60.30000000000004</v>
      </c>
      <c r="S16" s="133">
        <v>33054.792356654601</v>
      </c>
      <c r="T16" s="142">
        <v>53.600000000000009</v>
      </c>
      <c r="U16" s="133">
        <v>31328.329100029117</v>
      </c>
    </row>
    <row r="17" spans="1:21" x14ac:dyDescent="0.3">
      <c r="A17" s="166"/>
      <c r="B17" s="6"/>
      <c r="C17" s="6"/>
      <c r="D17" s="6"/>
      <c r="E17" s="167"/>
      <c r="F17" s="168"/>
      <c r="G17" s="6"/>
      <c r="H17" s="6"/>
      <c r="I17" s="6"/>
      <c r="J17" s="169"/>
      <c r="K17" s="122" t="s">
        <v>114</v>
      </c>
      <c r="L17" s="142">
        <v>4.9999999999999956</v>
      </c>
      <c r="M17" s="133">
        <v>21836.034417460662</v>
      </c>
      <c r="N17" s="142">
        <v>5.4999999999999929</v>
      </c>
      <c r="O17" s="133">
        <v>21972.80500478642</v>
      </c>
      <c r="P17" s="142">
        <v>6.0000000000000018</v>
      </c>
      <c r="Q17" s="133">
        <v>22109.575592112189</v>
      </c>
      <c r="R17" s="142">
        <v>4.4999999999999982</v>
      </c>
      <c r="S17" s="133">
        <v>21699.263830134889</v>
      </c>
      <c r="T17" s="142">
        <v>3.9999999999999996</v>
      </c>
      <c r="U17" s="133">
        <v>21562.493242809131</v>
      </c>
    </row>
    <row r="18" spans="1:21" ht="15.6" x14ac:dyDescent="0.3">
      <c r="A18" s="521" t="s">
        <v>115</v>
      </c>
      <c r="B18" s="522"/>
      <c r="C18" s="522"/>
      <c r="D18" s="522"/>
      <c r="E18" s="522"/>
      <c r="F18" s="522"/>
      <c r="G18" s="522"/>
      <c r="H18" s="522"/>
      <c r="I18" s="522"/>
      <c r="J18" s="523"/>
      <c r="K18" s="122" t="s">
        <v>116</v>
      </c>
      <c r="L18" s="142">
        <v>0</v>
      </c>
      <c r="M18" s="133">
        <v>20304.275425604865</v>
      </c>
      <c r="N18" s="142">
        <v>0</v>
      </c>
      <c r="O18" s="133">
        <v>20305.992435114651</v>
      </c>
      <c r="P18" s="142">
        <v>0</v>
      </c>
      <c r="Q18" s="133">
        <v>20307.709444624441</v>
      </c>
      <c r="R18" s="142">
        <v>0</v>
      </c>
      <c r="S18" s="133">
        <v>20302.558416095086</v>
      </c>
      <c r="T18" s="142">
        <v>0</v>
      </c>
      <c r="U18" s="133">
        <v>20300.841406585307</v>
      </c>
    </row>
    <row r="19" spans="1:21" x14ac:dyDescent="0.3">
      <c r="A19" s="121" t="s">
        <v>117</v>
      </c>
      <c r="B19" s="515" t="s">
        <v>118</v>
      </c>
      <c r="C19" s="516"/>
      <c r="D19" s="517"/>
      <c r="E19" s="121" t="s">
        <v>119</v>
      </c>
      <c r="F19" s="515" t="s">
        <v>120</v>
      </c>
      <c r="G19" s="518"/>
      <c r="H19" s="519"/>
      <c r="I19" s="519"/>
      <c r="J19" s="520"/>
      <c r="K19" s="122" t="s">
        <v>121</v>
      </c>
      <c r="L19" s="142">
        <v>0</v>
      </c>
      <c r="M19" s="133">
        <v>20758.74746328027</v>
      </c>
      <c r="N19" s="142">
        <v>0</v>
      </c>
      <c r="O19" s="133">
        <v>20758.747463280979</v>
      </c>
      <c r="P19" s="142">
        <v>0</v>
      </c>
      <c r="Q19" s="133">
        <v>20758.747463281692</v>
      </c>
      <c r="R19" s="142">
        <v>0</v>
      </c>
      <c r="S19" s="133">
        <v>20758.74746327956</v>
      </c>
      <c r="T19" s="142">
        <v>0</v>
      </c>
      <c r="U19" s="133">
        <v>20758.747463278851</v>
      </c>
    </row>
    <row r="20" spans="1:21" x14ac:dyDescent="0.3">
      <c r="A20" s="170" t="s">
        <v>125</v>
      </c>
      <c r="B20" s="171" t="s">
        <v>164</v>
      </c>
      <c r="C20" s="172"/>
      <c r="D20" s="173"/>
      <c r="E20" s="133">
        <v>3500</v>
      </c>
      <c r="F20" s="174" t="s">
        <v>158</v>
      </c>
      <c r="G20" s="174"/>
      <c r="H20" s="174"/>
      <c r="I20" s="174"/>
      <c r="J20" s="175"/>
      <c r="K20" s="122" t="s">
        <v>124</v>
      </c>
      <c r="L20" s="142">
        <v>29.999999999999993</v>
      </c>
      <c r="M20" s="133">
        <v>26109.892608440958</v>
      </c>
      <c r="N20" s="142">
        <v>33</v>
      </c>
      <c r="O20" s="133">
        <v>26822.758543857766</v>
      </c>
      <c r="P20" s="142">
        <v>36.000000000000007</v>
      </c>
      <c r="Q20" s="133">
        <v>27535.624479274578</v>
      </c>
      <c r="R20" s="142">
        <v>27.000000000000007</v>
      </c>
      <c r="S20" s="133">
        <v>25397.026673024156</v>
      </c>
      <c r="T20" s="142">
        <v>24.000000000000004</v>
      </c>
      <c r="U20" s="133">
        <v>24684.160737607352</v>
      </c>
    </row>
    <row r="21" spans="1:21" x14ac:dyDescent="0.3">
      <c r="A21" s="176" t="s">
        <v>125</v>
      </c>
      <c r="B21" s="177" t="s">
        <v>165</v>
      </c>
      <c r="C21" s="178"/>
      <c r="D21" s="179"/>
      <c r="E21" s="133">
        <v>13500</v>
      </c>
      <c r="F21" s="174" t="s">
        <v>161</v>
      </c>
      <c r="G21" s="174"/>
      <c r="H21" s="174"/>
      <c r="I21" s="174"/>
      <c r="J21" s="175"/>
      <c r="K21" s="122" t="s">
        <v>126</v>
      </c>
      <c r="L21" s="142">
        <v>212</v>
      </c>
      <c r="M21" s="133">
        <v>46729.812099517389</v>
      </c>
      <c r="N21" s="142">
        <v>233.20000000000005</v>
      </c>
      <c r="O21" s="133">
        <v>51940.287457084531</v>
      </c>
      <c r="P21" s="142">
        <v>254.40000000000003</v>
      </c>
      <c r="Q21" s="133">
        <v>57150.762814651658</v>
      </c>
      <c r="R21" s="142">
        <v>190.79999999999998</v>
      </c>
      <c r="S21" s="133">
        <v>41519.336741950247</v>
      </c>
      <c r="T21" s="142">
        <v>169.6</v>
      </c>
      <c r="U21" s="133">
        <v>36308.861384383112</v>
      </c>
    </row>
    <row r="22" spans="1:21" x14ac:dyDescent="0.3">
      <c r="A22" s="176" t="s">
        <v>125</v>
      </c>
      <c r="B22" s="177" t="s">
        <v>166</v>
      </c>
      <c r="C22" s="178"/>
      <c r="D22" s="179"/>
      <c r="E22" s="133">
        <v>1500</v>
      </c>
      <c r="F22" s="174" t="s">
        <v>158</v>
      </c>
      <c r="G22" s="174"/>
      <c r="H22" s="174"/>
      <c r="I22" s="174"/>
      <c r="J22" s="175"/>
      <c r="K22" s="122" t="s">
        <v>38</v>
      </c>
      <c r="L22" s="142">
        <v>493.00000000000023</v>
      </c>
      <c r="M22" s="133">
        <v>113399.37548126426</v>
      </c>
      <c r="N22" s="142">
        <v>542.29999999999995</v>
      </c>
      <c r="O22" s="133">
        <v>124889.97882520917</v>
      </c>
      <c r="P22" s="142">
        <v>591.60000000000014</v>
      </c>
      <c r="Q22" s="133">
        <v>136380.58216915399</v>
      </c>
      <c r="R22" s="142">
        <v>443.70000000000016</v>
      </c>
      <c r="S22" s="133">
        <v>101908.77213731942</v>
      </c>
      <c r="T22" s="142">
        <v>394.39999999999986</v>
      </c>
      <c r="U22" s="133">
        <v>90418.1687933746</v>
      </c>
    </row>
    <row r="23" spans="1:21" x14ac:dyDescent="0.3">
      <c r="A23" s="176" t="s">
        <v>125</v>
      </c>
      <c r="B23" s="177" t="s">
        <v>162</v>
      </c>
      <c r="C23" s="178"/>
      <c r="D23" s="179"/>
      <c r="E23" s="133">
        <v>1850</v>
      </c>
      <c r="F23" s="174" t="s">
        <v>195</v>
      </c>
      <c r="G23" s="174"/>
      <c r="H23" s="174"/>
      <c r="I23" s="174"/>
      <c r="J23" s="175"/>
      <c r="K23" s="122" t="s">
        <v>39</v>
      </c>
      <c r="L23" s="142">
        <v>840.99999999999943</v>
      </c>
      <c r="M23" s="133">
        <v>203147.05346184174</v>
      </c>
      <c r="N23" s="142">
        <v>925.10000000000025</v>
      </c>
      <c r="O23" s="133">
        <v>222843.72798827221</v>
      </c>
      <c r="P23" s="142">
        <v>1009.1999999999994</v>
      </c>
      <c r="Q23" s="133">
        <v>242540.40251470261</v>
      </c>
      <c r="R23" s="142">
        <v>756.90000000000009</v>
      </c>
      <c r="S23" s="133">
        <v>183450.37893541125</v>
      </c>
      <c r="T23" s="142">
        <v>672.8</v>
      </c>
      <c r="U23" s="133">
        <v>163753.70440898088</v>
      </c>
    </row>
    <row r="24" spans="1:21" x14ac:dyDescent="0.3">
      <c r="A24" s="176"/>
      <c r="B24" s="177"/>
      <c r="C24" s="178"/>
      <c r="D24" s="179"/>
      <c r="E24" s="133"/>
      <c r="F24" s="174"/>
      <c r="G24" s="174"/>
      <c r="H24" s="174"/>
      <c r="I24" s="174"/>
      <c r="J24" s="175"/>
      <c r="K24" s="180" t="s">
        <v>127</v>
      </c>
      <c r="L24" s="181">
        <v>4096.9999999999991</v>
      </c>
      <c r="M24" s="181">
        <v>1130825.517396827</v>
      </c>
      <c r="N24" s="181">
        <v>4506.7</v>
      </c>
      <c r="O24" s="181">
        <v>1228043.0803815434</v>
      </c>
      <c r="P24" s="181">
        <v>4916.3999999999996</v>
      </c>
      <c r="Q24" s="181">
        <v>1325260.6433662598</v>
      </c>
      <c r="R24" s="181">
        <v>3687.3000000000011</v>
      </c>
      <c r="S24" s="181">
        <v>1033607.9544121104</v>
      </c>
      <c r="T24" s="181">
        <v>3277.6000000000004</v>
      </c>
      <c r="U24" s="181">
        <v>936390.39142739389</v>
      </c>
    </row>
    <row r="25" spans="1:21" x14ac:dyDescent="0.3">
      <c r="A25" s="176"/>
      <c r="B25" s="177"/>
      <c r="C25" s="178"/>
      <c r="D25" s="179"/>
      <c r="E25" s="133"/>
      <c r="F25" s="174"/>
      <c r="G25" s="174"/>
      <c r="H25" s="174"/>
      <c r="I25" s="174"/>
      <c r="J25" s="175"/>
      <c r="K25" s="180" t="s">
        <v>128</v>
      </c>
      <c r="L25" s="181">
        <v>3536.9999999999995</v>
      </c>
      <c r="M25" s="181">
        <v>892632.87947926763</v>
      </c>
      <c r="N25" s="181">
        <v>3890.7</v>
      </c>
      <c r="O25" s="181">
        <v>975804.4604232671</v>
      </c>
      <c r="P25" s="181">
        <v>4244.3999999999996</v>
      </c>
      <c r="Q25" s="181">
        <v>1058976.0413672663</v>
      </c>
      <c r="R25" s="181">
        <v>3183.3000000000006</v>
      </c>
      <c r="S25" s="181">
        <v>809461.29853526817</v>
      </c>
      <c r="T25" s="181">
        <v>2829.6000000000004</v>
      </c>
      <c r="U25" s="181">
        <v>726289.71759126883</v>
      </c>
    </row>
    <row r="26" spans="1:21" x14ac:dyDescent="0.3">
      <c r="A26" s="176"/>
      <c r="B26" s="177"/>
      <c r="C26" s="178"/>
      <c r="D26" s="179"/>
      <c r="E26" s="133"/>
      <c r="F26" s="174"/>
      <c r="G26" s="174"/>
      <c r="H26" s="174"/>
      <c r="I26" s="174"/>
      <c r="J26" s="175"/>
      <c r="K26" s="182"/>
      <c r="L26" s="183"/>
      <c r="M26" s="183"/>
      <c r="N26" s="183"/>
      <c r="O26" s="183"/>
      <c r="P26" s="183"/>
      <c r="Q26" s="183"/>
      <c r="R26" s="183"/>
      <c r="S26" s="183"/>
      <c r="T26" s="183"/>
      <c r="U26" s="184"/>
    </row>
    <row r="27" spans="1:21" ht="15.6" x14ac:dyDescent="0.3">
      <c r="A27" s="176"/>
      <c r="B27" s="177"/>
      <c r="C27" s="178"/>
      <c r="D27" s="179"/>
      <c r="E27" s="133"/>
      <c r="F27" s="174"/>
      <c r="G27" s="174"/>
      <c r="H27" s="174"/>
      <c r="I27" s="174"/>
      <c r="J27" s="175"/>
      <c r="K27" s="524" t="s">
        <v>129</v>
      </c>
      <c r="L27" s="525"/>
      <c r="M27" s="525"/>
      <c r="N27" s="525"/>
      <c r="O27" s="525"/>
      <c r="P27" s="525"/>
      <c r="Q27" s="525"/>
      <c r="R27" s="525"/>
      <c r="S27" s="525"/>
      <c r="T27" s="525"/>
      <c r="U27" s="526"/>
    </row>
    <row r="28" spans="1:21" x14ac:dyDescent="0.3">
      <c r="A28" s="176"/>
      <c r="B28" s="177"/>
      <c r="C28" s="178"/>
      <c r="D28" s="179"/>
      <c r="E28" s="133"/>
      <c r="F28" s="174"/>
      <c r="G28" s="174"/>
      <c r="H28" s="174"/>
      <c r="I28" s="174"/>
      <c r="J28" s="175"/>
      <c r="K28" s="150"/>
      <c r="L28" s="151" t="s">
        <v>94</v>
      </c>
      <c r="M28" s="152"/>
      <c r="N28" s="151" t="s">
        <v>95</v>
      </c>
      <c r="O28" s="152"/>
      <c r="P28" s="151" t="s">
        <v>96</v>
      </c>
      <c r="Q28" s="152"/>
      <c r="R28" s="151" t="s">
        <v>97</v>
      </c>
      <c r="S28" s="152"/>
      <c r="T28" s="151" t="s">
        <v>98</v>
      </c>
      <c r="U28" s="153"/>
    </row>
    <row r="29" spans="1:21" x14ac:dyDescent="0.3">
      <c r="A29" s="176"/>
      <c r="B29" s="177"/>
      <c r="C29" s="178"/>
      <c r="D29" s="179"/>
      <c r="E29" s="133"/>
      <c r="F29" s="174"/>
      <c r="G29" s="174"/>
      <c r="H29" s="174"/>
      <c r="I29" s="174"/>
      <c r="J29" s="175"/>
      <c r="K29" s="156" t="s">
        <v>104</v>
      </c>
      <c r="L29" s="120" t="s">
        <v>105</v>
      </c>
      <c r="M29" s="120" t="s">
        <v>37</v>
      </c>
      <c r="N29" s="120" t="s">
        <v>105</v>
      </c>
      <c r="O29" s="120" t="s">
        <v>37</v>
      </c>
      <c r="P29" s="120" t="s">
        <v>105</v>
      </c>
      <c r="Q29" s="120" t="s">
        <v>37</v>
      </c>
      <c r="R29" s="120" t="s">
        <v>105</v>
      </c>
      <c r="S29" s="120" t="s">
        <v>37</v>
      </c>
      <c r="T29" s="120" t="s">
        <v>105</v>
      </c>
      <c r="U29" s="120" t="s">
        <v>37</v>
      </c>
    </row>
    <row r="30" spans="1:21" x14ac:dyDescent="0.3">
      <c r="A30" s="185"/>
      <c r="B30" s="186"/>
      <c r="C30" s="187"/>
      <c r="D30" s="188"/>
      <c r="E30" s="189"/>
      <c r="F30" s="174"/>
      <c r="G30" s="174"/>
      <c r="H30" s="174"/>
      <c r="I30" s="174"/>
      <c r="J30" s="175"/>
      <c r="K30" s="122" t="s">
        <v>40</v>
      </c>
      <c r="L30" s="158">
        <v>932.99999999999966</v>
      </c>
      <c r="M30" s="159">
        <v>0</v>
      </c>
      <c r="N30" s="158">
        <v>1026.2999999999993</v>
      </c>
      <c r="O30" s="159">
        <v>0</v>
      </c>
      <c r="P30" s="158">
        <v>1119.6000000000004</v>
      </c>
      <c r="Q30" s="159">
        <v>0</v>
      </c>
      <c r="R30" s="158">
        <v>839.70000000000016</v>
      </c>
      <c r="S30" s="159">
        <v>0</v>
      </c>
      <c r="T30" s="158">
        <v>746.40000000000032</v>
      </c>
      <c r="U30" s="159">
        <v>0</v>
      </c>
    </row>
    <row r="31" spans="1:21" x14ac:dyDescent="0.3">
      <c r="A31" s="190"/>
      <c r="B31" s="191"/>
      <c r="C31" s="191"/>
      <c r="D31" s="191" t="s">
        <v>130</v>
      </c>
      <c r="E31" s="192">
        <v>20350</v>
      </c>
      <c r="F31" s="193"/>
      <c r="G31" s="193"/>
      <c r="H31" s="193"/>
      <c r="I31" s="193"/>
      <c r="J31" s="194"/>
      <c r="K31" s="122" t="s">
        <v>41</v>
      </c>
      <c r="L31" s="142">
        <v>732.00000000000023</v>
      </c>
      <c r="M31" s="133">
        <v>0</v>
      </c>
      <c r="N31" s="142">
        <v>805.20000000000039</v>
      </c>
      <c r="O31" s="133">
        <v>0</v>
      </c>
      <c r="P31" s="142">
        <v>878.4000000000002</v>
      </c>
      <c r="Q31" s="133">
        <v>0</v>
      </c>
      <c r="R31" s="142">
        <v>658.80000000000018</v>
      </c>
      <c r="S31" s="133">
        <v>0</v>
      </c>
      <c r="T31" s="142">
        <v>585.59999999999991</v>
      </c>
      <c r="U31" s="133">
        <v>0</v>
      </c>
    </row>
    <row r="32" spans="1:21" x14ac:dyDescent="0.3">
      <c r="A32" s="195"/>
      <c r="B32" s="196"/>
      <c r="C32" s="196"/>
      <c r="D32" s="197"/>
      <c r="E32" s="198"/>
      <c r="F32" s="199"/>
      <c r="G32" s="199"/>
      <c r="H32" s="199"/>
      <c r="I32" s="199"/>
      <c r="J32" s="200"/>
      <c r="K32" s="122" t="s">
        <v>42</v>
      </c>
      <c r="L32" s="142">
        <v>538</v>
      </c>
      <c r="M32" s="133">
        <v>0</v>
      </c>
      <c r="N32" s="142">
        <v>591.79999999999984</v>
      </c>
      <c r="O32" s="133">
        <v>0</v>
      </c>
      <c r="P32" s="142">
        <v>645.59999999999991</v>
      </c>
      <c r="Q32" s="133">
        <v>0</v>
      </c>
      <c r="R32" s="142">
        <v>484.2</v>
      </c>
      <c r="S32" s="133">
        <v>0</v>
      </c>
      <c r="T32" s="142">
        <v>430.39999999999992</v>
      </c>
      <c r="U32" s="133">
        <v>0</v>
      </c>
    </row>
    <row r="33" spans="1:21" ht="15.6" x14ac:dyDescent="0.3">
      <c r="A33" s="521" t="s">
        <v>131</v>
      </c>
      <c r="B33" s="522"/>
      <c r="C33" s="522"/>
      <c r="D33" s="522"/>
      <c r="E33" s="522"/>
      <c r="F33" s="522"/>
      <c r="G33" s="522"/>
      <c r="H33" s="522"/>
      <c r="I33" s="522"/>
      <c r="J33" s="523"/>
      <c r="K33" s="122" t="s">
        <v>112</v>
      </c>
      <c r="L33" s="142">
        <v>246</v>
      </c>
      <c r="M33" s="133">
        <v>0</v>
      </c>
      <c r="N33" s="142">
        <v>270.60000000000014</v>
      </c>
      <c r="O33" s="133">
        <v>0</v>
      </c>
      <c r="P33" s="142">
        <v>295.20000000000005</v>
      </c>
      <c r="Q33" s="133">
        <v>0</v>
      </c>
      <c r="R33" s="142">
        <v>221.40000000000006</v>
      </c>
      <c r="S33" s="133">
        <v>0</v>
      </c>
      <c r="T33" s="142">
        <v>196.79999999999998</v>
      </c>
      <c r="U33" s="133">
        <v>0</v>
      </c>
    </row>
    <row r="34" spans="1:21" x14ac:dyDescent="0.3">
      <c r="A34" s="121" t="s">
        <v>117</v>
      </c>
      <c r="B34" s="515" t="s">
        <v>118</v>
      </c>
      <c r="C34" s="516"/>
      <c r="D34" s="517"/>
      <c r="E34" s="121" t="s">
        <v>119</v>
      </c>
      <c r="F34" s="515" t="s">
        <v>120</v>
      </c>
      <c r="G34" s="518"/>
      <c r="H34" s="519"/>
      <c r="I34" s="519"/>
      <c r="J34" s="520"/>
      <c r="K34" s="122" t="s">
        <v>113</v>
      </c>
      <c r="L34" s="142">
        <v>66.999999999999972</v>
      </c>
      <c r="M34" s="133">
        <v>0</v>
      </c>
      <c r="N34" s="142">
        <v>73.699999999999918</v>
      </c>
      <c r="O34" s="133">
        <v>0</v>
      </c>
      <c r="P34" s="142">
        <v>80.400000000000048</v>
      </c>
      <c r="Q34" s="133">
        <v>0</v>
      </c>
      <c r="R34" s="142">
        <v>60.30000000000004</v>
      </c>
      <c r="S34" s="133">
        <v>0</v>
      </c>
      <c r="T34" s="142">
        <v>53.600000000000009</v>
      </c>
      <c r="U34" s="133">
        <v>0</v>
      </c>
    </row>
    <row r="35" spans="1:21" x14ac:dyDescent="0.3">
      <c r="A35" s="170"/>
      <c r="B35" s="171"/>
      <c r="C35" s="172"/>
      <c r="D35" s="201"/>
      <c r="E35" s="159"/>
      <c r="F35" s="202"/>
      <c r="G35" s="202"/>
      <c r="H35" s="202"/>
      <c r="I35" s="202"/>
      <c r="J35" s="203"/>
      <c r="K35" s="122" t="s">
        <v>114</v>
      </c>
      <c r="L35" s="142">
        <v>4.9999999999999956</v>
      </c>
      <c r="M35" s="133">
        <v>0</v>
      </c>
      <c r="N35" s="142">
        <v>5.4999999999999929</v>
      </c>
      <c r="O35" s="133">
        <v>0</v>
      </c>
      <c r="P35" s="142">
        <v>6.0000000000000018</v>
      </c>
      <c r="Q35" s="133">
        <v>0</v>
      </c>
      <c r="R35" s="142">
        <v>4.4999999999999982</v>
      </c>
      <c r="S35" s="133">
        <v>0</v>
      </c>
      <c r="T35" s="142">
        <v>3.9999999999999996</v>
      </c>
      <c r="U35" s="133">
        <v>0</v>
      </c>
    </row>
    <row r="36" spans="1:21" x14ac:dyDescent="0.3">
      <c r="A36" s="176"/>
      <c r="B36" s="177"/>
      <c r="C36" s="178"/>
      <c r="D36" s="204"/>
      <c r="E36" s="133"/>
      <c r="F36" s="174"/>
      <c r="G36" s="174"/>
      <c r="H36" s="174"/>
      <c r="I36" s="174"/>
      <c r="J36" s="175"/>
      <c r="K36" s="122" t="s">
        <v>116</v>
      </c>
      <c r="L36" s="142">
        <v>0</v>
      </c>
      <c r="M36" s="133">
        <v>0</v>
      </c>
      <c r="N36" s="142">
        <v>0</v>
      </c>
      <c r="O36" s="133">
        <v>0</v>
      </c>
      <c r="P36" s="142">
        <v>0</v>
      </c>
      <c r="Q36" s="133">
        <v>0</v>
      </c>
      <c r="R36" s="142">
        <v>0</v>
      </c>
      <c r="S36" s="133">
        <v>0</v>
      </c>
      <c r="T36" s="142">
        <v>0</v>
      </c>
      <c r="U36" s="133">
        <v>0</v>
      </c>
    </row>
    <row r="37" spans="1:21" x14ac:dyDescent="0.3">
      <c r="A37" s="176"/>
      <c r="B37" s="177"/>
      <c r="C37" s="178"/>
      <c r="D37" s="204"/>
      <c r="E37" s="133"/>
      <c r="F37" s="174"/>
      <c r="G37" s="174"/>
      <c r="H37" s="174"/>
      <c r="I37" s="174"/>
      <c r="J37" s="175"/>
      <c r="K37" s="122" t="s">
        <v>121</v>
      </c>
      <c r="L37" s="142">
        <v>0</v>
      </c>
      <c r="M37" s="133">
        <v>0</v>
      </c>
      <c r="N37" s="142">
        <v>0</v>
      </c>
      <c r="O37" s="133">
        <v>0</v>
      </c>
      <c r="P37" s="142">
        <v>0</v>
      </c>
      <c r="Q37" s="133">
        <v>0</v>
      </c>
      <c r="R37" s="142">
        <v>0</v>
      </c>
      <c r="S37" s="133">
        <v>0</v>
      </c>
      <c r="T37" s="142">
        <v>0</v>
      </c>
      <c r="U37" s="133">
        <v>0</v>
      </c>
    </row>
    <row r="38" spans="1:21" x14ac:dyDescent="0.3">
      <c r="A38" s="176"/>
      <c r="B38" s="177"/>
      <c r="C38" s="178"/>
      <c r="D38" s="204"/>
      <c r="E38" s="133"/>
      <c r="F38" s="174"/>
      <c r="G38" s="174"/>
      <c r="H38" s="174"/>
      <c r="I38" s="174"/>
      <c r="J38" s="175"/>
      <c r="K38" s="122" t="s">
        <v>124</v>
      </c>
      <c r="L38" s="142">
        <v>29.999999999999993</v>
      </c>
      <c r="M38" s="133">
        <v>0</v>
      </c>
      <c r="N38" s="142">
        <v>33</v>
      </c>
      <c r="O38" s="133">
        <v>0</v>
      </c>
      <c r="P38" s="142">
        <v>36.000000000000007</v>
      </c>
      <c r="Q38" s="133">
        <v>0</v>
      </c>
      <c r="R38" s="142">
        <v>27.000000000000007</v>
      </c>
      <c r="S38" s="133">
        <v>0</v>
      </c>
      <c r="T38" s="142">
        <v>24.000000000000004</v>
      </c>
      <c r="U38" s="133">
        <v>0</v>
      </c>
    </row>
    <row r="39" spans="1:21" x14ac:dyDescent="0.3">
      <c r="A39" s="176"/>
      <c r="B39" s="177"/>
      <c r="C39" s="178"/>
      <c r="D39" s="204"/>
      <c r="E39" s="133"/>
      <c r="F39" s="174"/>
      <c r="G39" s="174"/>
      <c r="H39" s="174"/>
      <c r="I39" s="174"/>
      <c r="J39" s="175"/>
      <c r="K39" s="122" t="s">
        <v>126</v>
      </c>
      <c r="L39" s="142">
        <v>212</v>
      </c>
      <c r="M39" s="133">
        <v>0</v>
      </c>
      <c r="N39" s="142">
        <v>233.20000000000005</v>
      </c>
      <c r="O39" s="133">
        <v>0</v>
      </c>
      <c r="P39" s="142">
        <v>254.40000000000003</v>
      </c>
      <c r="Q39" s="133">
        <v>0</v>
      </c>
      <c r="R39" s="142">
        <v>190.79999999999998</v>
      </c>
      <c r="S39" s="133">
        <v>0</v>
      </c>
      <c r="T39" s="142">
        <v>169.6</v>
      </c>
      <c r="U39" s="133">
        <v>0</v>
      </c>
    </row>
    <row r="40" spans="1:21" x14ac:dyDescent="0.3">
      <c r="A40" s="176"/>
      <c r="B40" s="177"/>
      <c r="C40" s="178"/>
      <c r="D40" s="204"/>
      <c r="E40" s="133"/>
      <c r="F40" s="174"/>
      <c r="G40" s="174"/>
      <c r="H40" s="174"/>
      <c r="I40" s="174"/>
      <c r="J40" s="175"/>
      <c r="K40" s="122" t="s">
        <v>38</v>
      </c>
      <c r="L40" s="142">
        <v>493.00000000000023</v>
      </c>
      <c r="M40" s="133">
        <v>0</v>
      </c>
      <c r="N40" s="142">
        <v>542.29999999999995</v>
      </c>
      <c r="O40" s="133">
        <v>0</v>
      </c>
      <c r="P40" s="142">
        <v>591.60000000000014</v>
      </c>
      <c r="Q40" s="133">
        <v>0</v>
      </c>
      <c r="R40" s="142">
        <v>443.70000000000016</v>
      </c>
      <c r="S40" s="133">
        <v>0</v>
      </c>
      <c r="T40" s="142">
        <v>394.39999999999986</v>
      </c>
      <c r="U40" s="133">
        <v>0</v>
      </c>
    </row>
    <row r="41" spans="1:21" x14ac:dyDescent="0.3">
      <c r="A41" s="176"/>
      <c r="B41" s="177"/>
      <c r="C41" s="178"/>
      <c r="D41" s="204"/>
      <c r="E41" s="133"/>
      <c r="F41" s="174"/>
      <c r="G41" s="174"/>
      <c r="H41" s="174"/>
      <c r="I41" s="174"/>
      <c r="J41" s="175"/>
      <c r="K41" s="122" t="s">
        <v>39</v>
      </c>
      <c r="L41" s="142">
        <v>840.99999999999943</v>
      </c>
      <c r="M41" s="133">
        <v>0</v>
      </c>
      <c r="N41" s="142">
        <v>925.10000000000025</v>
      </c>
      <c r="O41" s="133">
        <v>0</v>
      </c>
      <c r="P41" s="142">
        <v>1009.1999999999994</v>
      </c>
      <c r="Q41" s="133">
        <v>0</v>
      </c>
      <c r="R41" s="142">
        <v>756.90000000000009</v>
      </c>
      <c r="S41" s="133">
        <v>0</v>
      </c>
      <c r="T41" s="142">
        <v>672.8</v>
      </c>
      <c r="U41" s="133">
        <v>0</v>
      </c>
    </row>
    <row r="42" spans="1:21" x14ac:dyDescent="0.3">
      <c r="A42" s="176"/>
      <c r="B42" s="177"/>
      <c r="C42" s="178"/>
      <c r="D42" s="204"/>
      <c r="E42" s="133"/>
      <c r="F42" s="174"/>
      <c r="G42" s="174"/>
      <c r="H42" s="174"/>
      <c r="I42" s="174"/>
      <c r="J42" s="175"/>
      <c r="K42" s="180" t="s">
        <v>132</v>
      </c>
      <c r="L42" s="181">
        <v>4096.9999999999991</v>
      </c>
      <c r="M42" s="181">
        <v>0</v>
      </c>
      <c r="N42" s="181">
        <v>4506.7</v>
      </c>
      <c r="O42" s="181">
        <v>0</v>
      </c>
      <c r="P42" s="181">
        <v>4916.3999999999996</v>
      </c>
      <c r="Q42" s="181">
        <v>0</v>
      </c>
      <c r="R42" s="181">
        <v>3687.3000000000011</v>
      </c>
      <c r="S42" s="181">
        <v>0</v>
      </c>
      <c r="T42" s="181">
        <v>3277.6000000000004</v>
      </c>
      <c r="U42" s="181">
        <v>0</v>
      </c>
    </row>
    <row r="43" spans="1:21" x14ac:dyDescent="0.3">
      <c r="A43" s="176"/>
      <c r="B43" s="177"/>
      <c r="C43" s="178"/>
      <c r="D43" s="204"/>
      <c r="E43" s="133"/>
      <c r="F43" s="174"/>
      <c r="G43" s="174"/>
      <c r="H43" s="174"/>
      <c r="I43" s="174"/>
      <c r="J43" s="175"/>
      <c r="K43" s="180" t="s">
        <v>133</v>
      </c>
      <c r="L43" s="181">
        <v>3536.9999999999995</v>
      </c>
      <c r="M43" s="181">
        <v>0</v>
      </c>
      <c r="N43" s="181">
        <v>3890.7</v>
      </c>
      <c r="O43" s="181">
        <v>0</v>
      </c>
      <c r="P43" s="181">
        <v>4244.3999999999996</v>
      </c>
      <c r="Q43" s="181">
        <v>0</v>
      </c>
      <c r="R43" s="181">
        <v>3183.3000000000006</v>
      </c>
      <c r="S43" s="181">
        <v>0</v>
      </c>
      <c r="T43" s="181">
        <v>2829.6000000000004</v>
      </c>
      <c r="U43" s="181">
        <v>0</v>
      </c>
    </row>
    <row r="44" spans="1:21" x14ac:dyDescent="0.3">
      <c r="A44" s="176"/>
      <c r="B44" s="186"/>
      <c r="C44" s="187"/>
      <c r="D44" s="205"/>
      <c r="E44" s="189"/>
      <c r="F44" s="174"/>
      <c r="G44" s="174"/>
      <c r="H44" s="174"/>
      <c r="I44" s="174"/>
      <c r="J44" s="175"/>
      <c r="K44" s="180" t="s">
        <v>134</v>
      </c>
      <c r="L44" s="181">
        <v>4096.9999999999991</v>
      </c>
      <c r="M44" s="181">
        <v>1130825.517396827</v>
      </c>
      <c r="N44" s="181">
        <v>4506.7</v>
      </c>
      <c r="O44" s="181">
        <v>1228043.0803815434</v>
      </c>
      <c r="P44" s="181">
        <v>4916.3999999999996</v>
      </c>
      <c r="Q44" s="181">
        <v>1325260.6433662598</v>
      </c>
      <c r="R44" s="181">
        <v>3687.3000000000011</v>
      </c>
      <c r="S44" s="181">
        <v>1033607.9544121104</v>
      </c>
      <c r="T44" s="181">
        <v>3277.6000000000004</v>
      </c>
      <c r="U44" s="181">
        <v>936390.39142739389</v>
      </c>
    </row>
    <row r="45" spans="1:21" x14ac:dyDescent="0.3">
      <c r="A45" s="190"/>
      <c r="B45" s="191"/>
      <c r="C45" s="191"/>
      <c r="D45" s="191" t="s">
        <v>135</v>
      </c>
      <c r="E45" s="192">
        <v>0</v>
      </c>
      <c r="F45" s="193"/>
      <c r="G45" s="193"/>
      <c r="H45" s="193"/>
      <c r="I45" s="193"/>
      <c r="J45" s="194"/>
      <c r="K45" s="180" t="s">
        <v>136</v>
      </c>
      <c r="L45" s="181">
        <v>3536.9999999999995</v>
      </c>
      <c r="M45" s="181">
        <v>892632.87947926763</v>
      </c>
      <c r="N45" s="181">
        <v>3890.7</v>
      </c>
      <c r="O45" s="181">
        <v>975804.4604232671</v>
      </c>
      <c r="P45" s="181">
        <v>4244.3999999999996</v>
      </c>
      <c r="Q45" s="181">
        <v>1058976.0413672663</v>
      </c>
      <c r="R45" s="181">
        <v>3183.3000000000006</v>
      </c>
      <c r="S45" s="181">
        <v>809461.29853526817</v>
      </c>
      <c r="T45" s="181">
        <v>2829.6000000000004</v>
      </c>
      <c r="U45" s="181">
        <v>726289.71759126883</v>
      </c>
    </row>
  </sheetData>
  <mergeCells count="27">
    <mergeCell ref="A1:J1"/>
    <mergeCell ref="K1:U1"/>
    <mergeCell ref="A2:J2"/>
    <mergeCell ref="K2:U2"/>
    <mergeCell ref="D3:F3"/>
    <mergeCell ref="N3:Q3"/>
    <mergeCell ref="F4:J4"/>
    <mergeCell ref="B5:C5"/>
    <mergeCell ref="L5:M5"/>
    <mergeCell ref="P5:U7"/>
    <mergeCell ref="B6:C6"/>
    <mergeCell ref="L6:M6"/>
    <mergeCell ref="B7:C7"/>
    <mergeCell ref="L7:M7"/>
    <mergeCell ref="K27:U27"/>
    <mergeCell ref="A33:J33"/>
    <mergeCell ref="B8:C8"/>
    <mergeCell ref="B9:C9"/>
    <mergeCell ref="K9:U9"/>
    <mergeCell ref="B10:C10"/>
    <mergeCell ref="A11:C16"/>
    <mergeCell ref="F14:J16"/>
    <mergeCell ref="B34:D34"/>
    <mergeCell ref="F34:J34"/>
    <mergeCell ref="A18:J18"/>
    <mergeCell ref="B19:D19"/>
    <mergeCell ref="F19:J19"/>
  </mergeCells>
  <phoneticPr fontId="13" type="noConversion"/>
  <conditionalFormatting sqref="J9">
    <cfRule type="cellIs" dxfId="3" priority="4" stopIfTrue="1" operator="greaterThanOrEqual">
      <formula>#REF!</formula>
    </cfRule>
  </conditionalFormatting>
  <conditionalFormatting sqref="J10">
    <cfRule type="cellIs" dxfId="2" priority="3" stopIfTrue="1" operator="greaterThanOrEqual">
      <formula>#REF!</formula>
    </cfRule>
  </conditionalFormatting>
  <conditionalFormatting sqref="H9">
    <cfRule type="cellIs" dxfId="1" priority="2" stopIfTrue="1" operator="greaterThanOrEqual">
      <formula>#REF!</formula>
    </cfRule>
  </conditionalFormatting>
  <conditionalFormatting sqref="F4:J4">
    <cfRule type="containsText" dxfId="0" priority="1" stopIfTrue="1" operator="containsText" text="PEAK DAY">
      <formula>NOT(ISERROR(SEARCH("PEAK DAY",F4)))</formula>
    </cfRule>
  </conditionalFormatting>
  <pageMargins left="0.7" right="0.7" top="0.75" bottom="0.75" header="0.3" footer="0.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workbookViewId="0">
      <selection activeCell="J50" sqref="J50"/>
    </sheetView>
  </sheetViews>
  <sheetFormatPr defaultRowHeight="13.2" x14ac:dyDescent="0.25"/>
  <cols>
    <col min="3" max="5" width="10.33203125" bestFit="1" customWidth="1"/>
    <col min="6" max="6" width="9.33203125" bestFit="1" customWidth="1"/>
    <col min="7" max="7" width="10.33203125" bestFit="1" customWidth="1"/>
  </cols>
  <sheetData>
    <row r="2" spans="2:6" x14ac:dyDescent="0.25">
      <c r="C2" s="40" t="s">
        <v>227</v>
      </c>
      <c r="D2" s="40" t="s">
        <v>228</v>
      </c>
      <c r="E2" s="40" t="s">
        <v>229</v>
      </c>
      <c r="F2" s="40" t="s">
        <v>230</v>
      </c>
    </row>
    <row r="3" spans="2:6" x14ac:dyDescent="0.25">
      <c r="B3" t="s">
        <v>226</v>
      </c>
    </row>
    <row r="4" spans="2:6" x14ac:dyDescent="0.25">
      <c r="B4">
        <v>1</v>
      </c>
      <c r="C4" s="24">
        <v>5378.9205174157214</v>
      </c>
      <c r="D4" s="24">
        <v>12706.543674084125</v>
      </c>
      <c r="E4" s="24">
        <v>8119.500816330672</v>
      </c>
      <c r="F4" s="24">
        <v>1981.8479938469086</v>
      </c>
    </row>
    <row r="5" spans="2:6" x14ac:dyDescent="0.25">
      <c r="B5">
        <f>+B4+1</f>
        <v>2</v>
      </c>
      <c r="C5" s="24">
        <v>5866.3604785365369</v>
      </c>
      <c r="D5" s="24">
        <v>15087.295721067359</v>
      </c>
      <c r="E5" s="24">
        <v>8753.3359792399187</v>
      </c>
      <c r="F5" s="24">
        <v>2450.0232272859575</v>
      </c>
    </row>
    <row r="6" spans="2:6" x14ac:dyDescent="0.25">
      <c r="B6">
        <f t="shared" ref="B6:B33" si="0">+B5+1</f>
        <v>3</v>
      </c>
      <c r="C6" s="24">
        <v>5710.9934595266805</v>
      </c>
      <c r="D6" s="24">
        <v>14828.867851495648</v>
      </c>
      <c r="E6" s="24">
        <v>8580.0749583898196</v>
      </c>
      <c r="F6" s="24">
        <v>2471.8231439606693</v>
      </c>
    </row>
    <row r="7" spans="2:6" x14ac:dyDescent="0.25">
      <c r="B7">
        <f t="shared" si="0"/>
        <v>4</v>
      </c>
      <c r="C7" s="24">
        <v>5626.0011653636848</v>
      </c>
      <c r="D7" s="24">
        <v>15576.344999113582</v>
      </c>
      <c r="E7" s="24">
        <v>8733.5887154256397</v>
      </c>
      <c r="F7" s="24">
        <v>2490.0769559911473</v>
      </c>
    </row>
    <row r="8" spans="2:6" x14ac:dyDescent="0.25">
      <c r="B8">
        <f t="shared" si="0"/>
        <v>5</v>
      </c>
      <c r="C8" s="24">
        <v>5636.5088981088784</v>
      </c>
      <c r="D8" s="24">
        <v>15560.558820037313</v>
      </c>
      <c r="E8" s="24">
        <v>8374.6617769594559</v>
      </c>
      <c r="F8" s="24">
        <v>2384.7421550694517</v>
      </c>
    </row>
    <row r="9" spans="2:6" x14ac:dyDescent="0.25">
      <c r="B9">
        <f t="shared" si="0"/>
        <v>6</v>
      </c>
      <c r="C9" s="24">
        <v>5970.5827722353752</v>
      </c>
      <c r="D9" s="24">
        <v>15457.691880542076</v>
      </c>
      <c r="E9" s="24">
        <v>8397.7889959219683</v>
      </c>
      <c r="F9" s="24">
        <v>2408.3245876958044</v>
      </c>
    </row>
    <row r="10" spans="2:6" x14ac:dyDescent="0.25">
      <c r="B10">
        <f t="shared" si="0"/>
        <v>7</v>
      </c>
      <c r="C10" s="24">
        <v>6790.8786736239363</v>
      </c>
      <c r="D10" s="24">
        <v>14941.507244791275</v>
      </c>
      <c r="E10" s="24">
        <v>9111.5067282644359</v>
      </c>
      <c r="F10" s="24">
        <v>2580.4705289862295</v>
      </c>
    </row>
    <row r="11" spans="2:6" x14ac:dyDescent="0.25">
      <c r="B11">
        <f t="shared" si="0"/>
        <v>8</v>
      </c>
      <c r="C11" s="24">
        <v>7023.5219438105605</v>
      </c>
      <c r="D11" s="24">
        <v>15022.056892329902</v>
      </c>
      <c r="E11" s="24">
        <v>9742.1310144927684</v>
      </c>
      <c r="F11" s="24">
        <v>2618.1384651664061</v>
      </c>
    </row>
    <row r="12" spans="2:6" x14ac:dyDescent="0.25">
      <c r="B12">
        <f t="shared" si="0"/>
        <v>9</v>
      </c>
      <c r="C12" s="24">
        <v>7025.561784181963</v>
      </c>
      <c r="D12" s="24">
        <v>16624.015825092843</v>
      </c>
      <c r="E12" s="24">
        <v>9944.5355730311549</v>
      </c>
      <c r="F12" s="24">
        <v>2798.8912775710473</v>
      </c>
    </row>
    <row r="13" spans="2:6" x14ac:dyDescent="0.25">
      <c r="B13">
        <f t="shared" si="0"/>
        <v>10</v>
      </c>
      <c r="C13" s="24">
        <v>7475.3115355766067</v>
      </c>
      <c r="D13" s="24">
        <v>17070.4815999108</v>
      </c>
      <c r="E13" s="24">
        <v>10502.148460362767</v>
      </c>
      <c r="F13" s="24">
        <v>2895.0950220983664</v>
      </c>
    </row>
    <row r="14" spans="2:6" x14ac:dyDescent="0.25">
      <c r="B14">
        <f t="shared" si="0"/>
        <v>11</v>
      </c>
      <c r="C14" s="24">
        <v>7578.1341219553888</v>
      </c>
      <c r="D14" s="24">
        <v>18528.687095361194</v>
      </c>
      <c r="E14" s="24">
        <v>10488.516504464809</v>
      </c>
      <c r="F14" s="24">
        <v>2842.8266230989807</v>
      </c>
    </row>
    <row r="15" spans="2:6" x14ac:dyDescent="0.25">
      <c r="B15">
        <f t="shared" si="0"/>
        <v>12</v>
      </c>
      <c r="C15" s="24">
        <v>7228.2391509423651</v>
      </c>
      <c r="D15" s="24">
        <v>18824.592644016153</v>
      </c>
      <c r="E15" s="24">
        <v>10157.57042734306</v>
      </c>
      <c r="F15" s="24">
        <v>2941.4241129809484</v>
      </c>
    </row>
    <row r="16" spans="2:6" x14ac:dyDescent="0.25">
      <c r="B16">
        <f t="shared" si="0"/>
        <v>13</v>
      </c>
      <c r="C16" s="24">
        <v>7930.6885498075408</v>
      </c>
      <c r="D16" s="24">
        <v>18429.624966728359</v>
      </c>
      <c r="E16" s="24">
        <v>10877.587825910476</v>
      </c>
      <c r="F16" s="24">
        <v>2928.4440210471157</v>
      </c>
    </row>
    <row r="17" spans="2:6" x14ac:dyDescent="0.25">
      <c r="B17">
        <f t="shared" si="0"/>
        <v>14</v>
      </c>
      <c r="C17" s="24">
        <v>8418.6034775776116</v>
      </c>
      <c r="D17" s="24">
        <v>18934.128558304397</v>
      </c>
      <c r="E17" s="24">
        <v>11763.040008085569</v>
      </c>
      <c r="F17" s="24">
        <v>3246.3913025410961</v>
      </c>
    </row>
    <row r="18" spans="2:6" x14ac:dyDescent="0.25">
      <c r="B18">
        <f t="shared" si="0"/>
        <v>15</v>
      </c>
      <c r="C18" s="24">
        <v>9007.0458626216168</v>
      </c>
      <c r="D18" s="24">
        <v>19430.20408656646</v>
      </c>
      <c r="E18" s="24">
        <v>11820.397523377025</v>
      </c>
      <c r="F18" s="24">
        <v>3361.9685837358293</v>
      </c>
    </row>
    <row r="19" spans="2:6" x14ac:dyDescent="0.25">
      <c r="B19">
        <f t="shared" si="0"/>
        <v>16</v>
      </c>
      <c r="C19" s="24">
        <v>9115.7351694035224</v>
      </c>
      <c r="D19" s="24">
        <v>21195.643402262973</v>
      </c>
      <c r="E19" s="24">
        <v>12560.883535898363</v>
      </c>
      <c r="F19" s="24">
        <v>3368.6524301377485</v>
      </c>
    </row>
    <row r="20" spans="2:6" x14ac:dyDescent="0.25">
      <c r="B20">
        <f t="shared" si="0"/>
        <v>17</v>
      </c>
      <c r="C20" s="24">
        <v>9140.3784198711946</v>
      </c>
      <c r="D20" s="24">
        <v>21707.329238036687</v>
      </c>
      <c r="E20" s="24">
        <v>12578.720625741833</v>
      </c>
      <c r="F20" s="24">
        <v>3596.3458313668971</v>
      </c>
    </row>
    <row r="21" spans="2:6" x14ac:dyDescent="0.25">
      <c r="B21">
        <f t="shared" si="0"/>
        <v>18</v>
      </c>
      <c r="C21" s="24">
        <v>9592.6668248571641</v>
      </c>
      <c r="D21" s="24">
        <v>23230.981369245768</v>
      </c>
      <c r="E21" s="24">
        <v>12443.380668133386</v>
      </c>
      <c r="F21" s="24">
        <v>3600.9391581551417</v>
      </c>
    </row>
    <row r="22" spans="2:6" x14ac:dyDescent="0.25">
      <c r="B22">
        <f t="shared" si="0"/>
        <v>19</v>
      </c>
      <c r="C22" s="24">
        <v>9336.3032929864385</v>
      </c>
      <c r="D22" s="24">
        <v>23529.92934055582</v>
      </c>
      <c r="E22" s="24">
        <v>12736.71252518479</v>
      </c>
      <c r="F22" s="24">
        <v>3698.7199923003213</v>
      </c>
    </row>
    <row r="23" spans="2:6" x14ac:dyDescent="0.25">
      <c r="B23">
        <f t="shared" si="0"/>
        <v>20</v>
      </c>
      <c r="C23" s="24">
        <v>10073.714668159</v>
      </c>
      <c r="D23" s="24">
        <v>24211.810827192487</v>
      </c>
      <c r="E23" s="24">
        <v>12926.239979622616</v>
      </c>
      <c r="F23" s="24">
        <v>3691.1716232980743</v>
      </c>
    </row>
    <row r="24" spans="2:6" x14ac:dyDescent="0.25">
      <c r="B24">
        <f t="shared" si="0"/>
        <v>21</v>
      </c>
      <c r="C24" s="24">
        <v>10570.755746468265</v>
      </c>
      <c r="D24" s="24">
        <v>23986.447080729093</v>
      </c>
      <c r="E24" s="24">
        <v>14373.584572067219</v>
      </c>
      <c r="F24" s="24">
        <v>4011.7808763927906</v>
      </c>
    </row>
    <row r="25" spans="2:6" x14ac:dyDescent="0.25">
      <c r="B25">
        <f t="shared" si="0"/>
        <v>22</v>
      </c>
      <c r="C25" s="24">
        <v>11179.77317320068</v>
      </c>
      <c r="D25" s="24">
        <v>24236.082762413454</v>
      </c>
      <c r="E25" s="24">
        <v>14540.779895764677</v>
      </c>
      <c r="F25" s="24">
        <v>4127.1189674328034</v>
      </c>
    </row>
    <row r="26" spans="2:6" x14ac:dyDescent="0.25">
      <c r="B26">
        <f t="shared" si="0"/>
        <v>23</v>
      </c>
      <c r="C26" s="24">
        <v>11285.494338988452</v>
      </c>
      <c r="D26" s="24">
        <v>25997.698289787848</v>
      </c>
      <c r="E26" s="24">
        <v>14658.967190376728</v>
      </c>
      <c r="F26" s="24">
        <v>4134.0828700071716</v>
      </c>
    </row>
    <row r="27" spans="2:6" x14ac:dyDescent="0.25">
      <c r="B27">
        <f t="shared" si="0"/>
        <v>24</v>
      </c>
      <c r="C27" s="24">
        <v>11309.790842914481</v>
      </c>
      <c r="D27" s="24">
        <v>26464.618816513765</v>
      </c>
      <c r="E27" s="24">
        <v>15223.176459824886</v>
      </c>
      <c r="F27" s="24">
        <v>4363.3378425000383</v>
      </c>
    </row>
    <row r="28" spans="2:6" x14ac:dyDescent="0.25">
      <c r="B28">
        <f t="shared" si="0"/>
        <v>25</v>
      </c>
      <c r="C28" s="24">
        <v>11775.688877636714</v>
      </c>
      <c r="D28" s="24">
        <v>27997.590429211868</v>
      </c>
      <c r="E28" s="24">
        <v>15180.378498275359</v>
      </c>
      <c r="F28" s="24">
        <v>4366.7940480787411</v>
      </c>
    </row>
    <row r="29" spans="2:6" x14ac:dyDescent="0.25">
      <c r="B29">
        <f t="shared" si="0"/>
        <v>26</v>
      </c>
      <c r="C29" s="24">
        <v>11512.27710378226</v>
      </c>
      <c r="D29" s="24">
        <v>28269.452232865828</v>
      </c>
      <c r="E29" s="24">
        <v>15517.976593050891</v>
      </c>
      <c r="F29" s="24">
        <v>4466.0400733047145</v>
      </c>
    </row>
    <row r="30" spans="2:6" x14ac:dyDescent="0.25">
      <c r="B30">
        <f t="shared" si="0"/>
        <v>27</v>
      </c>
      <c r="C30" s="24">
        <v>12260.825571876781</v>
      </c>
      <c r="D30" s="24">
        <v>28968.844790593186</v>
      </c>
      <c r="E30" s="24">
        <v>15715.125391916763</v>
      </c>
      <c r="F30" s="24">
        <v>4457.1545489825085</v>
      </c>
    </row>
    <row r="31" spans="2:6" x14ac:dyDescent="0.25">
      <c r="B31">
        <f t="shared" si="0"/>
        <v>28</v>
      </c>
      <c r="C31" s="24">
        <v>12749.181254053517</v>
      </c>
      <c r="D31" s="24">
        <v>28720.890316361896</v>
      </c>
      <c r="E31" s="24">
        <v>16499.178499565376</v>
      </c>
      <c r="F31" s="24">
        <v>4779.1713363758308</v>
      </c>
    </row>
    <row r="32" spans="2:6" x14ac:dyDescent="0.25">
      <c r="B32">
        <f t="shared" si="0"/>
        <v>29</v>
      </c>
      <c r="C32" s="24">
        <v>13368.362871060814</v>
      </c>
      <c r="D32" s="24">
        <v>28962.130396515298</v>
      </c>
      <c r="E32" s="24">
        <v>17211.092450035285</v>
      </c>
      <c r="F32" s="24">
        <v>4893.1340071096329</v>
      </c>
    </row>
    <row r="33" spans="2:8" ht="15" x14ac:dyDescent="0.4">
      <c r="B33">
        <f t="shared" si="0"/>
        <v>30</v>
      </c>
      <c r="C33" s="102">
        <v>13464.810988669651</v>
      </c>
      <c r="D33" s="102">
        <v>30747.150991618782</v>
      </c>
      <c r="E33" s="102">
        <v>17407.985493797725</v>
      </c>
      <c r="F33" s="102">
        <v>4899.9616221583756</v>
      </c>
    </row>
    <row r="34" spans="2:8" x14ac:dyDescent="0.25">
      <c r="C34" s="43">
        <f>SUM(C4:C33)</f>
        <v>269403.11153521336</v>
      </c>
      <c r="D34" s="43">
        <f>SUM(D4:D33)</f>
        <v>635249.20214334608</v>
      </c>
      <c r="E34" s="43">
        <f>SUM(E4:E33)</f>
        <v>364940.5676868555</v>
      </c>
      <c r="F34" s="43">
        <f>SUM(F4:F33)</f>
        <v>102854.89322867674</v>
      </c>
      <c r="G34" s="43">
        <f>SUM(C34:F34)</f>
        <v>1372447.7745940916</v>
      </c>
      <c r="H34" t="s">
        <v>233</v>
      </c>
    </row>
    <row r="35" spans="2:8" x14ac:dyDescent="0.25">
      <c r="C35" s="242" t="e">
        <f>(+#REF!+#REF!)*0.6</f>
        <v>#REF!</v>
      </c>
      <c r="D35" s="242" t="e">
        <f>(+#REF!+#REF!)*0.6</f>
        <v>#REF!</v>
      </c>
      <c r="E35" s="242" t="e">
        <f>(+#REF!+#REF!)*0.6</f>
        <v>#REF!</v>
      </c>
      <c r="F35" s="242" t="e">
        <f>(+#REF!+#REF!)*0.6</f>
        <v>#REF!</v>
      </c>
      <c r="G35" s="242" t="e">
        <f>SUM(C35:F35)</f>
        <v>#REF!</v>
      </c>
      <c r="H35" t="s">
        <v>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50" sqref="J50"/>
    </sheetView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opLeftCell="A4" zoomScale="70" zoomScaleNormal="70" workbookViewId="0">
      <selection activeCell="J50" sqref="J50"/>
    </sheetView>
  </sheetViews>
  <sheetFormatPr defaultRowHeight="14.4" x14ac:dyDescent="0.3"/>
  <cols>
    <col min="1" max="1" width="26.6640625" style="437" customWidth="1"/>
    <col min="2" max="3" width="18.6640625" style="437" customWidth="1"/>
    <col min="4" max="4" width="27.6640625" style="437" customWidth="1"/>
    <col min="5" max="5" width="15.6640625" style="437" customWidth="1"/>
    <col min="6" max="7" width="12.6640625" style="437" customWidth="1"/>
    <col min="8" max="8" width="17.6640625" style="437" customWidth="1"/>
    <col min="9" max="10" width="15.6640625" style="437" customWidth="1"/>
    <col min="11" max="13" width="18.6640625" style="324" customWidth="1"/>
    <col min="14" max="21" width="15.88671875" style="324" customWidth="1"/>
    <col min="22" max="256" width="9.109375" style="324"/>
    <col min="257" max="257" width="26.6640625" style="324" customWidth="1"/>
    <col min="258" max="259" width="18.6640625" style="324" customWidth="1"/>
    <col min="260" max="260" width="27.6640625" style="324" customWidth="1"/>
    <col min="261" max="261" width="15.6640625" style="324" customWidth="1"/>
    <col min="262" max="263" width="12.6640625" style="324" customWidth="1"/>
    <col min="264" max="264" width="17.6640625" style="324" customWidth="1"/>
    <col min="265" max="266" width="15.6640625" style="324" customWidth="1"/>
    <col min="267" max="269" width="18.6640625" style="324" customWidth="1"/>
    <col min="270" max="277" width="15.88671875" style="324" customWidth="1"/>
    <col min="278" max="512" width="9.109375" style="324"/>
    <col min="513" max="513" width="26.6640625" style="324" customWidth="1"/>
    <col min="514" max="515" width="18.6640625" style="324" customWidth="1"/>
    <col min="516" max="516" width="27.6640625" style="324" customWidth="1"/>
    <col min="517" max="517" width="15.6640625" style="324" customWidth="1"/>
    <col min="518" max="519" width="12.6640625" style="324" customWidth="1"/>
    <col min="520" max="520" width="17.6640625" style="324" customWidth="1"/>
    <col min="521" max="522" width="15.6640625" style="324" customWidth="1"/>
    <col min="523" max="525" width="18.6640625" style="324" customWidth="1"/>
    <col min="526" max="533" width="15.88671875" style="324" customWidth="1"/>
    <col min="534" max="768" width="9.109375" style="324"/>
    <col min="769" max="769" width="26.6640625" style="324" customWidth="1"/>
    <col min="770" max="771" width="18.6640625" style="324" customWidth="1"/>
    <col min="772" max="772" width="27.6640625" style="324" customWidth="1"/>
    <col min="773" max="773" width="15.6640625" style="324" customWidth="1"/>
    <col min="774" max="775" width="12.6640625" style="324" customWidth="1"/>
    <col min="776" max="776" width="17.6640625" style="324" customWidth="1"/>
    <col min="777" max="778" width="15.6640625" style="324" customWidth="1"/>
    <col min="779" max="781" width="18.6640625" style="324" customWidth="1"/>
    <col min="782" max="789" width="15.88671875" style="324" customWidth="1"/>
    <col min="790" max="1024" width="9.109375" style="324"/>
    <col min="1025" max="1025" width="26.6640625" style="324" customWidth="1"/>
    <col min="1026" max="1027" width="18.6640625" style="324" customWidth="1"/>
    <col min="1028" max="1028" width="27.6640625" style="324" customWidth="1"/>
    <col min="1029" max="1029" width="15.6640625" style="324" customWidth="1"/>
    <col min="1030" max="1031" width="12.6640625" style="324" customWidth="1"/>
    <col min="1032" max="1032" width="17.6640625" style="324" customWidth="1"/>
    <col min="1033" max="1034" width="15.6640625" style="324" customWidth="1"/>
    <col min="1035" max="1037" width="18.6640625" style="324" customWidth="1"/>
    <col min="1038" max="1045" width="15.88671875" style="324" customWidth="1"/>
    <col min="1046" max="1280" width="9.109375" style="324"/>
    <col min="1281" max="1281" width="26.6640625" style="324" customWidth="1"/>
    <col min="1282" max="1283" width="18.6640625" style="324" customWidth="1"/>
    <col min="1284" max="1284" width="27.6640625" style="324" customWidth="1"/>
    <col min="1285" max="1285" width="15.6640625" style="324" customWidth="1"/>
    <col min="1286" max="1287" width="12.6640625" style="324" customWidth="1"/>
    <col min="1288" max="1288" width="17.6640625" style="324" customWidth="1"/>
    <col min="1289" max="1290" width="15.6640625" style="324" customWidth="1"/>
    <col min="1291" max="1293" width="18.6640625" style="324" customWidth="1"/>
    <col min="1294" max="1301" width="15.88671875" style="324" customWidth="1"/>
    <col min="1302" max="1536" width="9.109375" style="324"/>
    <col min="1537" max="1537" width="26.6640625" style="324" customWidth="1"/>
    <col min="1538" max="1539" width="18.6640625" style="324" customWidth="1"/>
    <col min="1540" max="1540" width="27.6640625" style="324" customWidth="1"/>
    <col min="1541" max="1541" width="15.6640625" style="324" customWidth="1"/>
    <col min="1542" max="1543" width="12.6640625" style="324" customWidth="1"/>
    <col min="1544" max="1544" width="17.6640625" style="324" customWidth="1"/>
    <col min="1545" max="1546" width="15.6640625" style="324" customWidth="1"/>
    <col min="1547" max="1549" width="18.6640625" style="324" customWidth="1"/>
    <col min="1550" max="1557" width="15.88671875" style="324" customWidth="1"/>
    <col min="1558" max="1792" width="9.109375" style="324"/>
    <col min="1793" max="1793" width="26.6640625" style="324" customWidth="1"/>
    <col min="1794" max="1795" width="18.6640625" style="324" customWidth="1"/>
    <col min="1796" max="1796" width="27.6640625" style="324" customWidth="1"/>
    <col min="1797" max="1797" width="15.6640625" style="324" customWidth="1"/>
    <col min="1798" max="1799" width="12.6640625" style="324" customWidth="1"/>
    <col min="1800" max="1800" width="17.6640625" style="324" customWidth="1"/>
    <col min="1801" max="1802" width="15.6640625" style="324" customWidth="1"/>
    <col min="1803" max="1805" width="18.6640625" style="324" customWidth="1"/>
    <col min="1806" max="1813" width="15.88671875" style="324" customWidth="1"/>
    <col min="1814" max="2048" width="9.109375" style="324"/>
    <col min="2049" max="2049" width="26.6640625" style="324" customWidth="1"/>
    <col min="2050" max="2051" width="18.6640625" style="324" customWidth="1"/>
    <col min="2052" max="2052" width="27.6640625" style="324" customWidth="1"/>
    <col min="2053" max="2053" width="15.6640625" style="324" customWidth="1"/>
    <col min="2054" max="2055" width="12.6640625" style="324" customWidth="1"/>
    <col min="2056" max="2056" width="17.6640625" style="324" customWidth="1"/>
    <col min="2057" max="2058" width="15.6640625" style="324" customWidth="1"/>
    <col min="2059" max="2061" width="18.6640625" style="324" customWidth="1"/>
    <col min="2062" max="2069" width="15.88671875" style="324" customWidth="1"/>
    <col min="2070" max="2304" width="9.109375" style="324"/>
    <col min="2305" max="2305" width="26.6640625" style="324" customWidth="1"/>
    <col min="2306" max="2307" width="18.6640625" style="324" customWidth="1"/>
    <col min="2308" max="2308" width="27.6640625" style="324" customWidth="1"/>
    <col min="2309" max="2309" width="15.6640625" style="324" customWidth="1"/>
    <col min="2310" max="2311" width="12.6640625" style="324" customWidth="1"/>
    <col min="2312" max="2312" width="17.6640625" style="324" customWidth="1"/>
    <col min="2313" max="2314" width="15.6640625" style="324" customWidth="1"/>
    <col min="2315" max="2317" width="18.6640625" style="324" customWidth="1"/>
    <col min="2318" max="2325" width="15.88671875" style="324" customWidth="1"/>
    <col min="2326" max="2560" width="9.109375" style="324"/>
    <col min="2561" max="2561" width="26.6640625" style="324" customWidth="1"/>
    <col min="2562" max="2563" width="18.6640625" style="324" customWidth="1"/>
    <col min="2564" max="2564" width="27.6640625" style="324" customWidth="1"/>
    <col min="2565" max="2565" width="15.6640625" style="324" customWidth="1"/>
    <col min="2566" max="2567" width="12.6640625" style="324" customWidth="1"/>
    <col min="2568" max="2568" width="17.6640625" style="324" customWidth="1"/>
    <col min="2569" max="2570" width="15.6640625" style="324" customWidth="1"/>
    <col min="2571" max="2573" width="18.6640625" style="324" customWidth="1"/>
    <col min="2574" max="2581" width="15.88671875" style="324" customWidth="1"/>
    <col min="2582" max="2816" width="9.109375" style="324"/>
    <col min="2817" max="2817" width="26.6640625" style="324" customWidth="1"/>
    <col min="2818" max="2819" width="18.6640625" style="324" customWidth="1"/>
    <col min="2820" max="2820" width="27.6640625" style="324" customWidth="1"/>
    <col min="2821" max="2821" width="15.6640625" style="324" customWidth="1"/>
    <col min="2822" max="2823" width="12.6640625" style="324" customWidth="1"/>
    <col min="2824" max="2824" width="17.6640625" style="324" customWidth="1"/>
    <col min="2825" max="2826" width="15.6640625" style="324" customWidth="1"/>
    <col min="2827" max="2829" width="18.6640625" style="324" customWidth="1"/>
    <col min="2830" max="2837" width="15.88671875" style="324" customWidth="1"/>
    <col min="2838" max="3072" width="9.109375" style="324"/>
    <col min="3073" max="3073" width="26.6640625" style="324" customWidth="1"/>
    <col min="3074" max="3075" width="18.6640625" style="324" customWidth="1"/>
    <col min="3076" max="3076" width="27.6640625" style="324" customWidth="1"/>
    <col min="3077" max="3077" width="15.6640625" style="324" customWidth="1"/>
    <col min="3078" max="3079" width="12.6640625" style="324" customWidth="1"/>
    <col min="3080" max="3080" width="17.6640625" style="324" customWidth="1"/>
    <col min="3081" max="3082" width="15.6640625" style="324" customWidth="1"/>
    <col min="3083" max="3085" width="18.6640625" style="324" customWidth="1"/>
    <col min="3086" max="3093" width="15.88671875" style="324" customWidth="1"/>
    <col min="3094" max="3328" width="9.109375" style="324"/>
    <col min="3329" max="3329" width="26.6640625" style="324" customWidth="1"/>
    <col min="3330" max="3331" width="18.6640625" style="324" customWidth="1"/>
    <col min="3332" max="3332" width="27.6640625" style="324" customWidth="1"/>
    <col min="3333" max="3333" width="15.6640625" style="324" customWidth="1"/>
    <col min="3334" max="3335" width="12.6640625" style="324" customWidth="1"/>
    <col min="3336" max="3336" width="17.6640625" style="324" customWidth="1"/>
    <col min="3337" max="3338" width="15.6640625" style="324" customWidth="1"/>
    <col min="3339" max="3341" width="18.6640625" style="324" customWidth="1"/>
    <col min="3342" max="3349" width="15.88671875" style="324" customWidth="1"/>
    <col min="3350" max="3584" width="9.109375" style="324"/>
    <col min="3585" max="3585" width="26.6640625" style="324" customWidth="1"/>
    <col min="3586" max="3587" width="18.6640625" style="324" customWidth="1"/>
    <col min="3588" max="3588" width="27.6640625" style="324" customWidth="1"/>
    <col min="3589" max="3589" width="15.6640625" style="324" customWidth="1"/>
    <col min="3590" max="3591" width="12.6640625" style="324" customWidth="1"/>
    <col min="3592" max="3592" width="17.6640625" style="324" customWidth="1"/>
    <col min="3593" max="3594" width="15.6640625" style="324" customWidth="1"/>
    <col min="3595" max="3597" width="18.6640625" style="324" customWidth="1"/>
    <col min="3598" max="3605" width="15.88671875" style="324" customWidth="1"/>
    <col min="3606" max="3840" width="9.109375" style="324"/>
    <col min="3841" max="3841" width="26.6640625" style="324" customWidth="1"/>
    <col min="3842" max="3843" width="18.6640625" style="324" customWidth="1"/>
    <col min="3844" max="3844" width="27.6640625" style="324" customWidth="1"/>
    <col min="3845" max="3845" width="15.6640625" style="324" customWidth="1"/>
    <col min="3846" max="3847" width="12.6640625" style="324" customWidth="1"/>
    <col min="3848" max="3848" width="17.6640625" style="324" customWidth="1"/>
    <col min="3849" max="3850" width="15.6640625" style="324" customWidth="1"/>
    <col min="3851" max="3853" width="18.6640625" style="324" customWidth="1"/>
    <col min="3854" max="3861" width="15.88671875" style="324" customWidth="1"/>
    <col min="3862" max="4096" width="9.109375" style="324"/>
    <col min="4097" max="4097" width="26.6640625" style="324" customWidth="1"/>
    <col min="4098" max="4099" width="18.6640625" style="324" customWidth="1"/>
    <col min="4100" max="4100" width="27.6640625" style="324" customWidth="1"/>
    <col min="4101" max="4101" width="15.6640625" style="324" customWidth="1"/>
    <col min="4102" max="4103" width="12.6640625" style="324" customWidth="1"/>
    <col min="4104" max="4104" width="17.6640625" style="324" customWidth="1"/>
    <col min="4105" max="4106" width="15.6640625" style="324" customWidth="1"/>
    <col min="4107" max="4109" width="18.6640625" style="324" customWidth="1"/>
    <col min="4110" max="4117" width="15.88671875" style="324" customWidth="1"/>
    <col min="4118" max="4352" width="9.109375" style="324"/>
    <col min="4353" max="4353" width="26.6640625" style="324" customWidth="1"/>
    <col min="4354" max="4355" width="18.6640625" style="324" customWidth="1"/>
    <col min="4356" max="4356" width="27.6640625" style="324" customWidth="1"/>
    <col min="4357" max="4357" width="15.6640625" style="324" customWidth="1"/>
    <col min="4358" max="4359" width="12.6640625" style="324" customWidth="1"/>
    <col min="4360" max="4360" width="17.6640625" style="324" customWidth="1"/>
    <col min="4361" max="4362" width="15.6640625" style="324" customWidth="1"/>
    <col min="4363" max="4365" width="18.6640625" style="324" customWidth="1"/>
    <col min="4366" max="4373" width="15.88671875" style="324" customWidth="1"/>
    <col min="4374" max="4608" width="9.109375" style="324"/>
    <col min="4609" max="4609" width="26.6640625" style="324" customWidth="1"/>
    <col min="4610" max="4611" width="18.6640625" style="324" customWidth="1"/>
    <col min="4612" max="4612" width="27.6640625" style="324" customWidth="1"/>
    <col min="4613" max="4613" width="15.6640625" style="324" customWidth="1"/>
    <col min="4614" max="4615" width="12.6640625" style="324" customWidth="1"/>
    <col min="4616" max="4616" width="17.6640625" style="324" customWidth="1"/>
    <col min="4617" max="4618" width="15.6640625" style="324" customWidth="1"/>
    <col min="4619" max="4621" width="18.6640625" style="324" customWidth="1"/>
    <col min="4622" max="4629" width="15.88671875" style="324" customWidth="1"/>
    <col min="4630" max="4864" width="9.109375" style="324"/>
    <col min="4865" max="4865" width="26.6640625" style="324" customWidth="1"/>
    <col min="4866" max="4867" width="18.6640625" style="324" customWidth="1"/>
    <col min="4868" max="4868" width="27.6640625" style="324" customWidth="1"/>
    <col min="4869" max="4869" width="15.6640625" style="324" customWidth="1"/>
    <col min="4870" max="4871" width="12.6640625" style="324" customWidth="1"/>
    <col min="4872" max="4872" width="17.6640625" style="324" customWidth="1"/>
    <col min="4873" max="4874" width="15.6640625" style="324" customWidth="1"/>
    <col min="4875" max="4877" width="18.6640625" style="324" customWidth="1"/>
    <col min="4878" max="4885" width="15.88671875" style="324" customWidth="1"/>
    <col min="4886" max="5120" width="9.109375" style="324"/>
    <col min="5121" max="5121" width="26.6640625" style="324" customWidth="1"/>
    <col min="5122" max="5123" width="18.6640625" style="324" customWidth="1"/>
    <col min="5124" max="5124" width="27.6640625" style="324" customWidth="1"/>
    <col min="5125" max="5125" width="15.6640625" style="324" customWidth="1"/>
    <col min="5126" max="5127" width="12.6640625" style="324" customWidth="1"/>
    <col min="5128" max="5128" width="17.6640625" style="324" customWidth="1"/>
    <col min="5129" max="5130" width="15.6640625" style="324" customWidth="1"/>
    <col min="5131" max="5133" width="18.6640625" style="324" customWidth="1"/>
    <col min="5134" max="5141" width="15.88671875" style="324" customWidth="1"/>
    <col min="5142" max="5376" width="9.109375" style="324"/>
    <col min="5377" max="5377" width="26.6640625" style="324" customWidth="1"/>
    <col min="5378" max="5379" width="18.6640625" style="324" customWidth="1"/>
    <col min="5380" max="5380" width="27.6640625" style="324" customWidth="1"/>
    <col min="5381" max="5381" width="15.6640625" style="324" customWidth="1"/>
    <col min="5382" max="5383" width="12.6640625" style="324" customWidth="1"/>
    <col min="5384" max="5384" width="17.6640625" style="324" customWidth="1"/>
    <col min="5385" max="5386" width="15.6640625" style="324" customWidth="1"/>
    <col min="5387" max="5389" width="18.6640625" style="324" customWidth="1"/>
    <col min="5390" max="5397" width="15.88671875" style="324" customWidth="1"/>
    <col min="5398" max="5632" width="9.109375" style="324"/>
    <col min="5633" max="5633" width="26.6640625" style="324" customWidth="1"/>
    <col min="5634" max="5635" width="18.6640625" style="324" customWidth="1"/>
    <col min="5636" max="5636" width="27.6640625" style="324" customWidth="1"/>
    <col min="5637" max="5637" width="15.6640625" style="324" customWidth="1"/>
    <col min="5638" max="5639" width="12.6640625" style="324" customWidth="1"/>
    <col min="5640" max="5640" width="17.6640625" style="324" customWidth="1"/>
    <col min="5641" max="5642" width="15.6640625" style="324" customWidth="1"/>
    <col min="5643" max="5645" width="18.6640625" style="324" customWidth="1"/>
    <col min="5646" max="5653" width="15.88671875" style="324" customWidth="1"/>
    <col min="5654" max="5888" width="9.109375" style="324"/>
    <col min="5889" max="5889" width="26.6640625" style="324" customWidth="1"/>
    <col min="5890" max="5891" width="18.6640625" style="324" customWidth="1"/>
    <col min="5892" max="5892" width="27.6640625" style="324" customWidth="1"/>
    <col min="5893" max="5893" width="15.6640625" style="324" customWidth="1"/>
    <col min="5894" max="5895" width="12.6640625" style="324" customWidth="1"/>
    <col min="5896" max="5896" width="17.6640625" style="324" customWidth="1"/>
    <col min="5897" max="5898" width="15.6640625" style="324" customWidth="1"/>
    <col min="5899" max="5901" width="18.6640625" style="324" customWidth="1"/>
    <col min="5902" max="5909" width="15.88671875" style="324" customWidth="1"/>
    <col min="5910" max="6144" width="9.109375" style="324"/>
    <col min="6145" max="6145" width="26.6640625" style="324" customWidth="1"/>
    <col min="6146" max="6147" width="18.6640625" style="324" customWidth="1"/>
    <col min="6148" max="6148" width="27.6640625" style="324" customWidth="1"/>
    <col min="6149" max="6149" width="15.6640625" style="324" customWidth="1"/>
    <col min="6150" max="6151" width="12.6640625" style="324" customWidth="1"/>
    <col min="6152" max="6152" width="17.6640625" style="324" customWidth="1"/>
    <col min="6153" max="6154" width="15.6640625" style="324" customWidth="1"/>
    <col min="6155" max="6157" width="18.6640625" style="324" customWidth="1"/>
    <col min="6158" max="6165" width="15.88671875" style="324" customWidth="1"/>
    <col min="6166" max="6400" width="9.109375" style="324"/>
    <col min="6401" max="6401" width="26.6640625" style="324" customWidth="1"/>
    <col min="6402" max="6403" width="18.6640625" style="324" customWidth="1"/>
    <col min="6404" max="6404" width="27.6640625" style="324" customWidth="1"/>
    <col min="6405" max="6405" width="15.6640625" style="324" customWidth="1"/>
    <col min="6406" max="6407" width="12.6640625" style="324" customWidth="1"/>
    <col min="6408" max="6408" width="17.6640625" style="324" customWidth="1"/>
    <col min="6409" max="6410" width="15.6640625" style="324" customWidth="1"/>
    <col min="6411" max="6413" width="18.6640625" style="324" customWidth="1"/>
    <col min="6414" max="6421" width="15.88671875" style="324" customWidth="1"/>
    <col min="6422" max="6656" width="9.109375" style="324"/>
    <col min="6657" max="6657" width="26.6640625" style="324" customWidth="1"/>
    <col min="6658" max="6659" width="18.6640625" style="324" customWidth="1"/>
    <col min="6660" max="6660" width="27.6640625" style="324" customWidth="1"/>
    <col min="6661" max="6661" width="15.6640625" style="324" customWidth="1"/>
    <col min="6662" max="6663" width="12.6640625" style="324" customWidth="1"/>
    <col min="6664" max="6664" width="17.6640625" style="324" customWidth="1"/>
    <col min="6665" max="6666" width="15.6640625" style="324" customWidth="1"/>
    <col min="6667" max="6669" width="18.6640625" style="324" customWidth="1"/>
    <col min="6670" max="6677" width="15.88671875" style="324" customWidth="1"/>
    <col min="6678" max="6912" width="9.109375" style="324"/>
    <col min="6913" max="6913" width="26.6640625" style="324" customWidth="1"/>
    <col min="6914" max="6915" width="18.6640625" style="324" customWidth="1"/>
    <col min="6916" max="6916" width="27.6640625" style="324" customWidth="1"/>
    <col min="6917" max="6917" width="15.6640625" style="324" customWidth="1"/>
    <col min="6918" max="6919" width="12.6640625" style="324" customWidth="1"/>
    <col min="6920" max="6920" width="17.6640625" style="324" customWidth="1"/>
    <col min="6921" max="6922" width="15.6640625" style="324" customWidth="1"/>
    <col min="6923" max="6925" width="18.6640625" style="324" customWidth="1"/>
    <col min="6926" max="6933" width="15.88671875" style="324" customWidth="1"/>
    <col min="6934" max="7168" width="9.109375" style="324"/>
    <col min="7169" max="7169" width="26.6640625" style="324" customWidth="1"/>
    <col min="7170" max="7171" width="18.6640625" style="324" customWidth="1"/>
    <col min="7172" max="7172" width="27.6640625" style="324" customWidth="1"/>
    <col min="7173" max="7173" width="15.6640625" style="324" customWidth="1"/>
    <col min="7174" max="7175" width="12.6640625" style="324" customWidth="1"/>
    <col min="7176" max="7176" width="17.6640625" style="324" customWidth="1"/>
    <col min="7177" max="7178" width="15.6640625" style="324" customWidth="1"/>
    <col min="7179" max="7181" width="18.6640625" style="324" customWidth="1"/>
    <col min="7182" max="7189" width="15.88671875" style="324" customWidth="1"/>
    <col min="7190" max="7424" width="9.109375" style="324"/>
    <col min="7425" max="7425" width="26.6640625" style="324" customWidth="1"/>
    <col min="7426" max="7427" width="18.6640625" style="324" customWidth="1"/>
    <col min="7428" max="7428" width="27.6640625" style="324" customWidth="1"/>
    <col min="7429" max="7429" width="15.6640625" style="324" customWidth="1"/>
    <col min="7430" max="7431" width="12.6640625" style="324" customWidth="1"/>
    <col min="7432" max="7432" width="17.6640625" style="324" customWidth="1"/>
    <col min="7433" max="7434" width="15.6640625" style="324" customWidth="1"/>
    <col min="7435" max="7437" width="18.6640625" style="324" customWidth="1"/>
    <col min="7438" max="7445" width="15.88671875" style="324" customWidth="1"/>
    <col min="7446" max="7680" width="9.109375" style="324"/>
    <col min="7681" max="7681" width="26.6640625" style="324" customWidth="1"/>
    <col min="7682" max="7683" width="18.6640625" style="324" customWidth="1"/>
    <col min="7684" max="7684" width="27.6640625" style="324" customWidth="1"/>
    <col min="7685" max="7685" width="15.6640625" style="324" customWidth="1"/>
    <col min="7686" max="7687" width="12.6640625" style="324" customWidth="1"/>
    <col min="7688" max="7688" width="17.6640625" style="324" customWidth="1"/>
    <col min="7689" max="7690" width="15.6640625" style="324" customWidth="1"/>
    <col min="7691" max="7693" width="18.6640625" style="324" customWidth="1"/>
    <col min="7694" max="7701" width="15.88671875" style="324" customWidth="1"/>
    <col min="7702" max="7936" width="9.109375" style="324"/>
    <col min="7937" max="7937" width="26.6640625" style="324" customWidth="1"/>
    <col min="7938" max="7939" width="18.6640625" style="324" customWidth="1"/>
    <col min="7940" max="7940" width="27.6640625" style="324" customWidth="1"/>
    <col min="7941" max="7941" width="15.6640625" style="324" customWidth="1"/>
    <col min="7942" max="7943" width="12.6640625" style="324" customWidth="1"/>
    <col min="7944" max="7944" width="17.6640625" style="324" customWidth="1"/>
    <col min="7945" max="7946" width="15.6640625" style="324" customWidth="1"/>
    <col min="7947" max="7949" width="18.6640625" style="324" customWidth="1"/>
    <col min="7950" max="7957" width="15.88671875" style="324" customWidth="1"/>
    <col min="7958" max="8192" width="9.109375" style="324"/>
    <col min="8193" max="8193" width="26.6640625" style="324" customWidth="1"/>
    <col min="8194" max="8195" width="18.6640625" style="324" customWidth="1"/>
    <col min="8196" max="8196" width="27.6640625" style="324" customWidth="1"/>
    <col min="8197" max="8197" width="15.6640625" style="324" customWidth="1"/>
    <col min="8198" max="8199" width="12.6640625" style="324" customWidth="1"/>
    <col min="8200" max="8200" width="17.6640625" style="324" customWidth="1"/>
    <col min="8201" max="8202" width="15.6640625" style="324" customWidth="1"/>
    <col min="8203" max="8205" width="18.6640625" style="324" customWidth="1"/>
    <col min="8206" max="8213" width="15.88671875" style="324" customWidth="1"/>
    <col min="8214" max="8448" width="9.109375" style="324"/>
    <col min="8449" max="8449" width="26.6640625" style="324" customWidth="1"/>
    <col min="8450" max="8451" width="18.6640625" style="324" customWidth="1"/>
    <col min="8452" max="8452" width="27.6640625" style="324" customWidth="1"/>
    <col min="8453" max="8453" width="15.6640625" style="324" customWidth="1"/>
    <col min="8454" max="8455" width="12.6640625" style="324" customWidth="1"/>
    <col min="8456" max="8456" width="17.6640625" style="324" customWidth="1"/>
    <col min="8457" max="8458" width="15.6640625" style="324" customWidth="1"/>
    <col min="8459" max="8461" width="18.6640625" style="324" customWidth="1"/>
    <col min="8462" max="8469" width="15.88671875" style="324" customWidth="1"/>
    <col min="8470" max="8704" width="9.109375" style="324"/>
    <col min="8705" max="8705" width="26.6640625" style="324" customWidth="1"/>
    <col min="8706" max="8707" width="18.6640625" style="324" customWidth="1"/>
    <col min="8708" max="8708" width="27.6640625" style="324" customWidth="1"/>
    <col min="8709" max="8709" width="15.6640625" style="324" customWidth="1"/>
    <col min="8710" max="8711" width="12.6640625" style="324" customWidth="1"/>
    <col min="8712" max="8712" width="17.6640625" style="324" customWidth="1"/>
    <col min="8713" max="8714" width="15.6640625" style="324" customWidth="1"/>
    <col min="8715" max="8717" width="18.6640625" style="324" customWidth="1"/>
    <col min="8718" max="8725" width="15.88671875" style="324" customWidth="1"/>
    <col min="8726" max="8960" width="9.109375" style="324"/>
    <col min="8961" max="8961" width="26.6640625" style="324" customWidth="1"/>
    <col min="8962" max="8963" width="18.6640625" style="324" customWidth="1"/>
    <col min="8964" max="8964" width="27.6640625" style="324" customWidth="1"/>
    <col min="8965" max="8965" width="15.6640625" style="324" customWidth="1"/>
    <col min="8966" max="8967" width="12.6640625" style="324" customWidth="1"/>
    <col min="8968" max="8968" width="17.6640625" style="324" customWidth="1"/>
    <col min="8969" max="8970" width="15.6640625" style="324" customWidth="1"/>
    <col min="8971" max="8973" width="18.6640625" style="324" customWidth="1"/>
    <col min="8974" max="8981" width="15.88671875" style="324" customWidth="1"/>
    <col min="8982" max="9216" width="9.109375" style="324"/>
    <col min="9217" max="9217" width="26.6640625" style="324" customWidth="1"/>
    <col min="9218" max="9219" width="18.6640625" style="324" customWidth="1"/>
    <col min="9220" max="9220" width="27.6640625" style="324" customWidth="1"/>
    <col min="9221" max="9221" width="15.6640625" style="324" customWidth="1"/>
    <col min="9222" max="9223" width="12.6640625" style="324" customWidth="1"/>
    <col min="9224" max="9224" width="17.6640625" style="324" customWidth="1"/>
    <col min="9225" max="9226" width="15.6640625" style="324" customWidth="1"/>
    <col min="9227" max="9229" width="18.6640625" style="324" customWidth="1"/>
    <col min="9230" max="9237" width="15.88671875" style="324" customWidth="1"/>
    <col min="9238" max="9472" width="9.109375" style="324"/>
    <col min="9473" max="9473" width="26.6640625" style="324" customWidth="1"/>
    <col min="9474" max="9475" width="18.6640625" style="324" customWidth="1"/>
    <col min="9476" max="9476" width="27.6640625" style="324" customWidth="1"/>
    <col min="9477" max="9477" width="15.6640625" style="324" customWidth="1"/>
    <col min="9478" max="9479" width="12.6640625" style="324" customWidth="1"/>
    <col min="9480" max="9480" width="17.6640625" style="324" customWidth="1"/>
    <col min="9481" max="9482" width="15.6640625" style="324" customWidth="1"/>
    <col min="9483" max="9485" width="18.6640625" style="324" customWidth="1"/>
    <col min="9486" max="9493" width="15.88671875" style="324" customWidth="1"/>
    <col min="9494" max="9728" width="9.109375" style="324"/>
    <col min="9729" max="9729" width="26.6640625" style="324" customWidth="1"/>
    <col min="9730" max="9731" width="18.6640625" style="324" customWidth="1"/>
    <col min="9732" max="9732" width="27.6640625" style="324" customWidth="1"/>
    <col min="9733" max="9733" width="15.6640625" style="324" customWidth="1"/>
    <col min="9734" max="9735" width="12.6640625" style="324" customWidth="1"/>
    <col min="9736" max="9736" width="17.6640625" style="324" customWidth="1"/>
    <col min="9737" max="9738" width="15.6640625" style="324" customWidth="1"/>
    <col min="9739" max="9741" width="18.6640625" style="324" customWidth="1"/>
    <col min="9742" max="9749" width="15.88671875" style="324" customWidth="1"/>
    <col min="9750" max="9984" width="9.109375" style="324"/>
    <col min="9985" max="9985" width="26.6640625" style="324" customWidth="1"/>
    <col min="9986" max="9987" width="18.6640625" style="324" customWidth="1"/>
    <col min="9988" max="9988" width="27.6640625" style="324" customWidth="1"/>
    <col min="9989" max="9989" width="15.6640625" style="324" customWidth="1"/>
    <col min="9990" max="9991" width="12.6640625" style="324" customWidth="1"/>
    <col min="9992" max="9992" width="17.6640625" style="324" customWidth="1"/>
    <col min="9993" max="9994" width="15.6640625" style="324" customWidth="1"/>
    <col min="9995" max="9997" width="18.6640625" style="324" customWidth="1"/>
    <col min="9998" max="10005" width="15.88671875" style="324" customWidth="1"/>
    <col min="10006" max="10240" width="9.109375" style="324"/>
    <col min="10241" max="10241" width="26.6640625" style="324" customWidth="1"/>
    <col min="10242" max="10243" width="18.6640625" style="324" customWidth="1"/>
    <col min="10244" max="10244" width="27.6640625" style="324" customWidth="1"/>
    <col min="10245" max="10245" width="15.6640625" style="324" customWidth="1"/>
    <col min="10246" max="10247" width="12.6640625" style="324" customWidth="1"/>
    <col min="10248" max="10248" width="17.6640625" style="324" customWidth="1"/>
    <col min="10249" max="10250" width="15.6640625" style="324" customWidth="1"/>
    <col min="10251" max="10253" width="18.6640625" style="324" customWidth="1"/>
    <col min="10254" max="10261" width="15.88671875" style="324" customWidth="1"/>
    <col min="10262" max="10496" width="9.109375" style="324"/>
    <col min="10497" max="10497" width="26.6640625" style="324" customWidth="1"/>
    <col min="10498" max="10499" width="18.6640625" style="324" customWidth="1"/>
    <col min="10500" max="10500" width="27.6640625" style="324" customWidth="1"/>
    <col min="10501" max="10501" width="15.6640625" style="324" customWidth="1"/>
    <col min="10502" max="10503" width="12.6640625" style="324" customWidth="1"/>
    <col min="10504" max="10504" width="17.6640625" style="324" customWidth="1"/>
    <col min="10505" max="10506" width="15.6640625" style="324" customWidth="1"/>
    <col min="10507" max="10509" width="18.6640625" style="324" customWidth="1"/>
    <col min="10510" max="10517" width="15.88671875" style="324" customWidth="1"/>
    <col min="10518" max="10752" width="9.109375" style="324"/>
    <col min="10753" max="10753" width="26.6640625" style="324" customWidth="1"/>
    <col min="10754" max="10755" width="18.6640625" style="324" customWidth="1"/>
    <col min="10756" max="10756" width="27.6640625" style="324" customWidth="1"/>
    <col min="10757" max="10757" width="15.6640625" style="324" customWidth="1"/>
    <col min="10758" max="10759" width="12.6640625" style="324" customWidth="1"/>
    <col min="10760" max="10760" width="17.6640625" style="324" customWidth="1"/>
    <col min="10761" max="10762" width="15.6640625" style="324" customWidth="1"/>
    <col min="10763" max="10765" width="18.6640625" style="324" customWidth="1"/>
    <col min="10766" max="10773" width="15.88671875" style="324" customWidth="1"/>
    <col min="10774" max="11008" width="9.109375" style="324"/>
    <col min="11009" max="11009" width="26.6640625" style="324" customWidth="1"/>
    <col min="11010" max="11011" width="18.6640625" style="324" customWidth="1"/>
    <col min="11012" max="11012" width="27.6640625" style="324" customWidth="1"/>
    <col min="11013" max="11013" width="15.6640625" style="324" customWidth="1"/>
    <col min="11014" max="11015" width="12.6640625" style="324" customWidth="1"/>
    <col min="11016" max="11016" width="17.6640625" style="324" customWidth="1"/>
    <col min="11017" max="11018" width="15.6640625" style="324" customWidth="1"/>
    <col min="11019" max="11021" width="18.6640625" style="324" customWidth="1"/>
    <col min="11022" max="11029" width="15.88671875" style="324" customWidth="1"/>
    <col min="11030" max="11264" width="9.109375" style="324"/>
    <col min="11265" max="11265" width="26.6640625" style="324" customWidth="1"/>
    <col min="11266" max="11267" width="18.6640625" style="324" customWidth="1"/>
    <col min="11268" max="11268" width="27.6640625" style="324" customWidth="1"/>
    <col min="11269" max="11269" width="15.6640625" style="324" customWidth="1"/>
    <col min="11270" max="11271" width="12.6640625" style="324" customWidth="1"/>
    <col min="11272" max="11272" width="17.6640625" style="324" customWidth="1"/>
    <col min="11273" max="11274" width="15.6640625" style="324" customWidth="1"/>
    <col min="11275" max="11277" width="18.6640625" style="324" customWidth="1"/>
    <col min="11278" max="11285" width="15.88671875" style="324" customWidth="1"/>
    <col min="11286" max="11520" width="9.109375" style="324"/>
    <col min="11521" max="11521" width="26.6640625" style="324" customWidth="1"/>
    <col min="11522" max="11523" width="18.6640625" style="324" customWidth="1"/>
    <col min="11524" max="11524" width="27.6640625" style="324" customWidth="1"/>
    <col min="11525" max="11525" width="15.6640625" style="324" customWidth="1"/>
    <col min="11526" max="11527" width="12.6640625" style="324" customWidth="1"/>
    <col min="11528" max="11528" width="17.6640625" style="324" customWidth="1"/>
    <col min="11529" max="11530" width="15.6640625" style="324" customWidth="1"/>
    <col min="11531" max="11533" width="18.6640625" style="324" customWidth="1"/>
    <col min="11534" max="11541" width="15.88671875" style="324" customWidth="1"/>
    <col min="11542" max="11776" width="9.109375" style="324"/>
    <col min="11777" max="11777" width="26.6640625" style="324" customWidth="1"/>
    <col min="11778" max="11779" width="18.6640625" style="324" customWidth="1"/>
    <col min="11780" max="11780" width="27.6640625" style="324" customWidth="1"/>
    <col min="11781" max="11781" width="15.6640625" style="324" customWidth="1"/>
    <col min="11782" max="11783" width="12.6640625" style="324" customWidth="1"/>
    <col min="11784" max="11784" width="17.6640625" style="324" customWidth="1"/>
    <col min="11785" max="11786" width="15.6640625" style="324" customWidth="1"/>
    <col min="11787" max="11789" width="18.6640625" style="324" customWidth="1"/>
    <col min="11790" max="11797" width="15.88671875" style="324" customWidth="1"/>
    <col min="11798" max="12032" width="9.109375" style="324"/>
    <col min="12033" max="12033" width="26.6640625" style="324" customWidth="1"/>
    <col min="12034" max="12035" width="18.6640625" style="324" customWidth="1"/>
    <col min="12036" max="12036" width="27.6640625" style="324" customWidth="1"/>
    <col min="12037" max="12037" width="15.6640625" style="324" customWidth="1"/>
    <col min="12038" max="12039" width="12.6640625" style="324" customWidth="1"/>
    <col min="12040" max="12040" width="17.6640625" style="324" customWidth="1"/>
    <col min="12041" max="12042" width="15.6640625" style="324" customWidth="1"/>
    <col min="12043" max="12045" width="18.6640625" style="324" customWidth="1"/>
    <col min="12046" max="12053" width="15.88671875" style="324" customWidth="1"/>
    <col min="12054" max="12288" width="9.109375" style="324"/>
    <col min="12289" max="12289" width="26.6640625" style="324" customWidth="1"/>
    <col min="12290" max="12291" width="18.6640625" style="324" customWidth="1"/>
    <col min="12292" max="12292" width="27.6640625" style="324" customWidth="1"/>
    <col min="12293" max="12293" width="15.6640625" style="324" customWidth="1"/>
    <col min="12294" max="12295" width="12.6640625" style="324" customWidth="1"/>
    <col min="12296" max="12296" width="17.6640625" style="324" customWidth="1"/>
    <col min="12297" max="12298" width="15.6640625" style="324" customWidth="1"/>
    <col min="12299" max="12301" width="18.6640625" style="324" customWidth="1"/>
    <col min="12302" max="12309" width="15.88671875" style="324" customWidth="1"/>
    <col min="12310" max="12544" width="9.109375" style="324"/>
    <col min="12545" max="12545" width="26.6640625" style="324" customWidth="1"/>
    <col min="12546" max="12547" width="18.6640625" style="324" customWidth="1"/>
    <col min="12548" max="12548" width="27.6640625" style="324" customWidth="1"/>
    <col min="12549" max="12549" width="15.6640625" style="324" customWidth="1"/>
    <col min="12550" max="12551" width="12.6640625" style="324" customWidth="1"/>
    <col min="12552" max="12552" width="17.6640625" style="324" customWidth="1"/>
    <col min="12553" max="12554" width="15.6640625" style="324" customWidth="1"/>
    <col min="12555" max="12557" width="18.6640625" style="324" customWidth="1"/>
    <col min="12558" max="12565" width="15.88671875" style="324" customWidth="1"/>
    <col min="12566" max="12800" width="9.109375" style="324"/>
    <col min="12801" max="12801" width="26.6640625" style="324" customWidth="1"/>
    <col min="12802" max="12803" width="18.6640625" style="324" customWidth="1"/>
    <col min="12804" max="12804" width="27.6640625" style="324" customWidth="1"/>
    <col min="12805" max="12805" width="15.6640625" style="324" customWidth="1"/>
    <col min="12806" max="12807" width="12.6640625" style="324" customWidth="1"/>
    <col min="12808" max="12808" width="17.6640625" style="324" customWidth="1"/>
    <col min="12809" max="12810" width="15.6640625" style="324" customWidth="1"/>
    <col min="12811" max="12813" width="18.6640625" style="324" customWidth="1"/>
    <col min="12814" max="12821" width="15.88671875" style="324" customWidth="1"/>
    <col min="12822" max="13056" width="9.109375" style="324"/>
    <col min="13057" max="13057" width="26.6640625" style="324" customWidth="1"/>
    <col min="13058" max="13059" width="18.6640625" style="324" customWidth="1"/>
    <col min="13060" max="13060" width="27.6640625" style="324" customWidth="1"/>
    <col min="13061" max="13061" width="15.6640625" style="324" customWidth="1"/>
    <col min="13062" max="13063" width="12.6640625" style="324" customWidth="1"/>
    <col min="13064" max="13064" width="17.6640625" style="324" customWidth="1"/>
    <col min="13065" max="13066" width="15.6640625" style="324" customWidth="1"/>
    <col min="13067" max="13069" width="18.6640625" style="324" customWidth="1"/>
    <col min="13070" max="13077" width="15.88671875" style="324" customWidth="1"/>
    <col min="13078" max="13312" width="9.109375" style="324"/>
    <col min="13313" max="13313" width="26.6640625" style="324" customWidth="1"/>
    <col min="13314" max="13315" width="18.6640625" style="324" customWidth="1"/>
    <col min="13316" max="13316" width="27.6640625" style="324" customWidth="1"/>
    <col min="13317" max="13317" width="15.6640625" style="324" customWidth="1"/>
    <col min="13318" max="13319" width="12.6640625" style="324" customWidth="1"/>
    <col min="13320" max="13320" width="17.6640625" style="324" customWidth="1"/>
    <col min="13321" max="13322" width="15.6640625" style="324" customWidth="1"/>
    <col min="13323" max="13325" width="18.6640625" style="324" customWidth="1"/>
    <col min="13326" max="13333" width="15.88671875" style="324" customWidth="1"/>
    <col min="13334" max="13568" width="9.109375" style="324"/>
    <col min="13569" max="13569" width="26.6640625" style="324" customWidth="1"/>
    <col min="13570" max="13571" width="18.6640625" style="324" customWidth="1"/>
    <col min="13572" max="13572" width="27.6640625" style="324" customWidth="1"/>
    <col min="13573" max="13573" width="15.6640625" style="324" customWidth="1"/>
    <col min="13574" max="13575" width="12.6640625" style="324" customWidth="1"/>
    <col min="13576" max="13576" width="17.6640625" style="324" customWidth="1"/>
    <col min="13577" max="13578" width="15.6640625" style="324" customWidth="1"/>
    <col min="13579" max="13581" width="18.6640625" style="324" customWidth="1"/>
    <col min="13582" max="13589" width="15.88671875" style="324" customWidth="1"/>
    <col min="13590" max="13824" width="9.109375" style="324"/>
    <col min="13825" max="13825" width="26.6640625" style="324" customWidth="1"/>
    <col min="13826" max="13827" width="18.6640625" style="324" customWidth="1"/>
    <col min="13828" max="13828" width="27.6640625" style="324" customWidth="1"/>
    <col min="13829" max="13829" width="15.6640625" style="324" customWidth="1"/>
    <col min="13830" max="13831" width="12.6640625" style="324" customWidth="1"/>
    <col min="13832" max="13832" width="17.6640625" style="324" customWidth="1"/>
    <col min="13833" max="13834" width="15.6640625" style="324" customWidth="1"/>
    <col min="13835" max="13837" width="18.6640625" style="324" customWidth="1"/>
    <col min="13838" max="13845" width="15.88671875" style="324" customWidth="1"/>
    <col min="13846" max="14080" width="9.109375" style="324"/>
    <col min="14081" max="14081" width="26.6640625" style="324" customWidth="1"/>
    <col min="14082" max="14083" width="18.6640625" style="324" customWidth="1"/>
    <col min="14084" max="14084" width="27.6640625" style="324" customWidth="1"/>
    <col min="14085" max="14085" width="15.6640625" style="324" customWidth="1"/>
    <col min="14086" max="14087" width="12.6640625" style="324" customWidth="1"/>
    <col min="14088" max="14088" width="17.6640625" style="324" customWidth="1"/>
    <col min="14089" max="14090" width="15.6640625" style="324" customWidth="1"/>
    <col min="14091" max="14093" width="18.6640625" style="324" customWidth="1"/>
    <col min="14094" max="14101" width="15.88671875" style="324" customWidth="1"/>
    <col min="14102" max="14336" width="9.109375" style="324"/>
    <col min="14337" max="14337" width="26.6640625" style="324" customWidth="1"/>
    <col min="14338" max="14339" width="18.6640625" style="324" customWidth="1"/>
    <col min="14340" max="14340" width="27.6640625" style="324" customWidth="1"/>
    <col min="14341" max="14341" width="15.6640625" style="324" customWidth="1"/>
    <col min="14342" max="14343" width="12.6640625" style="324" customWidth="1"/>
    <col min="14344" max="14344" width="17.6640625" style="324" customWidth="1"/>
    <col min="14345" max="14346" width="15.6640625" style="324" customWidth="1"/>
    <col min="14347" max="14349" width="18.6640625" style="324" customWidth="1"/>
    <col min="14350" max="14357" width="15.88671875" style="324" customWidth="1"/>
    <col min="14358" max="14592" width="9.109375" style="324"/>
    <col min="14593" max="14593" width="26.6640625" style="324" customWidth="1"/>
    <col min="14594" max="14595" width="18.6640625" style="324" customWidth="1"/>
    <col min="14596" max="14596" width="27.6640625" style="324" customWidth="1"/>
    <col min="14597" max="14597" width="15.6640625" style="324" customWidth="1"/>
    <col min="14598" max="14599" width="12.6640625" style="324" customWidth="1"/>
    <col min="14600" max="14600" width="17.6640625" style="324" customWidth="1"/>
    <col min="14601" max="14602" width="15.6640625" style="324" customWidth="1"/>
    <col min="14603" max="14605" width="18.6640625" style="324" customWidth="1"/>
    <col min="14606" max="14613" width="15.88671875" style="324" customWidth="1"/>
    <col min="14614" max="14848" width="9.109375" style="324"/>
    <col min="14849" max="14849" width="26.6640625" style="324" customWidth="1"/>
    <col min="14850" max="14851" width="18.6640625" style="324" customWidth="1"/>
    <col min="14852" max="14852" width="27.6640625" style="324" customWidth="1"/>
    <col min="14853" max="14853" width="15.6640625" style="324" customWidth="1"/>
    <col min="14854" max="14855" width="12.6640625" style="324" customWidth="1"/>
    <col min="14856" max="14856" width="17.6640625" style="324" customWidth="1"/>
    <col min="14857" max="14858" width="15.6640625" style="324" customWidth="1"/>
    <col min="14859" max="14861" width="18.6640625" style="324" customWidth="1"/>
    <col min="14862" max="14869" width="15.88671875" style="324" customWidth="1"/>
    <col min="14870" max="15104" width="9.109375" style="324"/>
    <col min="15105" max="15105" width="26.6640625" style="324" customWidth="1"/>
    <col min="15106" max="15107" width="18.6640625" style="324" customWidth="1"/>
    <col min="15108" max="15108" width="27.6640625" style="324" customWidth="1"/>
    <col min="15109" max="15109" width="15.6640625" style="324" customWidth="1"/>
    <col min="15110" max="15111" width="12.6640625" style="324" customWidth="1"/>
    <col min="15112" max="15112" width="17.6640625" style="324" customWidth="1"/>
    <col min="15113" max="15114" width="15.6640625" style="324" customWidth="1"/>
    <col min="15115" max="15117" width="18.6640625" style="324" customWidth="1"/>
    <col min="15118" max="15125" width="15.88671875" style="324" customWidth="1"/>
    <col min="15126" max="15360" width="9.109375" style="324"/>
    <col min="15361" max="15361" width="26.6640625" style="324" customWidth="1"/>
    <col min="15362" max="15363" width="18.6640625" style="324" customWidth="1"/>
    <col min="15364" max="15364" width="27.6640625" style="324" customWidth="1"/>
    <col min="15365" max="15365" width="15.6640625" style="324" customWidth="1"/>
    <col min="15366" max="15367" width="12.6640625" style="324" customWidth="1"/>
    <col min="15368" max="15368" width="17.6640625" style="324" customWidth="1"/>
    <col min="15369" max="15370" width="15.6640625" style="324" customWidth="1"/>
    <col min="15371" max="15373" width="18.6640625" style="324" customWidth="1"/>
    <col min="15374" max="15381" width="15.88671875" style="324" customWidth="1"/>
    <col min="15382" max="15616" width="9.109375" style="324"/>
    <col min="15617" max="15617" width="26.6640625" style="324" customWidth="1"/>
    <col min="15618" max="15619" width="18.6640625" style="324" customWidth="1"/>
    <col min="15620" max="15620" width="27.6640625" style="324" customWidth="1"/>
    <col min="15621" max="15621" width="15.6640625" style="324" customWidth="1"/>
    <col min="15622" max="15623" width="12.6640625" style="324" customWidth="1"/>
    <col min="15624" max="15624" width="17.6640625" style="324" customWidth="1"/>
    <col min="15625" max="15626" width="15.6640625" style="324" customWidth="1"/>
    <col min="15627" max="15629" width="18.6640625" style="324" customWidth="1"/>
    <col min="15630" max="15637" width="15.88671875" style="324" customWidth="1"/>
    <col min="15638" max="15872" width="9.109375" style="324"/>
    <col min="15873" max="15873" width="26.6640625" style="324" customWidth="1"/>
    <col min="15874" max="15875" width="18.6640625" style="324" customWidth="1"/>
    <col min="15876" max="15876" width="27.6640625" style="324" customWidth="1"/>
    <col min="15877" max="15877" width="15.6640625" style="324" customWidth="1"/>
    <col min="15878" max="15879" width="12.6640625" style="324" customWidth="1"/>
    <col min="15880" max="15880" width="17.6640625" style="324" customWidth="1"/>
    <col min="15881" max="15882" width="15.6640625" style="324" customWidth="1"/>
    <col min="15883" max="15885" width="18.6640625" style="324" customWidth="1"/>
    <col min="15886" max="15893" width="15.88671875" style="324" customWidth="1"/>
    <col min="15894" max="16128" width="9.109375" style="324"/>
    <col min="16129" max="16129" width="26.6640625" style="324" customWidth="1"/>
    <col min="16130" max="16131" width="18.6640625" style="324" customWidth="1"/>
    <col min="16132" max="16132" width="27.6640625" style="324" customWidth="1"/>
    <col min="16133" max="16133" width="15.6640625" style="324" customWidth="1"/>
    <col min="16134" max="16135" width="12.6640625" style="324" customWidth="1"/>
    <col min="16136" max="16136" width="17.6640625" style="324" customWidth="1"/>
    <col min="16137" max="16138" width="15.6640625" style="324" customWidth="1"/>
    <col min="16139" max="16141" width="18.6640625" style="324" customWidth="1"/>
    <col min="16142" max="16149" width="15.88671875" style="324" customWidth="1"/>
    <col min="16150" max="16384" width="9.109375" style="324"/>
  </cols>
  <sheetData>
    <row r="1" spans="1:21" ht="17.399999999999999" x14ac:dyDescent="0.3">
      <c r="A1" s="508" t="s">
        <v>18</v>
      </c>
      <c r="B1" s="509"/>
      <c r="C1" s="509"/>
      <c r="D1" s="509"/>
      <c r="E1" s="509"/>
      <c r="F1" s="509"/>
      <c r="G1" s="509"/>
      <c r="H1" s="509"/>
      <c r="I1" s="509"/>
      <c r="J1" s="510"/>
      <c r="K1" s="508" t="s">
        <v>18</v>
      </c>
      <c r="L1" s="509"/>
      <c r="M1" s="509"/>
      <c r="N1" s="509"/>
      <c r="O1" s="509"/>
      <c r="P1" s="509"/>
      <c r="Q1" s="509"/>
      <c r="R1" s="509"/>
      <c r="S1" s="509"/>
      <c r="T1" s="509"/>
      <c r="U1" s="510"/>
    </row>
    <row r="2" spans="1:21" ht="17.399999999999999" x14ac:dyDescent="0.3">
      <c r="A2" s="511" t="s">
        <v>253</v>
      </c>
      <c r="B2" s="512"/>
      <c r="C2" s="512"/>
      <c r="D2" s="512"/>
      <c r="E2" s="512"/>
      <c r="F2" s="512"/>
      <c r="G2" s="512"/>
      <c r="H2" s="512"/>
      <c r="I2" s="512"/>
      <c r="J2" s="513"/>
      <c r="K2" s="511" t="s">
        <v>254</v>
      </c>
      <c r="L2" s="512"/>
      <c r="M2" s="512"/>
      <c r="N2" s="512"/>
      <c r="O2" s="512"/>
      <c r="P2" s="512"/>
      <c r="Q2" s="512"/>
      <c r="R2" s="512"/>
      <c r="S2" s="512"/>
      <c r="T2" s="512"/>
      <c r="U2" s="513"/>
    </row>
    <row r="3" spans="1:21" x14ac:dyDescent="0.3">
      <c r="A3" s="325"/>
      <c r="B3" s="326"/>
      <c r="C3" s="327"/>
      <c r="D3" s="514" t="s">
        <v>255</v>
      </c>
      <c r="E3" s="514"/>
      <c r="F3" s="514"/>
      <c r="G3" s="327"/>
      <c r="H3" s="326"/>
      <c r="I3" s="326"/>
      <c r="J3" s="328"/>
      <c r="K3" s="325"/>
      <c r="L3" s="326"/>
      <c r="M3" s="327"/>
      <c r="N3" s="514" t="s">
        <v>255</v>
      </c>
      <c r="O3" s="514"/>
      <c r="P3" s="514"/>
      <c r="Q3" s="514"/>
      <c r="R3" s="327"/>
      <c r="S3" s="327"/>
      <c r="T3" s="326"/>
      <c r="U3" s="328"/>
    </row>
    <row r="4" spans="1:21" x14ac:dyDescent="0.3">
      <c r="A4" s="329"/>
      <c r="B4" s="330"/>
      <c r="C4" s="330"/>
      <c r="D4" s="330"/>
      <c r="E4" s="330"/>
      <c r="F4" s="488" t="s">
        <v>154</v>
      </c>
      <c r="G4" s="488"/>
      <c r="H4" s="488"/>
      <c r="I4" s="488"/>
      <c r="J4" s="489"/>
      <c r="K4" s="331"/>
      <c r="L4" s="332"/>
      <c r="M4" s="332"/>
      <c r="N4" s="332"/>
      <c r="O4" s="332"/>
      <c r="P4" s="332"/>
      <c r="Q4" s="332"/>
      <c r="R4" s="332"/>
      <c r="S4" s="332"/>
      <c r="T4" s="332"/>
      <c r="U4" s="333"/>
    </row>
    <row r="5" spans="1:21" ht="15" customHeight="1" x14ac:dyDescent="0.3">
      <c r="A5" s="334" t="s">
        <v>67</v>
      </c>
      <c r="B5" s="490" t="s">
        <v>65</v>
      </c>
      <c r="C5" s="491"/>
      <c r="D5" s="335" t="s">
        <v>68</v>
      </c>
      <c r="E5" s="336"/>
      <c r="F5" s="335" t="s">
        <v>69</v>
      </c>
      <c r="G5" s="337"/>
      <c r="H5" s="338" t="s">
        <v>70</v>
      </c>
      <c r="I5" s="339" t="s">
        <v>154</v>
      </c>
      <c r="J5" s="339"/>
      <c r="K5" s="334" t="s">
        <v>67</v>
      </c>
      <c r="L5" s="492" t="s">
        <v>65</v>
      </c>
      <c r="M5" s="493"/>
      <c r="N5" s="335" t="s">
        <v>71</v>
      </c>
      <c r="O5" s="337"/>
      <c r="P5" s="494" t="s">
        <v>256</v>
      </c>
      <c r="Q5" s="495"/>
      <c r="R5" s="495"/>
      <c r="S5" s="495"/>
      <c r="T5" s="495"/>
      <c r="U5" s="496"/>
    </row>
    <row r="6" spans="1:21" x14ac:dyDescent="0.3">
      <c r="A6" s="340" t="s">
        <v>72</v>
      </c>
      <c r="B6" s="503" t="s">
        <v>73</v>
      </c>
      <c r="C6" s="504"/>
      <c r="D6" s="341" t="s">
        <v>74</v>
      </c>
      <c r="E6" s="342">
        <v>0.98450099999999996</v>
      </c>
      <c r="F6" s="343" t="s">
        <v>222</v>
      </c>
      <c r="G6" s="344"/>
      <c r="H6" s="345">
        <v>71.066961739409692</v>
      </c>
      <c r="I6" s="346" t="s">
        <v>154</v>
      </c>
      <c r="J6" s="347"/>
      <c r="K6" s="340" t="s">
        <v>72</v>
      </c>
      <c r="L6" s="505" t="s">
        <v>73</v>
      </c>
      <c r="M6" s="474"/>
      <c r="N6" s="348">
        <v>54565.005498276318</v>
      </c>
      <c r="O6" s="349"/>
      <c r="P6" s="497"/>
      <c r="Q6" s="498"/>
      <c r="R6" s="498"/>
      <c r="S6" s="498"/>
      <c r="T6" s="498"/>
      <c r="U6" s="499"/>
    </row>
    <row r="7" spans="1:21" x14ac:dyDescent="0.3">
      <c r="A7" s="340" t="s">
        <v>77</v>
      </c>
      <c r="B7" s="473" t="s">
        <v>78</v>
      </c>
      <c r="C7" s="474"/>
      <c r="D7" s="350" t="s">
        <v>79</v>
      </c>
      <c r="E7" s="351">
        <v>1056.691</v>
      </c>
      <c r="F7" s="343" t="s">
        <v>223</v>
      </c>
      <c r="G7" s="344"/>
      <c r="H7" s="352">
        <v>59.557917950591019</v>
      </c>
      <c r="I7" s="353" t="s">
        <v>154</v>
      </c>
      <c r="J7" s="354"/>
      <c r="K7" s="355" t="s">
        <v>77</v>
      </c>
      <c r="L7" s="506" t="s">
        <v>78</v>
      </c>
      <c r="M7" s="507"/>
      <c r="N7" s="335"/>
      <c r="O7" s="337"/>
      <c r="P7" s="500"/>
      <c r="Q7" s="501"/>
      <c r="R7" s="501"/>
      <c r="S7" s="501"/>
      <c r="T7" s="501"/>
      <c r="U7" s="502"/>
    </row>
    <row r="8" spans="1:21" ht="15.6" x14ac:dyDescent="0.3">
      <c r="A8" s="340" t="s">
        <v>81</v>
      </c>
      <c r="B8" s="468" t="s">
        <v>224</v>
      </c>
      <c r="C8" s="469"/>
      <c r="D8" s="350" t="s">
        <v>82</v>
      </c>
      <c r="E8" s="351">
        <v>2071.11436</v>
      </c>
      <c r="F8" s="343"/>
      <c r="G8" s="344"/>
      <c r="H8" s="339" t="s">
        <v>83</v>
      </c>
      <c r="I8" s="356" t="s">
        <v>154</v>
      </c>
      <c r="J8" s="339" t="s">
        <v>85</v>
      </c>
      <c r="K8" s="357"/>
      <c r="L8" s="358"/>
      <c r="M8" s="358"/>
      <c r="N8" s="358"/>
      <c r="O8" s="358"/>
      <c r="P8" s="358"/>
      <c r="Q8" s="358"/>
      <c r="R8" s="358"/>
      <c r="S8" s="358"/>
      <c r="T8" s="358"/>
      <c r="U8" s="359"/>
    </row>
    <row r="9" spans="1:21" ht="15.6" x14ac:dyDescent="0.3">
      <c r="A9" s="340" t="s">
        <v>86</v>
      </c>
      <c r="B9" s="468" t="s">
        <v>76</v>
      </c>
      <c r="C9" s="469"/>
      <c r="D9" s="350" t="s">
        <v>87</v>
      </c>
      <c r="E9" s="360">
        <v>54565.005498276318</v>
      </c>
      <c r="F9" s="343" t="s">
        <v>88</v>
      </c>
      <c r="G9" s="344"/>
      <c r="H9" s="352">
        <v>60.4</v>
      </c>
      <c r="I9" s="361">
        <v>37644</v>
      </c>
      <c r="J9" s="362">
        <v>45037</v>
      </c>
      <c r="K9" s="470" t="s">
        <v>89</v>
      </c>
      <c r="L9" s="471"/>
      <c r="M9" s="471"/>
      <c r="N9" s="471"/>
      <c r="O9" s="471"/>
      <c r="P9" s="471"/>
      <c r="Q9" s="471"/>
      <c r="R9" s="471"/>
      <c r="S9" s="471"/>
      <c r="T9" s="471"/>
      <c r="U9" s="472"/>
    </row>
    <row r="10" spans="1:21" x14ac:dyDescent="0.3">
      <c r="A10" s="340" t="s">
        <v>90</v>
      </c>
      <c r="B10" s="473" t="s">
        <v>91</v>
      </c>
      <c r="C10" s="474"/>
      <c r="D10" s="350" t="s">
        <v>92</v>
      </c>
      <c r="E10" s="351">
        <v>0</v>
      </c>
      <c r="F10" s="363" t="s">
        <v>93</v>
      </c>
      <c r="G10" s="364"/>
      <c r="H10" s="365">
        <v>54.8</v>
      </c>
      <c r="I10" s="366">
        <v>42011</v>
      </c>
      <c r="J10" s="367">
        <v>39370</v>
      </c>
      <c r="K10" s="368"/>
      <c r="L10" s="369" t="s">
        <v>94</v>
      </c>
      <c r="M10" s="370"/>
      <c r="N10" s="369" t="s">
        <v>95</v>
      </c>
      <c r="O10" s="370"/>
      <c r="P10" s="369" t="s">
        <v>96</v>
      </c>
      <c r="Q10" s="370"/>
      <c r="R10" s="369" t="s">
        <v>97</v>
      </c>
      <c r="S10" s="370"/>
      <c r="T10" s="369" t="s">
        <v>98</v>
      </c>
      <c r="U10" s="371"/>
    </row>
    <row r="11" spans="1:21" ht="15" customHeight="1" x14ac:dyDescent="0.3">
      <c r="A11" s="475" t="s">
        <v>257</v>
      </c>
      <c r="B11" s="476"/>
      <c r="C11" s="477"/>
      <c r="D11" s="372" t="s">
        <v>99</v>
      </c>
      <c r="E11" s="373">
        <v>54565.005498276318</v>
      </c>
      <c r="F11" s="335" t="s">
        <v>100</v>
      </c>
      <c r="G11" s="337"/>
      <c r="H11" s="338" t="s">
        <v>101</v>
      </c>
      <c r="I11" s="339" t="s">
        <v>102</v>
      </c>
      <c r="J11" s="339" t="s">
        <v>103</v>
      </c>
      <c r="K11" s="374" t="s">
        <v>104</v>
      </c>
      <c r="L11" s="338" t="s">
        <v>105</v>
      </c>
      <c r="M11" s="338" t="s">
        <v>37</v>
      </c>
      <c r="N11" s="338" t="s">
        <v>105</v>
      </c>
      <c r="O11" s="338" t="s">
        <v>37</v>
      </c>
      <c r="P11" s="338" t="s">
        <v>105</v>
      </c>
      <c r="Q11" s="338" t="s">
        <v>37</v>
      </c>
      <c r="R11" s="338" t="s">
        <v>105</v>
      </c>
      <c r="S11" s="338" t="s">
        <v>37</v>
      </c>
      <c r="T11" s="338" t="s">
        <v>105</v>
      </c>
      <c r="U11" s="338" t="s">
        <v>37</v>
      </c>
    </row>
    <row r="12" spans="1:21" x14ac:dyDescent="0.3">
      <c r="A12" s="478"/>
      <c r="B12" s="479"/>
      <c r="C12" s="480"/>
      <c r="D12" s="336" t="s">
        <v>106</v>
      </c>
      <c r="E12" s="375"/>
      <c r="F12" s="334" t="s">
        <v>107</v>
      </c>
      <c r="G12" s="334"/>
      <c r="H12" s="376">
        <v>3120475.6898188773</v>
      </c>
      <c r="I12" s="376">
        <v>317100.46694140695</v>
      </c>
      <c r="J12" s="376">
        <v>3437576.1567602842</v>
      </c>
      <c r="K12" s="340" t="s">
        <v>40</v>
      </c>
      <c r="L12" s="377">
        <v>941.99999999999955</v>
      </c>
      <c r="M12" s="378">
        <v>677656.40740976064</v>
      </c>
      <c r="N12" s="377">
        <v>1036.2000000000003</v>
      </c>
      <c r="O12" s="378">
        <v>738626.99391998188</v>
      </c>
      <c r="P12" s="377">
        <v>1130.4000000000001</v>
      </c>
      <c r="Q12" s="378">
        <v>799597.580430203</v>
      </c>
      <c r="R12" s="377">
        <v>847.79999999999973</v>
      </c>
      <c r="S12" s="378">
        <v>616685.82089953951</v>
      </c>
      <c r="T12" s="377">
        <v>753.60000000000014</v>
      </c>
      <c r="U12" s="378">
        <v>555715.23438931815</v>
      </c>
    </row>
    <row r="13" spans="1:21" x14ac:dyDescent="0.3">
      <c r="A13" s="478"/>
      <c r="B13" s="479"/>
      <c r="C13" s="480"/>
      <c r="D13" s="379" t="s">
        <v>108</v>
      </c>
      <c r="E13" s="378">
        <v>54300</v>
      </c>
      <c r="F13" s="344" t="s">
        <v>109</v>
      </c>
      <c r="G13" s="340"/>
      <c r="H13" s="380">
        <v>2454639.121435334</v>
      </c>
      <c r="I13" s="380">
        <v>183587.35239544211</v>
      </c>
      <c r="J13" s="380">
        <v>2638226.4738307763</v>
      </c>
      <c r="K13" s="340" t="s">
        <v>41</v>
      </c>
      <c r="L13" s="360">
        <v>723.00000000000023</v>
      </c>
      <c r="M13" s="351">
        <v>525246.20276214927</v>
      </c>
      <c r="N13" s="360">
        <v>795.30000000000064</v>
      </c>
      <c r="O13" s="351">
        <v>572316.69229529193</v>
      </c>
      <c r="P13" s="360">
        <v>867.60000000000048</v>
      </c>
      <c r="Q13" s="351">
        <v>619387.18182843435</v>
      </c>
      <c r="R13" s="360">
        <v>650.70000000000016</v>
      </c>
      <c r="S13" s="351">
        <v>478175.71322900668</v>
      </c>
      <c r="T13" s="360">
        <v>578.40000000000043</v>
      </c>
      <c r="U13" s="351">
        <v>431105.22369586403</v>
      </c>
    </row>
    <row r="14" spans="1:21" ht="15" customHeight="1" x14ac:dyDescent="0.3">
      <c r="A14" s="478"/>
      <c r="B14" s="479"/>
      <c r="C14" s="480"/>
      <c r="D14" s="381" t="s">
        <v>110</v>
      </c>
      <c r="E14" s="351">
        <v>-265</v>
      </c>
      <c r="F14" s="484" t="s">
        <v>258</v>
      </c>
      <c r="G14" s="476"/>
      <c r="H14" s="476"/>
      <c r="I14" s="476"/>
      <c r="J14" s="477"/>
      <c r="K14" s="340" t="s">
        <v>42</v>
      </c>
      <c r="L14" s="360">
        <v>523</v>
      </c>
      <c r="M14" s="351">
        <v>373411.26062700123</v>
      </c>
      <c r="N14" s="360">
        <v>575.29999999999995</v>
      </c>
      <c r="O14" s="351">
        <v>407637.73143815057</v>
      </c>
      <c r="P14" s="360">
        <v>627.59999999999991</v>
      </c>
      <c r="Q14" s="351">
        <v>441864.20224930008</v>
      </c>
      <c r="R14" s="360">
        <v>470.7</v>
      </c>
      <c r="S14" s="351">
        <v>339184.78981585166</v>
      </c>
      <c r="T14" s="360">
        <v>418.4</v>
      </c>
      <c r="U14" s="351">
        <v>304958.31900470209</v>
      </c>
    </row>
    <row r="15" spans="1:21" x14ac:dyDescent="0.3">
      <c r="A15" s="478"/>
      <c r="B15" s="479"/>
      <c r="C15" s="480"/>
      <c r="D15" s="381" t="s">
        <v>111</v>
      </c>
      <c r="E15" s="382">
        <v>-4.8565925647780098E-3</v>
      </c>
      <c r="F15" s="478"/>
      <c r="G15" s="479"/>
      <c r="H15" s="479"/>
      <c r="I15" s="479"/>
      <c r="J15" s="480"/>
      <c r="K15" s="340" t="s">
        <v>112</v>
      </c>
      <c r="L15" s="360">
        <v>244.99999999999997</v>
      </c>
      <c r="M15" s="351">
        <v>188344.86219724576</v>
      </c>
      <c r="N15" s="360">
        <v>269.5</v>
      </c>
      <c r="O15" s="351">
        <v>205613.84626528868</v>
      </c>
      <c r="P15" s="360">
        <v>293.99999999999989</v>
      </c>
      <c r="Q15" s="351">
        <v>222882.83033333183</v>
      </c>
      <c r="R15" s="360">
        <v>220.50000000000011</v>
      </c>
      <c r="S15" s="351">
        <v>171075.8781292027</v>
      </c>
      <c r="T15" s="360">
        <v>196</v>
      </c>
      <c r="U15" s="351">
        <v>153806.89406115966</v>
      </c>
    </row>
    <row r="16" spans="1:21" x14ac:dyDescent="0.3">
      <c r="A16" s="481"/>
      <c r="B16" s="482"/>
      <c r="C16" s="483"/>
      <c r="D16" s="383"/>
      <c r="E16" s="384"/>
      <c r="F16" s="481"/>
      <c r="G16" s="482"/>
      <c r="H16" s="482"/>
      <c r="I16" s="482"/>
      <c r="J16" s="483"/>
      <c r="K16" s="340" t="s">
        <v>113</v>
      </c>
      <c r="L16" s="360">
        <v>63.999999999999972</v>
      </c>
      <c r="M16" s="351">
        <v>86528.857797400982</v>
      </c>
      <c r="N16" s="360">
        <v>70.399999999999977</v>
      </c>
      <c r="O16" s="351">
        <v>91150.25783812585</v>
      </c>
      <c r="P16" s="360">
        <v>76.800000000000054</v>
      </c>
      <c r="Q16" s="351">
        <v>95771.657878850732</v>
      </c>
      <c r="R16" s="360">
        <v>57.599999999999987</v>
      </c>
      <c r="S16" s="351">
        <v>81907.457756676129</v>
      </c>
      <c r="T16" s="360">
        <v>51.200000000000031</v>
      </c>
      <c r="U16" s="351">
        <v>77286.057715951261</v>
      </c>
    </row>
    <row r="17" spans="1:21" x14ac:dyDescent="0.3">
      <c r="A17" s="385"/>
      <c r="B17" s="386"/>
      <c r="C17" s="386"/>
      <c r="D17" s="386"/>
      <c r="E17" s="387"/>
      <c r="F17" s="388"/>
      <c r="G17" s="386"/>
      <c r="H17" s="386"/>
      <c r="I17" s="386"/>
      <c r="J17" s="389"/>
      <c r="K17" s="340" t="s">
        <v>114</v>
      </c>
      <c r="L17" s="360">
        <v>3.9999999999999987</v>
      </c>
      <c r="M17" s="351">
        <v>59993.695017603161</v>
      </c>
      <c r="N17" s="360">
        <v>4.3999999999999959</v>
      </c>
      <c r="O17" s="351">
        <v>60316.341316604579</v>
      </c>
      <c r="P17" s="360">
        <v>4.8000000000000016</v>
      </c>
      <c r="Q17" s="351">
        <v>60638.98761560602</v>
      </c>
      <c r="R17" s="360">
        <v>3.6</v>
      </c>
      <c r="S17" s="351">
        <v>59671.048718601734</v>
      </c>
      <c r="T17" s="360">
        <v>3.199999999999998</v>
      </c>
      <c r="U17" s="351">
        <v>59348.402419600301</v>
      </c>
    </row>
    <row r="18" spans="1:21" ht="15.6" x14ac:dyDescent="0.3">
      <c r="A18" s="485" t="s">
        <v>115</v>
      </c>
      <c r="B18" s="486"/>
      <c r="C18" s="486"/>
      <c r="D18" s="486"/>
      <c r="E18" s="486"/>
      <c r="F18" s="486"/>
      <c r="G18" s="486"/>
      <c r="H18" s="486"/>
      <c r="I18" s="486"/>
      <c r="J18" s="487"/>
      <c r="K18" s="340" t="s">
        <v>116</v>
      </c>
      <c r="L18" s="360">
        <v>0</v>
      </c>
      <c r="M18" s="351">
        <v>56009.432451755994</v>
      </c>
      <c r="N18" s="360">
        <v>0</v>
      </c>
      <c r="O18" s="351">
        <v>56016.656445954512</v>
      </c>
      <c r="P18" s="360">
        <v>0</v>
      </c>
      <c r="Q18" s="351">
        <v>56023.880440152992</v>
      </c>
      <c r="R18" s="360">
        <v>0</v>
      </c>
      <c r="S18" s="351">
        <v>56002.208457557506</v>
      </c>
      <c r="T18" s="360">
        <v>0</v>
      </c>
      <c r="U18" s="351">
        <v>55994.984463359026</v>
      </c>
    </row>
    <row r="19" spans="1:21" x14ac:dyDescent="0.3">
      <c r="A19" s="339" t="s">
        <v>117</v>
      </c>
      <c r="B19" s="462" t="s">
        <v>118</v>
      </c>
      <c r="C19" s="463"/>
      <c r="D19" s="464"/>
      <c r="E19" s="339" t="s">
        <v>119</v>
      </c>
      <c r="F19" s="462" t="s">
        <v>120</v>
      </c>
      <c r="G19" s="465"/>
      <c r="H19" s="466"/>
      <c r="I19" s="466"/>
      <c r="J19" s="467"/>
      <c r="K19" s="340" t="s">
        <v>121</v>
      </c>
      <c r="L19" s="360">
        <v>0.99999999999999922</v>
      </c>
      <c r="M19" s="351">
        <v>57775.601268436782</v>
      </c>
      <c r="N19" s="360">
        <v>1.1000000000000001</v>
      </c>
      <c r="O19" s="351">
        <v>57842.925141911655</v>
      </c>
      <c r="P19" s="360">
        <v>1.1999999999999988</v>
      </c>
      <c r="Q19" s="351">
        <v>57910.249015386551</v>
      </c>
      <c r="R19" s="360">
        <v>0.8999999999999998</v>
      </c>
      <c r="S19" s="351">
        <v>57708.2773949619</v>
      </c>
      <c r="T19" s="360">
        <v>0.79999999999999949</v>
      </c>
      <c r="U19" s="351">
        <v>57640.953521487027</v>
      </c>
    </row>
    <row r="20" spans="1:21" x14ac:dyDescent="0.3">
      <c r="A20" s="390" t="s">
        <v>122</v>
      </c>
      <c r="B20" s="391" t="s">
        <v>123</v>
      </c>
      <c r="C20" s="392"/>
      <c r="D20" s="393"/>
      <c r="E20" s="351">
        <v>6000</v>
      </c>
      <c r="F20" s="394" t="s">
        <v>259</v>
      </c>
      <c r="G20" s="394"/>
      <c r="H20" s="394"/>
      <c r="I20" s="394"/>
      <c r="J20" s="395"/>
      <c r="K20" s="340" t="s">
        <v>124</v>
      </c>
      <c r="L20" s="360">
        <v>38</v>
      </c>
      <c r="M20" s="351">
        <v>72167.132740721441</v>
      </c>
      <c r="N20" s="360">
        <v>41.79999999999999</v>
      </c>
      <c r="O20" s="351">
        <v>74601.14979330491</v>
      </c>
      <c r="P20" s="360">
        <v>45.6</v>
      </c>
      <c r="Q20" s="351">
        <v>77035.16684588838</v>
      </c>
      <c r="R20" s="360">
        <v>34.200000000000003</v>
      </c>
      <c r="S20" s="351">
        <v>69733.115688137943</v>
      </c>
      <c r="T20" s="360">
        <v>30.399999999999991</v>
      </c>
      <c r="U20" s="351">
        <v>67299.098635554488</v>
      </c>
    </row>
    <row r="21" spans="1:21" x14ac:dyDescent="0.3">
      <c r="A21" s="396" t="s">
        <v>125</v>
      </c>
      <c r="B21" s="397" t="s">
        <v>156</v>
      </c>
      <c r="C21" s="394"/>
      <c r="D21" s="398"/>
      <c r="E21" s="351">
        <v>44500</v>
      </c>
      <c r="F21" s="394" t="s">
        <v>213</v>
      </c>
      <c r="G21" s="394"/>
      <c r="H21" s="394"/>
      <c r="I21" s="394"/>
      <c r="J21" s="395"/>
      <c r="K21" s="340" t="s">
        <v>126</v>
      </c>
      <c r="L21" s="360">
        <v>228</v>
      </c>
      <c r="M21" s="351">
        <v>145016.98691037917</v>
      </c>
      <c r="N21" s="360">
        <v>250.80000000000004</v>
      </c>
      <c r="O21" s="351">
        <v>160377.38038418704</v>
      </c>
      <c r="P21" s="360">
        <v>273.60000000000002</v>
      </c>
      <c r="Q21" s="351">
        <v>175737.77385799482</v>
      </c>
      <c r="R21" s="360">
        <v>205.2</v>
      </c>
      <c r="S21" s="351">
        <v>129656.59343657135</v>
      </c>
      <c r="T21" s="360">
        <v>182.40000000000003</v>
      </c>
      <c r="U21" s="351">
        <v>114296.19996276357</v>
      </c>
    </row>
    <row r="22" spans="1:21" x14ac:dyDescent="0.3">
      <c r="A22" s="399" t="s">
        <v>125</v>
      </c>
      <c r="B22" s="400" t="s">
        <v>225</v>
      </c>
      <c r="C22" s="401"/>
      <c r="D22" s="402"/>
      <c r="E22" s="403">
        <v>3800</v>
      </c>
      <c r="F22" s="401" t="s">
        <v>260</v>
      </c>
      <c r="G22" s="401"/>
      <c r="H22" s="401"/>
      <c r="I22" s="401"/>
      <c r="J22" s="404"/>
      <c r="K22" s="340" t="s">
        <v>38</v>
      </c>
      <c r="L22" s="360">
        <v>510</v>
      </c>
      <c r="M22" s="351">
        <v>311354.73567925044</v>
      </c>
      <c r="N22" s="360">
        <v>560.99999999999989</v>
      </c>
      <c r="O22" s="351">
        <v>343937.25637912314</v>
      </c>
      <c r="P22" s="360">
        <v>612</v>
      </c>
      <c r="Q22" s="351">
        <v>376519.77707899583</v>
      </c>
      <c r="R22" s="360">
        <v>459</v>
      </c>
      <c r="S22" s="351">
        <v>278772.21497937775</v>
      </c>
      <c r="T22" s="360">
        <v>408</v>
      </c>
      <c r="U22" s="351">
        <v>246189.69427950506</v>
      </c>
    </row>
    <row r="23" spans="1:21" x14ac:dyDescent="0.3">
      <c r="A23" s="405"/>
      <c r="B23" s="406"/>
      <c r="C23" s="407"/>
      <c r="D23" s="408"/>
      <c r="E23" s="351"/>
      <c r="F23" s="394"/>
      <c r="G23" s="394"/>
      <c r="H23" s="394"/>
      <c r="I23" s="394"/>
      <c r="J23" s="395"/>
      <c r="K23" s="340" t="s">
        <v>39</v>
      </c>
      <c r="L23" s="360">
        <v>854</v>
      </c>
      <c r="M23" s="351">
        <v>566970.51495717233</v>
      </c>
      <c r="N23" s="360">
        <v>939.39999999999986</v>
      </c>
      <c r="O23" s="351">
        <v>621923.87311020296</v>
      </c>
      <c r="P23" s="360">
        <v>1024.7999999999997</v>
      </c>
      <c r="Q23" s="351">
        <v>676877.2312632337</v>
      </c>
      <c r="R23" s="360">
        <v>768.60000000000014</v>
      </c>
      <c r="S23" s="351">
        <v>512017.15680414141</v>
      </c>
      <c r="T23" s="360">
        <v>683.19999999999993</v>
      </c>
      <c r="U23" s="351">
        <v>457063.79865111085</v>
      </c>
    </row>
    <row r="24" spans="1:21" x14ac:dyDescent="0.3">
      <c r="A24" s="405"/>
      <c r="B24" s="406"/>
      <c r="C24" s="407"/>
      <c r="D24" s="408"/>
      <c r="E24" s="351"/>
      <c r="F24" s="394"/>
      <c r="G24" s="394"/>
      <c r="H24" s="394"/>
      <c r="I24" s="394"/>
      <c r="J24" s="395"/>
      <c r="K24" s="409" t="s">
        <v>127</v>
      </c>
      <c r="L24" s="410">
        <v>4132</v>
      </c>
      <c r="M24" s="410">
        <v>3120475.6898188773</v>
      </c>
      <c r="N24" s="410">
        <v>4545.2000000000016</v>
      </c>
      <c r="O24" s="410">
        <v>3390361.104328128</v>
      </c>
      <c r="P24" s="410">
        <v>4958.3999999999996</v>
      </c>
      <c r="Q24" s="410">
        <v>3660246.5188373788</v>
      </c>
      <c r="R24" s="410">
        <v>3718.8</v>
      </c>
      <c r="S24" s="410">
        <v>2850590.2753096265</v>
      </c>
      <c r="T24" s="410">
        <v>3305.6000000000004</v>
      </c>
      <c r="U24" s="410">
        <v>2580704.8608003757</v>
      </c>
    </row>
    <row r="25" spans="1:21" x14ac:dyDescent="0.3">
      <c r="A25" s="405"/>
      <c r="B25" s="406"/>
      <c r="C25" s="407"/>
      <c r="D25" s="408"/>
      <c r="E25" s="351"/>
      <c r="F25" s="394"/>
      <c r="G25" s="394"/>
      <c r="H25" s="394"/>
      <c r="I25" s="394"/>
      <c r="J25" s="395"/>
      <c r="K25" s="409" t="s">
        <v>128</v>
      </c>
      <c r="L25" s="410">
        <v>3552</v>
      </c>
      <c r="M25" s="410">
        <v>2454639.121435334</v>
      </c>
      <c r="N25" s="410">
        <v>3907.2000000000007</v>
      </c>
      <c r="O25" s="410">
        <v>2684442.5471427506</v>
      </c>
      <c r="P25" s="410">
        <v>4262.3999999999996</v>
      </c>
      <c r="Q25" s="410">
        <v>2914245.9728501672</v>
      </c>
      <c r="R25" s="410">
        <v>3196.8</v>
      </c>
      <c r="S25" s="410">
        <v>2224835.6957279174</v>
      </c>
      <c r="T25" s="410">
        <v>2841.6000000000004</v>
      </c>
      <c r="U25" s="410">
        <v>1995032.2700205003</v>
      </c>
    </row>
    <row r="26" spans="1:21" x14ac:dyDescent="0.3">
      <c r="A26" s="405"/>
      <c r="B26" s="406"/>
      <c r="C26" s="407"/>
      <c r="D26" s="408"/>
      <c r="E26" s="351"/>
      <c r="F26" s="394"/>
      <c r="G26" s="394"/>
      <c r="H26" s="394"/>
      <c r="I26" s="394"/>
      <c r="J26" s="395"/>
      <c r="K26" s="411"/>
      <c r="L26" s="412"/>
      <c r="M26" s="412"/>
      <c r="N26" s="412"/>
      <c r="O26" s="412"/>
      <c r="P26" s="412"/>
      <c r="Q26" s="412"/>
      <c r="R26" s="412"/>
      <c r="S26" s="412"/>
      <c r="T26" s="412"/>
      <c r="U26" s="413"/>
    </row>
    <row r="27" spans="1:21" ht="15.6" x14ac:dyDescent="0.3">
      <c r="A27" s="405"/>
      <c r="B27" s="406"/>
      <c r="C27" s="407"/>
      <c r="D27" s="408"/>
      <c r="E27" s="351"/>
      <c r="F27" s="394"/>
      <c r="G27" s="394"/>
      <c r="H27" s="394"/>
      <c r="I27" s="394"/>
      <c r="J27" s="395"/>
      <c r="K27" s="470" t="s">
        <v>129</v>
      </c>
      <c r="L27" s="471"/>
      <c r="M27" s="471"/>
      <c r="N27" s="471"/>
      <c r="O27" s="471"/>
      <c r="P27" s="471"/>
      <c r="Q27" s="471"/>
      <c r="R27" s="471"/>
      <c r="S27" s="471"/>
      <c r="T27" s="471"/>
      <c r="U27" s="472"/>
    </row>
    <row r="28" spans="1:21" x14ac:dyDescent="0.3">
      <c r="A28" s="405"/>
      <c r="B28" s="406"/>
      <c r="C28" s="407"/>
      <c r="D28" s="408"/>
      <c r="E28" s="351"/>
      <c r="F28" s="394"/>
      <c r="G28" s="394"/>
      <c r="H28" s="394"/>
      <c r="I28" s="394"/>
      <c r="J28" s="395"/>
      <c r="K28" s="368"/>
      <c r="L28" s="369" t="s">
        <v>94</v>
      </c>
      <c r="M28" s="370"/>
      <c r="N28" s="369" t="s">
        <v>95</v>
      </c>
      <c r="O28" s="370"/>
      <c r="P28" s="369" t="s">
        <v>96</v>
      </c>
      <c r="Q28" s="370"/>
      <c r="R28" s="369" t="s">
        <v>97</v>
      </c>
      <c r="S28" s="370"/>
      <c r="T28" s="369" t="s">
        <v>98</v>
      </c>
      <c r="U28" s="371"/>
    </row>
    <row r="29" spans="1:21" x14ac:dyDescent="0.3">
      <c r="A29" s="405"/>
      <c r="B29" s="406"/>
      <c r="C29" s="407"/>
      <c r="D29" s="408"/>
      <c r="E29" s="351"/>
      <c r="F29" s="394"/>
      <c r="G29" s="394"/>
      <c r="H29" s="394"/>
      <c r="I29" s="394"/>
      <c r="J29" s="395"/>
      <c r="K29" s="374" t="s">
        <v>104</v>
      </c>
      <c r="L29" s="338" t="s">
        <v>105</v>
      </c>
      <c r="M29" s="338" t="s">
        <v>37</v>
      </c>
      <c r="N29" s="338" t="s">
        <v>105</v>
      </c>
      <c r="O29" s="338" t="s">
        <v>37</v>
      </c>
      <c r="P29" s="338" t="s">
        <v>105</v>
      </c>
      <c r="Q29" s="338" t="s">
        <v>37</v>
      </c>
      <c r="R29" s="338" t="s">
        <v>105</v>
      </c>
      <c r="S29" s="338" t="s">
        <v>37</v>
      </c>
      <c r="T29" s="338" t="s">
        <v>105</v>
      </c>
      <c r="U29" s="338" t="s">
        <v>37</v>
      </c>
    </row>
    <row r="30" spans="1:21" x14ac:dyDescent="0.3">
      <c r="A30" s="414"/>
      <c r="B30" s="415"/>
      <c r="C30" s="416"/>
      <c r="D30" s="417"/>
      <c r="E30" s="418"/>
      <c r="F30" s="394"/>
      <c r="G30" s="394"/>
      <c r="H30" s="394"/>
      <c r="I30" s="394"/>
      <c r="J30" s="395"/>
      <c r="K30" s="340" t="s">
        <v>40</v>
      </c>
      <c r="L30" s="377">
        <v>941.99999999999955</v>
      </c>
      <c r="M30" s="378">
        <v>48376.876111643796</v>
      </c>
      <c r="N30" s="377">
        <v>1036.2000000000003</v>
      </c>
      <c r="O30" s="378">
        <v>45729.316127239363</v>
      </c>
      <c r="P30" s="377">
        <v>1130.4000000000001</v>
      </c>
      <c r="Q30" s="378">
        <v>43081.756142834914</v>
      </c>
      <c r="R30" s="377">
        <v>847.79999999999973</v>
      </c>
      <c r="S30" s="378">
        <v>51024.436096048281</v>
      </c>
      <c r="T30" s="377">
        <v>753.60000000000014</v>
      </c>
      <c r="U30" s="378">
        <v>53671.996080452736</v>
      </c>
    </row>
    <row r="31" spans="1:21" x14ac:dyDescent="0.3">
      <c r="A31" s="419"/>
      <c r="B31" s="420"/>
      <c r="C31" s="420"/>
      <c r="D31" s="420" t="s">
        <v>130</v>
      </c>
      <c r="E31" s="421">
        <v>54300</v>
      </c>
      <c r="F31" s="422"/>
      <c r="G31" s="422"/>
      <c r="H31" s="422"/>
      <c r="I31" s="422"/>
      <c r="J31" s="423"/>
      <c r="K31" s="340" t="s">
        <v>41</v>
      </c>
      <c r="L31" s="360">
        <v>723.00000000000023</v>
      </c>
      <c r="M31" s="351">
        <v>58791.584813504698</v>
      </c>
      <c r="N31" s="360">
        <v>795.30000000000064</v>
      </c>
      <c r="O31" s="351">
        <v>56524.64446275388</v>
      </c>
      <c r="P31" s="360">
        <v>867.60000000000048</v>
      </c>
      <c r="Q31" s="351">
        <v>54257.704112003114</v>
      </c>
      <c r="R31" s="360">
        <v>650.70000000000016</v>
      </c>
      <c r="S31" s="351">
        <v>61058.525164255494</v>
      </c>
      <c r="T31" s="360">
        <v>578.40000000000043</v>
      </c>
      <c r="U31" s="351">
        <v>63325.465515006304</v>
      </c>
    </row>
    <row r="32" spans="1:21" x14ac:dyDescent="0.3">
      <c r="A32" s="424"/>
      <c r="B32" s="425"/>
      <c r="C32" s="425"/>
      <c r="D32" s="426"/>
      <c r="E32" s="427"/>
      <c r="F32" s="428"/>
      <c r="G32" s="428"/>
      <c r="H32" s="428"/>
      <c r="I32" s="428"/>
      <c r="J32" s="429"/>
      <c r="K32" s="340" t="s">
        <v>42</v>
      </c>
      <c r="L32" s="360">
        <v>523</v>
      </c>
      <c r="M32" s="351">
        <v>42319.7464635535</v>
      </c>
      <c r="N32" s="360">
        <v>575.29999999999995</v>
      </c>
      <c r="O32" s="351">
        <v>40491.708413296001</v>
      </c>
      <c r="P32" s="360">
        <v>627.59999999999991</v>
      </c>
      <c r="Q32" s="351">
        <v>38663.670363038531</v>
      </c>
      <c r="R32" s="360">
        <v>470.7</v>
      </c>
      <c r="S32" s="351">
        <v>44147.784513810999</v>
      </c>
      <c r="T32" s="360">
        <v>418.4</v>
      </c>
      <c r="U32" s="351">
        <v>45975.822564068483</v>
      </c>
    </row>
    <row r="33" spans="1:21" ht="15.6" x14ac:dyDescent="0.3">
      <c r="A33" s="485" t="s">
        <v>131</v>
      </c>
      <c r="B33" s="486"/>
      <c r="C33" s="486"/>
      <c r="D33" s="486"/>
      <c r="E33" s="486"/>
      <c r="F33" s="486"/>
      <c r="G33" s="486"/>
      <c r="H33" s="486"/>
      <c r="I33" s="486"/>
      <c r="J33" s="487"/>
      <c r="K33" s="340" t="s">
        <v>112</v>
      </c>
      <c r="L33" s="360">
        <v>244.99999999999997</v>
      </c>
      <c r="M33" s="351">
        <v>20599.831343337912</v>
      </c>
      <c r="N33" s="360">
        <v>269.5</v>
      </c>
      <c r="O33" s="351">
        <v>19910.162690827718</v>
      </c>
      <c r="P33" s="360">
        <v>293.99999999999989</v>
      </c>
      <c r="Q33" s="351">
        <v>19220.494038317534</v>
      </c>
      <c r="R33" s="360">
        <v>220.50000000000011</v>
      </c>
      <c r="S33" s="351">
        <v>21289.499995848109</v>
      </c>
      <c r="T33" s="360">
        <v>196</v>
      </c>
      <c r="U33" s="351">
        <v>21979.1686483583</v>
      </c>
    </row>
    <row r="34" spans="1:21" x14ac:dyDescent="0.3">
      <c r="A34" s="339" t="s">
        <v>117</v>
      </c>
      <c r="B34" s="462" t="s">
        <v>118</v>
      </c>
      <c r="C34" s="463"/>
      <c r="D34" s="464"/>
      <c r="E34" s="339" t="s">
        <v>119</v>
      </c>
      <c r="F34" s="462" t="s">
        <v>120</v>
      </c>
      <c r="G34" s="465"/>
      <c r="H34" s="466"/>
      <c r="I34" s="466"/>
      <c r="J34" s="467"/>
      <c r="K34" s="340" t="s">
        <v>113</v>
      </c>
      <c r="L34" s="360">
        <v>63.999999999999972</v>
      </c>
      <c r="M34" s="351">
        <v>21288.304905621055</v>
      </c>
      <c r="N34" s="360">
        <v>70.399999999999977</v>
      </c>
      <c r="O34" s="351">
        <v>21095.767821316254</v>
      </c>
      <c r="P34" s="360">
        <v>76.800000000000054</v>
      </c>
      <c r="Q34" s="351">
        <v>20903.23073701145</v>
      </c>
      <c r="R34" s="360">
        <v>57.599999999999987</v>
      </c>
      <c r="S34" s="351">
        <v>21480.841989925848</v>
      </c>
      <c r="T34" s="360">
        <v>51.200000000000031</v>
      </c>
      <c r="U34" s="351">
        <v>21673.379074230652</v>
      </c>
    </row>
    <row r="35" spans="1:21" x14ac:dyDescent="0.3">
      <c r="A35" s="430"/>
      <c r="B35" s="431"/>
      <c r="C35" s="432"/>
      <c r="D35" s="433"/>
      <c r="E35" s="378"/>
      <c r="F35" s="392"/>
      <c r="G35" s="392"/>
      <c r="H35" s="392"/>
      <c r="I35" s="392"/>
      <c r="J35" s="434"/>
      <c r="K35" s="340" t="s">
        <v>114</v>
      </c>
      <c r="L35" s="360">
        <v>3.9999999999999987</v>
      </c>
      <c r="M35" s="351">
        <v>23563.354781336191</v>
      </c>
      <c r="N35" s="360">
        <v>4.3999999999999959</v>
      </c>
      <c r="O35" s="351">
        <v>23523.873625321634</v>
      </c>
      <c r="P35" s="360">
        <v>4.8000000000000016</v>
      </c>
      <c r="Q35" s="351">
        <v>23484.392469307066</v>
      </c>
      <c r="R35" s="360">
        <v>3.6</v>
      </c>
      <c r="S35" s="351">
        <v>23602.835937350748</v>
      </c>
      <c r="T35" s="360">
        <v>3.199999999999998</v>
      </c>
      <c r="U35" s="351">
        <v>23642.317093365302</v>
      </c>
    </row>
    <row r="36" spans="1:21" x14ac:dyDescent="0.3">
      <c r="A36" s="405"/>
      <c r="B36" s="406"/>
      <c r="C36" s="407"/>
      <c r="D36" s="435"/>
      <c r="E36" s="351"/>
      <c r="F36" s="394"/>
      <c r="G36" s="394"/>
      <c r="H36" s="394"/>
      <c r="I36" s="394"/>
      <c r="J36" s="395"/>
      <c r="K36" s="340" t="s">
        <v>116</v>
      </c>
      <c r="L36" s="360">
        <v>0</v>
      </c>
      <c r="M36" s="351">
        <v>22361.006696199736</v>
      </c>
      <c r="N36" s="360">
        <v>0</v>
      </c>
      <c r="O36" s="351">
        <v>22355.479772912415</v>
      </c>
      <c r="P36" s="360">
        <v>0</v>
      </c>
      <c r="Q36" s="351">
        <v>22349.952849625093</v>
      </c>
      <c r="R36" s="360">
        <v>0</v>
      </c>
      <c r="S36" s="351">
        <v>22366.533619487062</v>
      </c>
      <c r="T36" s="360">
        <v>0</v>
      </c>
      <c r="U36" s="351">
        <v>22372.060542774383</v>
      </c>
    </row>
    <row r="37" spans="1:21" x14ac:dyDescent="0.3">
      <c r="A37" s="405"/>
      <c r="B37" s="406"/>
      <c r="C37" s="407"/>
      <c r="D37" s="435"/>
      <c r="E37" s="351"/>
      <c r="F37" s="394"/>
      <c r="G37" s="394"/>
      <c r="H37" s="394"/>
      <c r="I37" s="394"/>
      <c r="J37" s="395"/>
      <c r="K37" s="340" t="s">
        <v>121</v>
      </c>
      <c r="L37" s="360">
        <v>0.99999999999999922</v>
      </c>
      <c r="M37" s="351">
        <v>16490.539517552923</v>
      </c>
      <c r="N37" s="360">
        <v>1.1000000000000001</v>
      </c>
      <c r="O37" s="351">
        <v>16489.940016723096</v>
      </c>
      <c r="P37" s="360">
        <v>1.1999999999999988</v>
      </c>
      <c r="Q37" s="351">
        <v>16489.340515893262</v>
      </c>
      <c r="R37" s="360">
        <v>0.8999999999999998</v>
      </c>
      <c r="S37" s="351">
        <v>16491.139018382775</v>
      </c>
      <c r="T37" s="360">
        <v>0.79999999999999949</v>
      </c>
      <c r="U37" s="351">
        <v>16491.738519212609</v>
      </c>
    </row>
    <row r="38" spans="1:21" x14ac:dyDescent="0.3">
      <c r="A38" s="405"/>
      <c r="B38" s="406"/>
      <c r="C38" s="407"/>
      <c r="D38" s="435"/>
      <c r="E38" s="351"/>
      <c r="F38" s="394"/>
      <c r="G38" s="394"/>
      <c r="H38" s="394"/>
      <c r="I38" s="394"/>
      <c r="J38" s="395"/>
      <c r="K38" s="340" t="s">
        <v>124</v>
      </c>
      <c r="L38" s="360">
        <v>38</v>
      </c>
      <c r="M38" s="351">
        <v>13764.60429437829</v>
      </c>
      <c r="N38" s="360">
        <v>41.79999999999999</v>
      </c>
      <c r="O38" s="351">
        <v>13773.650311705534</v>
      </c>
      <c r="P38" s="360">
        <v>45.6</v>
      </c>
      <c r="Q38" s="351">
        <v>13782.696329032782</v>
      </c>
      <c r="R38" s="360">
        <v>34.200000000000003</v>
      </c>
      <c r="S38" s="351">
        <v>13755.558277051061</v>
      </c>
      <c r="T38" s="360">
        <v>30.399999999999991</v>
      </c>
      <c r="U38" s="351">
        <v>13746.512259723822</v>
      </c>
    </row>
    <row r="39" spans="1:21" x14ac:dyDescent="0.3">
      <c r="A39" s="405"/>
      <c r="B39" s="406"/>
      <c r="C39" s="407"/>
      <c r="D39" s="435"/>
      <c r="E39" s="351"/>
      <c r="F39" s="394"/>
      <c r="G39" s="394"/>
      <c r="H39" s="394"/>
      <c r="I39" s="394"/>
      <c r="J39" s="395"/>
      <c r="K39" s="340" t="s">
        <v>126</v>
      </c>
      <c r="L39" s="360">
        <v>228</v>
      </c>
      <c r="M39" s="351">
        <v>15445.47300753874</v>
      </c>
      <c r="N39" s="360">
        <v>250.80000000000004</v>
      </c>
      <c r="O39" s="351">
        <v>15391.879556481575</v>
      </c>
      <c r="P39" s="360">
        <v>273.60000000000002</v>
      </c>
      <c r="Q39" s="351">
        <v>15338.286105424404</v>
      </c>
      <c r="R39" s="360">
        <v>205.2</v>
      </c>
      <c r="S39" s="351">
        <v>15499.066458595915</v>
      </c>
      <c r="T39" s="360">
        <v>182.40000000000003</v>
      </c>
      <c r="U39" s="351">
        <v>15552.659909653081</v>
      </c>
    </row>
    <row r="40" spans="1:21" x14ac:dyDescent="0.3">
      <c r="A40" s="405"/>
      <c r="B40" s="406"/>
      <c r="C40" s="407"/>
      <c r="D40" s="435"/>
      <c r="E40" s="351"/>
      <c r="F40" s="394"/>
      <c r="G40" s="394"/>
      <c r="H40" s="394"/>
      <c r="I40" s="394"/>
      <c r="J40" s="395"/>
      <c r="K40" s="340" t="s">
        <v>38</v>
      </c>
      <c r="L40" s="360">
        <v>510</v>
      </c>
      <c r="M40" s="351">
        <v>13715.192786765121</v>
      </c>
      <c r="N40" s="360">
        <v>560.99999999999989</v>
      </c>
      <c r="O40" s="351">
        <v>12791.374475942801</v>
      </c>
      <c r="P40" s="360">
        <v>612</v>
      </c>
      <c r="Q40" s="351">
        <v>11867.556165120481</v>
      </c>
      <c r="R40" s="360">
        <v>459</v>
      </c>
      <c r="S40" s="351">
        <v>14639.011097587449</v>
      </c>
      <c r="T40" s="360">
        <v>408</v>
      </c>
      <c r="U40" s="351">
        <v>15562.829408409767</v>
      </c>
    </row>
    <row r="41" spans="1:21" x14ac:dyDescent="0.3">
      <c r="A41" s="405"/>
      <c r="B41" s="406"/>
      <c r="C41" s="407"/>
      <c r="D41" s="435"/>
      <c r="E41" s="351"/>
      <c r="F41" s="394"/>
      <c r="G41" s="394"/>
      <c r="H41" s="394"/>
      <c r="I41" s="394"/>
      <c r="J41" s="395"/>
      <c r="K41" s="340" t="s">
        <v>39</v>
      </c>
      <c r="L41" s="360">
        <v>854</v>
      </c>
      <c r="M41" s="351">
        <v>20383.952219974995</v>
      </c>
      <c r="N41" s="360">
        <v>939.39999999999986</v>
      </c>
      <c r="O41" s="351">
        <v>18282.598679711107</v>
      </c>
      <c r="P41" s="360">
        <v>1024.7999999999997</v>
      </c>
      <c r="Q41" s="351">
        <v>16181.245139447228</v>
      </c>
      <c r="R41" s="360">
        <v>768.60000000000014</v>
      </c>
      <c r="S41" s="351">
        <v>22485.305760238902</v>
      </c>
      <c r="T41" s="360">
        <v>683.19999999999993</v>
      </c>
      <c r="U41" s="351">
        <v>24586.659300502783</v>
      </c>
    </row>
    <row r="42" spans="1:21" x14ac:dyDescent="0.3">
      <c r="A42" s="405"/>
      <c r="B42" s="406"/>
      <c r="C42" s="407"/>
      <c r="D42" s="435"/>
      <c r="E42" s="351"/>
      <c r="F42" s="394"/>
      <c r="G42" s="394"/>
      <c r="H42" s="394"/>
      <c r="I42" s="394"/>
      <c r="J42" s="395"/>
      <c r="K42" s="409" t="s">
        <v>132</v>
      </c>
      <c r="L42" s="410">
        <v>4132</v>
      </c>
      <c r="M42" s="410">
        <v>317100.46694140695</v>
      </c>
      <c r="N42" s="410">
        <v>4545.2000000000016</v>
      </c>
      <c r="O42" s="410">
        <v>306360.39595423138</v>
      </c>
      <c r="P42" s="410">
        <v>4958.3999999999996</v>
      </c>
      <c r="Q42" s="410">
        <v>295620.32496705581</v>
      </c>
      <c r="R42" s="410">
        <v>3718.8</v>
      </c>
      <c r="S42" s="410">
        <v>327840.53792858269</v>
      </c>
      <c r="T42" s="410">
        <v>3305.6000000000004</v>
      </c>
      <c r="U42" s="410">
        <v>338580.6089157582</v>
      </c>
    </row>
    <row r="43" spans="1:21" x14ac:dyDescent="0.3">
      <c r="A43" s="405"/>
      <c r="B43" s="406"/>
      <c r="C43" s="407"/>
      <c r="D43" s="435"/>
      <c r="E43" s="351"/>
      <c r="F43" s="394"/>
      <c r="G43" s="394"/>
      <c r="H43" s="394"/>
      <c r="I43" s="394"/>
      <c r="J43" s="395"/>
      <c r="K43" s="409" t="s">
        <v>133</v>
      </c>
      <c r="L43" s="410">
        <v>3552</v>
      </c>
      <c r="M43" s="410">
        <v>183587.35239544211</v>
      </c>
      <c r="N43" s="410">
        <v>3907.2000000000007</v>
      </c>
      <c r="O43" s="410">
        <v>173819.64215894317</v>
      </c>
      <c r="P43" s="410">
        <v>4262.3999999999996</v>
      </c>
      <c r="Q43" s="410">
        <v>164051.93192244423</v>
      </c>
      <c r="R43" s="410">
        <v>3196.8</v>
      </c>
      <c r="S43" s="410">
        <v>193355.06263194111</v>
      </c>
      <c r="T43" s="410">
        <v>2841.6000000000004</v>
      </c>
      <c r="U43" s="410">
        <v>203122.77286844008</v>
      </c>
    </row>
    <row r="44" spans="1:21" x14ac:dyDescent="0.3">
      <c r="A44" s="405"/>
      <c r="B44" s="415"/>
      <c r="C44" s="416"/>
      <c r="D44" s="436"/>
      <c r="E44" s="418"/>
      <c r="F44" s="394"/>
      <c r="G44" s="394"/>
      <c r="H44" s="394"/>
      <c r="I44" s="394"/>
      <c r="J44" s="395"/>
      <c r="K44" s="409" t="s">
        <v>134</v>
      </c>
      <c r="L44" s="410">
        <v>4132</v>
      </c>
      <c r="M44" s="410">
        <v>3437576.1567602842</v>
      </c>
      <c r="N44" s="410">
        <v>4545.2000000000016</v>
      </c>
      <c r="O44" s="410">
        <v>3696721.5002823593</v>
      </c>
      <c r="P44" s="410">
        <v>4958.3999999999996</v>
      </c>
      <c r="Q44" s="410">
        <v>3955866.8438044349</v>
      </c>
      <c r="R44" s="410">
        <v>3718.8</v>
      </c>
      <c r="S44" s="410">
        <v>3178430.8132382091</v>
      </c>
      <c r="T44" s="410">
        <v>3305.6000000000004</v>
      </c>
      <c r="U44" s="410">
        <v>2919285.469716134</v>
      </c>
    </row>
    <row r="45" spans="1:21" x14ac:dyDescent="0.3">
      <c r="A45" s="419"/>
      <c r="B45" s="420"/>
      <c r="C45" s="420"/>
      <c r="D45" s="420" t="s">
        <v>135</v>
      </c>
      <c r="E45" s="421">
        <v>0</v>
      </c>
      <c r="F45" s="422"/>
      <c r="G45" s="422"/>
      <c r="H45" s="422"/>
      <c r="I45" s="422"/>
      <c r="J45" s="423"/>
      <c r="K45" s="409" t="s">
        <v>136</v>
      </c>
      <c r="L45" s="410">
        <v>3552</v>
      </c>
      <c r="M45" s="410">
        <v>2638226.4738307763</v>
      </c>
      <c r="N45" s="410">
        <v>3907.2000000000007</v>
      </c>
      <c r="O45" s="410">
        <v>2858262.1893016938</v>
      </c>
      <c r="P45" s="410">
        <v>4262.3999999999996</v>
      </c>
      <c r="Q45" s="410">
        <v>3078297.9047726113</v>
      </c>
      <c r="R45" s="410">
        <v>3196.8</v>
      </c>
      <c r="S45" s="410">
        <v>2418190.7583598583</v>
      </c>
      <c r="T45" s="410">
        <v>2841.6000000000004</v>
      </c>
      <c r="U45" s="410">
        <v>2198155.0428889403</v>
      </c>
    </row>
    <row r="47" spans="1:21" x14ac:dyDescent="0.3">
      <c r="J47" s="437">
        <v>30</v>
      </c>
      <c r="K47" s="324">
        <v>31</v>
      </c>
      <c r="L47" s="324">
        <v>31</v>
      </c>
      <c r="M47" s="324">
        <v>28</v>
      </c>
      <c r="N47" s="324">
        <v>31</v>
      </c>
    </row>
    <row r="48" spans="1:21" x14ac:dyDescent="0.3">
      <c r="J48" s="437" t="s">
        <v>31</v>
      </c>
      <c r="K48" s="324" t="s">
        <v>32</v>
      </c>
      <c r="L48" s="324" t="s">
        <v>33</v>
      </c>
      <c r="M48" s="324" t="s">
        <v>34</v>
      </c>
      <c r="N48" s="324" t="s">
        <v>35</v>
      </c>
    </row>
    <row r="49" spans="10:14" x14ac:dyDescent="0.3">
      <c r="J49" s="453">
        <f>+M22+M40</f>
        <v>325069.92846601555</v>
      </c>
      <c r="K49" s="454">
        <f>+M23+M41</f>
        <v>587354.46717714728</v>
      </c>
      <c r="L49" s="454">
        <f>+M12+M30</f>
        <v>726033.28352140449</v>
      </c>
      <c r="M49" s="454">
        <f>+M13+M31</f>
        <v>584037.78757565399</v>
      </c>
      <c r="N49" s="454">
        <f>+M14+M32</f>
        <v>415731.00709055475</v>
      </c>
    </row>
    <row r="50" spans="10:14" x14ac:dyDescent="0.3">
      <c r="J50" s="455">
        <f>ROUND(J49/J47,0)</f>
        <v>10836</v>
      </c>
      <c r="K50" s="455">
        <f t="shared" ref="K50:N50" si="0">ROUND(K49/K47,0)</f>
        <v>18947</v>
      </c>
      <c r="L50" s="455">
        <f t="shared" si="0"/>
        <v>23420</v>
      </c>
      <c r="M50" s="455">
        <f t="shared" si="0"/>
        <v>20858</v>
      </c>
      <c r="N50" s="455">
        <f t="shared" si="0"/>
        <v>13411</v>
      </c>
    </row>
  </sheetData>
  <mergeCells count="27">
    <mergeCell ref="A1:J1"/>
    <mergeCell ref="K1:U1"/>
    <mergeCell ref="A2:J2"/>
    <mergeCell ref="K2:U2"/>
    <mergeCell ref="D3:F3"/>
    <mergeCell ref="N3:Q3"/>
    <mergeCell ref="F4:J4"/>
    <mergeCell ref="B5:C5"/>
    <mergeCell ref="L5:M5"/>
    <mergeCell ref="P5:U7"/>
    <mergeCell ref="B6:C6"/>
    <mergeCell ref="L6:M6"/>
    <mergeCell ref="B7:C7"/>
    <mergeCell ref="L7:M7"/>
    <mergeCell ref="B34:D34"/>
    <mergeCell ref="F34:J34"/>
    <mergeCell ref="B8:C8"/>
    <mergeCell ref="B9:C9"/>
    <mergeCell ref="K9:U9"/>
    <mergeCell ref="B10:C10"/>
    <mergeCell ref="A11:C16"/>
    <mergeCell ref="F14:J16"/>
    <mergeCell ref="A18:J18"/>
    <mergeCell ref="B19:D19"/>
    <mergeCell ref="F19:J19"/>
    <mergeCell ref="K27:U27"/>
    <mergeCell ref="A33:J33"/>
  </mergeCells>
  <conditionalFormatting sqref="F4:J4">
    <cfRule type="containsText" dxfId="35" priority="1" stopIfTrue="1" operator="containsText" text="PEAK DAY">
      <formula>NOT(ISERROR(SEARCH("PEAK DAY",F4)))</formula>
    </cfRule>
  </conditionalFormatting>
  <conditionalFormatting sqref="J9">
    <cfRule type="cellIs" dxfId="34" priority="4" stopIfTrue="1" operator="greaterThanOrEqual">
      <formula>$E$11</formula>
    </cfRule>
  </conditionalFormatting>
  <conditionalFormatting sqref="J10">
    <cfRule type="cellIs" dxfId="33" priority="3" stopIfTrue="1" operator="greaterThanOrEqual">
      <formula>$E$11</formula>
    </cfRule>
  </conditionalFormatting>
  <conditionalFormatting sqref="H9">
    <cfRule type="cellIs" dxfId="32" priority="2" stopIfTrue="1" operator="greaterThanOrEqual">
      <formula>$H$6</formula>
    </cfRule>
  </conditionalFormatting>
  <pageMargins left="0.7" right="0.7" top="0.75" bottom="0.75" header="0.3" footer="0.3"/>
  <pageSetup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zoomScale="70" zoomScaleNormal="70" workbookViewId="0">
      <selection activeCell="J50" sqref="J50"/>
    </sheetView>
  </sheetViews>
  <sheetFormatPr defaultRowHeight="14.4" x14ac:dyDescent="0.3"/>
  <cols>
    <col min="1" max="1" width="26.6640625" style="437" customWidth="1"/>
    <col min="2" max="3" width="18.6640625" style="437" customWidth="1"/>
    <col min="4" max="4" width="27.6640625" style="437" customWidth="1"/>
    <col min="5" max="5" width="15.6640625" style="437" customWidth="1"/>
    <col min="6" max="7" width="12.6640625" style="437" customWidth="1"/>
    <col min="8" max="8" width="17.6640625" style="437" customWidth="1"/>
    <col min="9" max="10" width="15.6640625" style="437" customWidth="1"/>
    <col min="11" max="13" width="18.6640625" style="324" customWidth="1"/>
    <col min="14" max="21" width="15.88671875" style="324" customWidth="1"/>
    <col min="22" max="256" width="9.109375" style="324"/>
    <col min="257" max="257" width="26.6640625" style="324" customWidth="1"/>
    <col min="258" max="259" width="18.6640625" style="324" customWidth="1"/>
    <col min="260" max="260" width="27.6640625" style="324" customWidth="1"/>
    <col min="261" max="261" width="15.6640625" style="324" customWidth="1"/>
    <col min="262" max="263" width="12.6640625" style="324" customWidth="1"/>
    <col min="264" max="264" width="17.6640625" style="324" customWidth="1"/>
    <col min="265" max="266" width="15.6640625" style="324" customWidth="1"/>
    <col min="267" max="269" width="18.6640625" style="324" customWidth="1"/>
    <col min="270" max="277" width="15.88671875" style="324" customWidth="1"/>
    <col min="278" max="512" width="9.109375" style="324"/>
    <col min="513" max="513" width="26.6640625" style="324" customWidth="1"/>
    <col min="514" max="515" width="18.6640625" style="324" customWidth="1"/>
    <col min="516" max="516" width="27.6640625" style="324" customWidth="1"/>
    <col min="517" max="517" width="15.6640625" style="324" customWidth="1"/>
    <col min="518" max="519" width="12.6640625" style="324" customWidth="1"/>
    <col min="520" max="520" width="17.6640625" style="324" customWidth="1"/>
    <col min="521" max="522" width="15.6640625" style="324" customWidth="1"/>
    <col min="523" max="525" width="18.6640625" style="324" customWidth="1"/>
    <col min="526" max="533" width="15.88671875" style="324" customWidth="1"/>
    <col min="534" max="768" width="9.109375" style="324"/>
    <col min="769" max="769" width="26.6640625" style="324" customWidth="1"/>
    <col min="770" max="771" width="18.6640625" style="324" customWidth="1"/>
    <col min="772" max="772" width="27.6640625" style="324" customWidth="1"/>
    <col min="773" max="773" width="15.6640625" style="324" customWidth="1"/>
    <col min="774" max="775" width="12.6640625" style="324" customWidth="1"/>
    <col min="776" max="776" width="17.6640625" style="324" customWidth="1"/>
    <col min="777" max="778" width="15.6640625" style="324" customWidth="1"/>
    <col min="779" max="781" width="18.6640625" style="324" customWidth="1"/>
    <col min="782" max="789" width="15.88671875" style="324" customWidth="1"/>
    <col min="790" max="1024" width="9.109375" style="324"/>
    <col min="1025" max="1025" width="26.6640625" style="324" customWidth="1"/>
    <col min="1026" max="1027" width="18.6640625" style="324" customWidth="1"/>
    <col min="1028" max="1028" width="27.6640625" style="324" customWidth="1"/>
    <col min="1029" max="1029" width="15.6640625" style="324" customWidth="1"/>
    <col min="1030" max="1031" width="12.6640625" style="324" customWidth="1"/>
    <col min="1032" max="1032" width="17.6640625" style="324" customWidth="1"/>
    <col min="1033" max="1034" width="15.6640625" style="324" customWidth="1"/>
    <col min="1035" max="1037" width="18.6640625" style="324" customWidth="1"/>
    <col min="1038" max="1045" width="15.88671875" style="324" customWidth="1"/>
    <col min="1046" max="1280" width="9.109375" style="324"/>
    <col min="1281" max="1281" width="26.6640625" style="324" customWidth="1"/>
    <col min="1282" max="1283" width="18.6640625" style="324" customWidth="1"/>
    <col min="1284" max="1284" width="27.6640625" style="324" customWidth="1"/>
    <col min="1285" max="1285" width="15.6640625" style="324" customWidth="1"/>
    <col min="1286" max="1287" width="12.6640625" style="324" customWidth="1"/>
    <col min="1288" max="1288" width="17.6640625" style="324" customWidth="1"/>
    <col min="1289" max="1290" width="15.6640625" style="324" customWidth="1"/>
    <col min="1291" max="1293" width="18.6640625" style="324" customWidth="1"/>
    <col min="1294" max="1301" width="15.88671875" style="324" customWidth="1"/>
    <col min="1302" max="1536" width="9.109375" style="324"/>
    <col min="1537" max="1537" width="26.6640625" style="324" customWidth="1"/>
    <col min="1538" max="1539" width="18.6640625" style="324" customWidth="1"/>
    <col min="1540" max="1540" width="27.6640625" style="324" customWidth="1"/>
    <col min="1541" max="1541" width="15.6640625" style="324" customWidth="1"/>
    <col min="1542" max="1543" width="12.6640625" style="324" customWidth="1"/>
    <col min="1544" max="1544" width="17.6640625" style="324" customWidth="1"/>
    <col min="1545" max="1546" width="15.6640625" style="324" customWidth="1"/>
    <col min="1547" max="1549" width="18.6640625" style="324" customWidth="1"/>
    <col min="1550" max="1557" width="15.88671875" style="324" customWidth="1"/>
    <col min="1558" max="1792" width="9.109375" style="324"/>
    <col min="1793" max="1793" width="26.6640625" style="324" customWidth="1"/>
    <col min="1794" max="1795" width="18.6640625" style="324" customWidth="1"/>
    <col min="1796" max="1796" width="27.6640625" style="324" customWidth="1"/>
    <col min="1797" max="1797" width="15.6640625" style="324" customWidth="1"/>
    <col min="1798" max="1799" width="12.6640625" style="324" customWidth="1"/>
    <col min="1800" max="1800" width="17.6640625" style="324" customWidth="1"/>
    <col min="1801" max="1802" width="15.6640625" style="324" customWidth="1"/>
    <col min="1803" max="1805" width="18.6640625" style="324" customWidth="1"/>
    <col min="1806" max="1813" width="15.88671875" style="324" customWidth="1"/>
    <col min="1814" max="2048" width="9.109375" style="324"/>
    <col min="2049" max="2049" width="26.6640625" style="324" customWidth="1"/>
    <col min="2050" max="2051" width="18.6640625" style="324" customWidth="1"/>
    <col min="2052" max="2052" width="27.6640625" style="324" customWidth="1"/>
    <col min="2053" max="2053" width="15.6640625" style="324" customWidth="1"/>
    <col min="2054" max="2055" width="12.6640625" style="324" customWidth="1"/>
    <col min="2056" max="2056" width="17.6640625" style="324" customWidth="1"/>
    <col min="2057" max="2058" width="15.6640625" style="324" customWidth="1"/>
    <col min="2059" max="2061" width="18.6640625" style="324" customWidth="1"/>
    <col min="2062" max="2069" width="15.88671875" style="324" customWidth="1"/>
    <col min="2070" max="2304" width="9.109375" style="324"/>
    <col min="2305" max="2305" width="26.6640625" style="324" customWidth="1"/>
    <col min="2306" max="2307" width="18.6640625" style="324" customWidth="1"/>
    <col min="2308" max="2308" width="27.6640625" style="324" customWidth="1"/>
    <col min="2309" max="2309" width="15.6640625" style="324" customWidth="1"/>
    <col min="2310" max="2311" width="12.6640625" style="324" customWidth="1"/>
    <col min="2312" max="2312" width="17.6640625" style="324" customWidth="1"/>
    <col min="2313" max="2314" width="15.6640625" style="324" customWidth="1"/>
    <col min="2315" max="2317" width="18.6640625" style="324" customWidth="1"/>
    <col min="2318" max="2325" width="15.88671875" style="324" customWidth="1"/>
    <col min="2326" max="2560" width="9.109375" style="324"/>
    <col min="2561" max="2561" width="26.6640625" style="324" customWidth="1"/>
    <col min="2562" max="2563" width="18.6640625" style="324" customWidth="1"/>
    <col min="2564" max="2564" width="27.6640625" style="324" customWidth="1"/>
    <col min="2565" max="2565" width="15.6640625" style="324" customWidth="1"/>
    <col min="2566" max="2567" width="12.6640625" style="324" customWidth="1"/>
    <col min="2568" max="2568" width="17.6640625" style="324" customWidth="1"/>
    <col min="2569" max="2570" width="15.6640625" style="324" customWidth="1"/>
    <col min="2571" max="2573" width="18.6640625" style="324" customWidth="1"/>
    <col min="2574" max="2581" width="15.88671875" style="324" customWidth="1"/>
    <col min="2582" max="2816" width="9.109375" style="324"/>
    <col min="2817" max="2817" width="26.6640625" style="324" customWidth="1"/>
    <col min="2818" max="2819" width="18.6640625" style="324" customWidth="1"/>
    <col min="2820" max="2820" width="27.6640625" style="324" customWidth="1"/>
    <col min="2821" max="2821" width="15.6640625" style="324" customWidth="1"/>
    <col min="2822" max="2823" width="12.6640625" style="324" customWidth="1"/>
    <col min="2824" max="2824" width="17.6640625" style="324" customWidth="1"/>
    <col min="2825" max="2826" width="15.6640625" style="324" customWidth="1"/>
    <col min="2827" max="2829" width="18.6640625" style="324" customWidth="1"/>
    <col min="2830" max="2837" width="15.88671875" style="324" customWidth="1"/>
    <col min="2838" max="3072" width="9.109375" style="324"/>
    <col min="3073" max="3073" width="26.6640625" style="324" customWidth="1"/>
    <col min="3074" max="3075" width="18.6640625" style="324" customWidth="1"/>
    <col min="3076" max="3076" width="27.6640625" style="324" customWidth="1"/>
    <col min="3077" max="3077" width="15.6640625" style="324" customWidth="1"/>
    <col min="3078" max="3079" width="12.6640625" style="324" customWidth="1"/>
    <col min="3080" max="3080" width="17.6640625" style="324" customWidth="1"/>
    <col min="3081" max="3082" width="15.6640625" style="324" customWidth="1"/>
    <col min="3083" max="3085" width="18.6640625" style="324" customWidth="1"/>
    <col min="3086" max="3093" width="15.88671875" style="324" customWidth="1"/>
    <col min="3094" max="3328" width="9.109375" style="324"/>
    <col min="3329" max="3329" width="26.6640625" style="324" customWidth="1"/>
    <col min="3330" max="3331" width="18.6640625" style="324" customWidth="1"/>
    <col min="3332" max="3332" width="27.6640625" style="324" customWidth="1"/>
    <col min="3333" max="3333" width="15.6640625" style="324" customWidth="1"/>
    <col min="3334" max="3335" width="12.6640625" style="324" customWidth="1"/>
    <col min="3336" max="3336" width="17.6640625" style="324" customWidth="1"/>
    <col min="3337" max="3338" width="15.6640625" style="324" customWidth="1"/>
    <col min="3339" max="3341" width="18.6640625" style="324" customWidth="1"/>
    <col min="3342" max="3349" width="15.88671875" style="324" customWidth="1"/>
    <col min="3350" max="3584" width="9.109375" style="324"/>
    <col min="3585" max="3585" width="26.6640625" style="324" customWidth="1"/>
    <col min="3586" max="3587" width="18.6640625" style="324" customWidth="1"/>
    <col min="3588" max="3588" width="27.6640625" style="324" customWidth="1"/>
    <col min="3589" max="3589" width="15.6640625" style="324" customWidth="1"/>
    <col min="3590" max="3591" width="12.6640625" style="324" customWidth="1"/>
    <col min="3592" max="3592" width="17.6640625" style="324" customWidth="1"/>
    <col min="3593" max="3594" width="15.6640625" style="324" customWidth="1"/>
    <col min="3595" max="3597" width="18.6640625" style="324" customWidth="1"/>
    <col min="3598" max="3605" width="15.88671875" style="324" customWidth="1"/>
    <col min="3606" max="3840" width="9.109375" style="324"/>
    <col min="3841" max="3841" width="26.6640625" style="324" customWidth="1"/>
    <col min="3842" max="3843" width="18.6640625" style="324" customWidth="1"/>
    <col min="3844" max="3844" width="27.6640625" style="324" customWidth="1"/>
    <col min="3845" max="3845" width="15.6640625" style="324" customWidth="1"/>
    <col min="3846" max="3847" width="12.6640625" style="324" customWidth="1"/>
    <col min="3848" max="3848" width="17.6640625" style="324" customWidth="1"/>
    <col min="3849" max="3850" width="15.6640625" style="324" customWidth="1"/>
    <col min="3851" max="3853" width="18.6640625" style="324" customWidth="1"/>
    <col min="3854" max="3861" width="15.88671875" style="324" customWidth="1"/>
    <col min="3862" max="4096" width="9.109375" style="324"/>
    <col min="4097" max="4097" width="26.6640625" style="324" customWidth="1"/>
    <col min="4098" max="4099" width="18.6640625" style="324" customWidth="1"/>
    <col min="4100" max="4100" width="27.6640625" style="324" customWidth="1"/>
    <col min="4101" max="4101" width="15.6640625" style="324" customWidth="1"/>
    <col min="4102" max="4103" width="12.6640625" style="324" customWidth="1"/>
    <col min="4104" max="4104" width="17.6640625" style="324" customWidth="1"/>
    <col min="4105" max="4106" width="15.6640625" style="324" customWidth="1"/>
    <col min="4107" max="4109" width="18.6640625" style="324" customWidth="1"/>
    <col min="4110" max="4117" width="15.88671875" style="324" customWidth="1"/>
    <col min="4118" max="4352" width="9.109375" style="324"/>
    <col min="4353" max="4353" width="26.6640625" style="324" customWidth="1"/>
    <col min="4354" max="4355" width="18.6640625" style="324" customWidth="1"/>
    <col min="4356" max="4356" width="27.6640625" style="324" customWidth="1"/>
    <col min="4357" max="4357" width="15.6640625" style="324" customWidth="1"/>
    <col min="4358" max="4359" width="12.6640625" style="324" customWidth="1"/>
    <col min="4360" max="4360" width="17.6640625" style="324" customWidth="1"/>
    <col min="4361" max="4362" width="15.6640625" style="324" customWidth="1"/>
    <col min="4363" max="4365" width="18.6640625" style="324" customWidth="1"/>
    <col min="4366" max="4373" width="15.88671875" style="324" customWidth="1"/>
    <col min="4374" max="4608" width="9.109375" style="324"/>
    <col min="4609" max="4609" width="26.6640625" style="324" customWidth="1"/>
    <col min="4610" max="4611" width="18.6640625" style="324" customWidth="1"/>
    <col min="4612" max="4612" width="27.6640625" style="324" customWidth="1"/>
    <col min="4613" max="4613" width="15.6640625" style="324" customWidth="1"/>
    <col min="4614" max="4615" width="12.6640625" style="324" customWidth="1"/>
    <col min="4616" max="4616" width="17.6640625" style="324" customWidth="1"/>
    <col min="4617" max="4618" width="15.6640625" style="324" customWidth="1"/>
    <col min="4619" max="4621" width="18.6640625" style="324" customWidth="1"/>
    <col min="4622" max="4629" width="15.88671875" style="324" customWidth="1"/>
    <col min="4630" max="4864" width="9.109375" style="324"/>
    <col min="4865" max="4865" width="26.6640625" style="324" customWidth="1"/>
    <col min="4866" max="4867" width="18.6640625" style="324" customWidth="1"/>
    <col min="4868" max="4868" width="27.6640625" style="324" customWidth="1"/>
    <col min="4869" max="4869" width="15.6640625" style="324" customWidth="1"/>
    <col min="4870" max="4871" width="12.6640625" style="324" customWidth="1"/>
    <col min="4872" max="4872" width="17.6640625" style="324" customWidth="1"/>
    <col min="4873" max="4874" width="15.6640625" style="324" customWidth="1"/>
    <col min="4875" max="4877" width="18.6640625" style="324" customWidth="1"/>
    <col min="4878" max="4885" width="15.88671875" style="324" customWidth="1"/>
    <col min="4886" max="5120" width="9.109375" style="324"/>
    <col min="5121" max="5121" width="26.6640625" style="324" customWidth="1"/>
    <col min="5122" max="5123" width="18.6640625" style="324" customWidth="1"/>
    <col min="5124" max="5124" width="27.6640625" style="324" customWidth="1"/>
    <col min="5125" max="5125" width="15.6640625" style="324" customWidth="1"/>
    <col min="5126" max="5127" width="12.6640625" style="324" customWidth="1"/>
    <col min="5128" max="5128" width="17.6640625" style="324" customWidth="1"/>
    <col min="5129" max="5130" width="15.6640625" style="324" customWidth="1"/>
    <col min="5131" max="5133" width="18.6640625" style="324" customWidth="1"/>
    <col min="5134" max="5141" width="15.88671875" style="324" customWidth="1"/>
    <col min="5142" max="5376" width="9.109375" style="324"/>
    <col min="5377" max="5377" width="26.6640625" style="324" customWidth="1"/>
    <col min="5378" max="5379" width="18.6640625" style="324" customWidth="1"/>
    <col min="5380" max="5380" width="27.6640625" style="324" customWidth="1"/>
    <col min="5381" max="5381" width="15.6640625" style="324" customWidth="1"/>
    <col min="5382" max="5383" width="12.6640625" style="324" customWidth="1"/>
    <col min="5384" max="5384" width="17.6640625" style="324" customWidth="1"/>
    <col min="5385" max="5386" width="15.6640625" style="324" customWidth="1"/>
    <col min="5387" max="5389" width="18.6640625" style="324" customWidth="1"/>
    <col min="5390" max="5397" width="15.88671875" style="324" customWidth="1"/>
    <col min="5398" max="5632" width="9.109375" style="324"/>
    <col min="5633" max="5633" width="26.6640625" style="324" customWidth="1"/>
    <col min="5634" max="5635" width="18.6640625" style="324" customWidth="1"/>
    <col min="5636" max="5636" width="27.6640625" style="324" customWidth="1"/>
    <col min="5637" max="5637" width="15.6640625" style="324" customWidth="1"/>
    <col min="5638" max="5639" width="12.6640625" style="324" customWidth="1"/>
    <col min="5640" max="5640" width="17.6640625" style="324" customWidth="1"/>
    <col min="5641" max="5642" width="15.6640625" style="324" customWidth="1"/>
    <col min="5643" max="5645" width="18.6640625" style="324" customWidth="1"/>
    <col min="5646" max="5653" width="15.88671875" style="324" customWidth="1"/>
    <col min="5654" max="5888" width="9.109375" style="324"/>
    <col min="5889" max="5889" width="26.6640625" style="324" customWidth="1"/>
    <col min="5890" max="5891" width="18.6640625" style="324" customWidth="1"/>
    <col min="5892" max="5892" width="27.6640625" style="324" customWidth="1"/>
    <col min="5893" max="5893" width="15.6640625" style="324" customWidth="1"/>
    <col min="5894" max="5895" width="12.6640625" style="324" customWidth="1"/>
    <col min="5896" max="5896" width="17.6640625" style="324" customWidth="1"/>
    <col min="5897" max="5898" width="15.6640625" style="324" customWidth="1"/>
    <col min="5899" max="5901" width="18.6640625" style="324" customWidth="1"/>
    <col min="5902" max="5909" width="15.88671875" style="324" customWidth="1"/>
    <col min="5910" max="6144" width="9.109375" style="324"/>
    <col min="6145" max="6145" width="26.6640625" style="324" customWidth="1"/>
    <col min="6146" max="6147" width="18.6640625" style="324" customWidth="1"/>
    <col min="6148" max="6148" width="27.6640625" style="324" customWidth="1"/>
    <col min="6149" max="6149" width="15.6640625" style="324" customWidth="1"/>
    <col min="6150" max="6151" width="12.6640625" style="324" customWidth="1"/>
    <col min="6152" max="6152" width="17.6640625" style="324" customWidth="1"/>
    <col min="6153" max="6154" width="15.6640625" style="324" customWidth="1"/>
    <col min="6155" max="6157" width="18.6640625" style="324" customWidth="1"/>
    <col min="6158" max="6165" width="15.88671875" style="324" customWidth="1"/>
    <col min="6166" max="6400" width="9.109375" style="324"/>
    <col min="6401" max="6401" width="26.6640625" style="324" customWidth="1"/>
    <col min="6402" max="6403" width="18.6640625" style="324" customWidth="1"/>
    <col min="6404" max="6404" width="27.6640625" style="324" customWidth="1"/>
    <col min="6405" max="6405" width="15.6640625" style="324" customWidth="1"/>
    <col min="6406" max="6407" width="12.6640625" style="324" customWidth="1"/>
    <col min="6408" max="6408" width="17.6640625" style="324" customWidth="1"/>
    <col min="6409" max="6410" width="15.6640625" style="324" customWidth="1"/>
    <col min="6411" max="6413" width="18.6640625" style="324" customWidth="1"/>
    <col min="6414" max="6421" width="15.88671875" style="324" customWidth="1"/>
    <col min="6422" max="6656" width="9.109375" style="324"/>
    <col min="6657" max="6657" width="26.6640625" style="324" customWidth="1"/>
    <col min="6658" max="6659" width="18.6640625" style="324" customWidth="1"/>
    <col min="6660" max="6660" width="27.6640625" style="324" customWidth="1"/>
    <col min="6661" max="6661" width="15.6640625" style="324" customWidth="1"/>
    <col min="6662" max="6663" width="12.6640625" style="324" customWidth="1"/>
    <col min="6664" max="6664" width="17.6640625" style="324" customWidth="1"/>
    <col min="6665" max="6666" width="15.6640625" style="324" customWidth="1"/>
    <col min="6667" max="6669" width="18.6640625" style="324" customWidth="1"/>
    <col min="6670" max="6677" width="15.88671875" style="324" customWidth="1"/>
    <col min="6678" max="6912" width="9.109375" style="324"/>
    <col min="6913" max="6913" width="26.6640625" style="324" customWidth="1"/>
    <col min="6914" max="6915" width="18.6640625" style="324" customWidth="1"/>
    <col min="6916" max="6916" width="27.6640625" style="324" customWidth="1"/>
    <col min="6917" max="6917" width="15.6640625" style="324" customWidth="1"/>
    <col min="6918" max="6919" width="12.6640625" style="324" customWidth="1"/>
    <col min="6920" max="6920" width="17.6640625" style="324" customWidth="1"/>
    <col min="6921" max="6922" width="15.6640625" style="324" customWidth="1"/>
    <col min="6923" max="6925" width="18.6640625" style="324" customWidth="1"/>
    <col min="6926" max="6933" width="15.88671875" style="324" customWidth="1"/>
    <col min="6934" max="7168" width="9.109375" style="324"/>
    <col min="7169" max="7169" width="26.6640625" style="324" customWidth="1"/>
    <col min="7170" max="7171" width="18.6640625" style="324" customWidth="1"/>
    <col min="7172" max="7172" width="27.6640625" style="324" customWidth="1"/>
    <col min="7173" max="7173" width="15.6640625" style="324" customWidth="1"/>
    <col min="7174" max="7175" width="12.6640625" style="324" customWidth="1"/>
    <col min="7176" max="7176" width="17.6640625" style="324" customWidth="1"/>
    <col min="7177" max="7178" width="15.6640625" style="324" customWidth="1"/>
    <col min="7179" max="7181" width="18.6640625" style="324" customWidth="1"/>
    <col min="7182" max="7189" width="15.88671875" style="324" customWidth="1"/>
    <col min="7190" max="7424" width="9.109375" style="324"/>
    <col min="7425" max="7425" width="26.6640625" style="324" customWidth="1"/>
    <col min="7426" max="7427" width="18.6640625" style="324" customWidth="1"/>
    <col min="7428" max="7428" width="27.6640625" style="324" customWidth="1"/>
    <col min="7429" max="7429" width="15.6640625" style="324" customWidth="1"/>
    <col min="7430" max="7431" width="12.6640625" style="324" customWidth="1"/>
    <col min="7432" max="7432" width="17.6640625" style="324" customWidth="1"/>
    <col min="7433" max="7434" width="15.6640625" style="324" customWidth="1"/>
    <col min="7435" max="7437" width="18.6640625" style="324" customWidth="1"/>
    <col min="7438" max="7445" width="15.88671875" style="324" customWidth="1"/>
    <col min="7446" max="7680" width="9.109375" style="324"/>
    <col min="7681" max="7681" width="26.6640625" style="324" customWidth="1"/>
    <col min="7682" max="7683" width="18.6640625" style="324" customWidth="1"/>
    <col min="7684" max="7684" width="27.6640625" style="324" customWidth="1"/>
    <col min="7685" max="7685" width="15.6640625" style="324" customWidth="1"/>
    <col min="7686" max="7687" width="12.6640625" style="324" customWidth="1"/>
    <col min="7688" max="7688" width="17.6640625" style="324" customWidth="1"/>
    <col min="7689" max="7690" width="15.6640625" style="324" customWidth="1"/>
    <col min="7691" max="7693" width="18.6640625" style="324" customWidth="1"/>
    <col min="7694" max="7701" width="15.88671875" style="324" customWidth="1"/>
    <col min="7702" max="7936" width="9.109375" style="324"/>
    <col min="7937" max="7937" width="26.6640625" style="324" customWidth="1"/>
    <col min="7938" max="7939" width="18.6640625" style="324" customWidth="1"/>
    <col min="7940" max="7940" width="27.6640625" style="324" customWidth="1"/>
    <col min="7941" max="7941" width="15.6640625" style="324" customWidth="1"/>
    <col min="7942" max="7943" width="12.6640625" style="324" customWidth="1"/>
    <col min="7944" max="7944" width="17.6640625" style="324" customWidth="1"/>
    <col min="7945" max="7946" width="15.6640625" style="324" customWidth="1"/>
    <col min="7947" max="7949" width="18.6640625" style="324" customWidth="1"/>
    <col min="7950" max="7957" width="15.88671875" style="324" customWidth="1"/>
    <col min="7958" max="8192" width="9.109375" style="324"/>
    <col min="8193" max="8193" width="26.6640625" style="324" customWidth="1"/>
    <col min="8194" max="8195" width="18.6640625" style="324" customWidth="1"/>
    <col min="8196" max="8196" width="27.6640625" style="324" customWidth="1"/>
    <col min="8197" max="8197" width="15.6640625" style="324" customWidth="1"/>
    <col min="8198" max="8199" width="12.6640625" style="324" customWidth="1"/>
    <col min="8200" max="8200" width="17.6640625" style="324" customWidth="1"/>
    <col min="8201" max="8202" width="15.6640625" style="324" customWidth="1"/>
    <col min="8203" max="8205" width="18.6640625" style="324" customWidth="1"/>
    <col min="8206" max="8213" width="15.88671875" style="324" customWidth="1"/>
    <col min="8214" max="8448" width="9.109375" style="324"/>
    <col min="8449" max="8449" width="26.6640625" style="324" customWidth="1"/>
    <col min="8450" max="8451" width="18.6640625" style="324" customWidth="1"/>
    <col min="8452" max="8452" width="27.6640625" style="324" customWidth="1"/>
    <col min="8453" max="8453" width="15.6640625" style="324" customWidth="1"/>
    <col min="8454" max="8455" width="12.6640625" style="324" customWidth="1"/>
    <col min="8456" max="8456" width="17.6640625" style="324" customWidth="1"/>
    <col min="8457" max="8458" width="15.6640625" style="324" customWidth="1"/>
    <col min="8459" max="8461" width="18.6640625" style="324" customWidth="1"/>
    <col min="8462" max="8469" width="15.88671875" style="324" customWidth="1"/>
    <col min="8470" max="8704" width="9.109375" style="324"/>
    <col min="8705" max="8705" width="26.6640625" style="324" customWidth="1"/>
    <col min="8706" max="8707" width="18.6640625" style="324" customWidth="1"/>
    <col min="8708" max="8708" width="27.6640625" style="324" customWidth="1"/>
    <col min="8709" max="8709" width="15.6640625" style="324" customWidth="1"/>
    <col min="8710" max="8711" width="12.6640625" style="324" customWidth="1"/>
    <col min="8712" max="8712" width="17.6640625" style="324" customWidth="1"/>
    <col min="8713" max="8714" width="15.6640625" style="324" customWidth="1"/>
    <col min="8715" max="8717" width="18.6640625" style="324" customWidth="1"/>
    <col min="8718" max="8725" width="15.88671875" style="324" customWidth="1"/>
    <col min="8726" max="8960" width="9.109375" style="324"/>
    <col min="8961" max="8961" width="26.6640625" style="324" customWidth="1"/>
    <col min="8962" max="8963" width="18.6640625" style="324" customWidth="1"/>
    <col min="8964" max="8964" width="27.6640625" style="324" customWidth="1"/>
    <col min="8965" max="8965" width="15.6640625" style="324" customWidth="1"/>
    <col min="8966" max="8967" width="12.6640625" style="324" customWidth="1"/>
    <col min="8968" max="8968" width="17.6640625" style="324" customWidth="1"/>
    <col min="8969" max="8970" width="15.6640625" style="324" customWidth="1"/>
    <col min="8971" max="8973" width="18.6640625" style="324" customWidth="1"/>
    <col min="8974" max="8981" width="15.88671875" style="324" customWidth="1"/>
    <col min="8982" max="9216" width="9.109375" style="324"/>
    <col min="9217" max="9217" width="26.6640625" style="324" customWidth="1"/>
    <col min="9218" max="9219" width="18.6640625" style="324" customWidth="1"/>
    <col min="9220" max="9220" width="27.6640625" style="324" customWidth="1"/>
    <col min="9221" max="9221" width="15.6640625" style="324" customWidth="1"/>
    <col min="9222" max="9223" width="12.6640625" style="324" customWidth="1"/>
    <col min="9224" max="9224" width="17.6640625" style="324" customWidth="1"/>
    <col min="9225" max="9226" width="15.6640625" style="324" customWidth="1"/>
    <col min="9227" max="9229" width="18.6640625" style="324" customWidth="1"/>
    <col min="9230" max="9237" width="15.88671875" style="324" customWidth="1"/>
    <col min="9238" max="9472" width="9.109375" style="324"/>
    <col min="9473" max="9473" width="26.6640625" style="324" customWidth="1"/>
    <col min="9474" max="9475" width="18.6640625" style="324" customWidth="1"/>
    <col min="9476" max="9476" width="27.6640625" style="324" customWidth="1"/>
    <col min="9477" max="9477" width="15.6640625" style="324" customWidth="1"/>
    <col min="9478" max="9479" width="12.6640625" style="324" customWidth="1"/>
    <col min="9480" max="9480" width="17.6640625" style="324" customWidth="1"/>
    <col min="9481" max="9482" width="15.6640625" style="324" customWidth="1"/>
    <col min="9483" max="9485" width="18.6640625" style="324" customWidth="1"/>
    <col min="9486" max="9493" width="15.88671875" style="324" customWidth="1"/>
    <col min="9494" max="9728" width="9.109375" style="324"/>
    <col min="9729" max="9729" width="26.6640625" style="324" customWidth="1"/>
    <col min="9730" max="9731" width="18.6640625" style="324" customWidth="1"/>
    <col min="9732" max="9732" width="27.6640625" style="324" customWidth="1"/>
    <col min="9733" max="9733" width="15.6640625" style="324" customWidth="1"/>
    <col min="9734" max="9735" width="12.6640625" style="324" customWidth="1"/>
    <col min="9736" max="9736" width="17.6640625" style="324" customWidth="1"/>
    <col min="9737" max="9738" width="15.6640625" style="324" customWidth="1"/>
    <col min="9739" max="9741" width="18.6640625" style="324" customWidth="1"/>
    <col min="9742" max="9749" width="15.88671875" style="324" customWidth="1"/>
    <col min="9750" max="9984" width="9.109375" style="324"/>
    <col min="9985" max="9985" width="26.6640625" style="324" customWidth="1"/>
    <col min="9986" max="9987" width="18.6640625" style="324" customWidth="1"/>
    <col min="9988" max="9988" width="27.6640625" style="324" customWidth="1"/>
    <col min="9989" max="9989" width="15.6640625" style="324" customWidth="1"/>
    <col min="9990" max="9991" width="12.6640625" style="324" customWidth="1"/>
    <col min="9992" max="9992" width="17.6640625" style="324" customWidth="1"/>
    <col min="9993" max="9994" width="15.6640625" style="324" customWidth="1"/>
    <col min="9995" max="9997" width="18.6640625" style="324" customWidth="1"/>
    <col min="9998" max="10005" width="15.88671875" style="324" customWidth="1"/>
    <col min="10006" max="10240" width="9.109375" style="324"/>
    <col min="10241" max="10241" width="26.6640625" style="324" customWidth="1"/>
    <col min="10242" max="10243" width="18.6640625" style="324" customWidth="1"/>
    <col min="10244" max="10244" width="27.6640625" style="324" customWidth="1"/>
    <col min="10245" max="10245" width="15.6640625" style="324" customWidth="1"/>
    <col min="10246" max="10247" width="12.6640625" style="324" customWidth="1"/>
    <col min="10248" max="10248" width="17.6640625" style="324" customWidth="1"/>
    <col min="10249" max="10250" width="15.6640625" style="324" customWidth="1"/>
    <col min="10251" max="10253" width="18.6640625" style="324" customWidth="1"/>
    <col min="10254" max="10261" width="15.88671875" style="324" customWidth="1"/>
    <col min="10262" max="10496" width="9.109375" style="324"/>
    <col min="10497" max="10497" width="26.6640625" style="324" customWidth="1"/>
    <col min="10498" max="10499" width="18.6640625" style="324" customWidth="1"/>
    <col min="10500" max="10500" width="27.6640625" style="324" customWidth="1"/>
    <col min="10501" max="10501" width="15.6640625" style="324" customWidth="1"/>
    <col min="10502" max="10503" width="12.6640625" style="324" customWidth="1"/>
    <col min="10504" max="10504" width="17.6640625" style="324" customWidth="1"/>
    <col min="10505" max="10506" width="15.6640625" style="324" customWidth="1"/>
    <col min="10507" max="10509" width="18.6640625" style="324" customWidth="1"/>
    <col min="10510" max="10517" width="15.88671875" style="324" customWidth="1"/>
    <col min="10518" max="10752" width="9.109375" style="324"/>
    <col min="10753" max="10753" width="26.6640625" style="324" customWidth="1"/>
    <col min="10754" max="10755" width="18.6640625" style="324" customWidth="1"/>
    <col min="10756" max="10756" width="27.6640625" style="324" customWidth="1"/>
    <col min="10757" max="10757" width="15.6640625" style="324" customWidth="1"/>
    <col min="10758" max="10759" width="12.6640625" style="324" customWidth="1"/>
    <col min="10760" max="10760" width="17.6640625" style="324" customWidth="1"/>
    <col min="10761" max="10762" width="15.6640625" style="324" customWidth="1"/>
    <col min="10763" max="10765" width="18.6640625" style="324" customWidth="1"/>
    <col min="10766" max="10773" width="15.88671875" style="324" customWidth="1"/>
    <col min="10774" max="11008" width="9.109375" style="324"/>
    <col min="11009" max="11009" width="26.6640625" style="324" customWidth="1"/>
    <col min="11010" max="11011" width="18.6640625" style="324" customWidth="1"/>
    <col min="11012" max="11012" width="27.6640625" style="324" customWidth="1"/>
    <col min="11013" max="11013" width="15.6640625" style="324" customWidth="1"/>
    <col min="11014" max="11015" width="12.6640625" style="324" customWidth="1"/>
    <col min="11016" max="11016" width="17.6640625" style="324" customWidth="1"/>
    <col min="11017" max="11018" width="15.6640625" style="324" customWidth="1"/>
    <col min="11019" max="11021" width="18.6640625" style="324" customWidth="1"/>
    <col min="11022" max="11029" width="15.88671875" style="324" customWidth="1"/>
    <col min="11030" max="11264" width="9.109375" style="324"/>
    <col min="11265" max="11265" width="26.6640625" style="324" customWidth="1"/>
    <col min="11266" max="11267" width="18.6640625" style="324" customWidth="1"/>
    <col min="11268" max="11268" width="27.6640625" style="324" customWidth="1"/>
    <col min="11269" max="11269" width="15.6640625" style="324" customWidth="1"/>
    <col min="11270" max="11271" width="12.6640625" style="324" customWidth="1"/>
    <col min="11272" max="11272" width="17.6640625" style="324" customWidth="1"/>
    <col min="11273" max="11274" width="15.6640625" style="324" customWidth="1"/>
    <col min="11275" max="11277" width="18.6640625" style="324" customWidth="1"/>
    <col min="11278" max="11285" width="15.88671875" style="324" customWidth="1"/>
    <col min="11286" max="11520" width="9.109375" style="324"/>
    <col min="11521" max="11521" width="26.6640625" style="324" customWidth="1"/>
    <col min="11522" max="11523" width="18.6640625" style="324" customWidth="1"/>
    <col min="11524" max="11524" width="27.6640625" style="324" customWidth="1"/>
    <col min="11525" max="11525" width="15.6640625" style="324" customWidth="1"/>
    <col min="11526" max="11527" width="12.6640625" style="324" customWidth="1"/>
    <col min="11528" max="11528" width="17.6640625" style="324" customWidth="1"/>
    <col min="11529" max="11530" width="15.6640625" style="324" customWidth="1"/>
    <col min="11531" max="11533" width="18.6640625" style="324" customWidth="1"/>
    <col min="11534" max="11541" width="15.88671875" style="324" customWidth="1"/>
    <col min="11542" max="11776" width="9.109375" style="324"/>
    <col min="11777" max="11777" width="26.6640625" style="324" customWidth="1"/>
    <col min="11778" max="11779" width="18.6640625" style="324" customWidth="1"/>
    <col min="11780" max="11780" width="27.6640625" style="324" customWidth="1"/>
    <col min="11781" max="11781" width="15.6640625" style="324" customWidth="1"/>
    <col min="11782" max="11783" width="12.6640625" style="324" customWidth="1"/>
    <col min="11784" max="11784" width="17.6640625" style="324" customWidth="1"/>
    <col min="11785" max="11786" width="15.6640625" style="324" customWidth="1"/>
    <col min="11787" max="11789" width="18.6640625" style="324" customWidth="1"/>
    <col min="11790" max="11797" width="15.88671875" style="324" customWidth="1"/>
    <col min="11798" max="12032" width="9.109375" style="324"/>
    <col min="12033" max="12033" width="26.6640625" style="324" customWidth="1"/>
    <col min="12034" max="12035" width="18.6640625" style="324" customWidth="1"/>
    <col min="12036" max="12036" width="27.6640625" style="324" customWidth="1"/>
    <col min="12037" max="12037" width="15.6640625" style="324" customWidth="1"/>
    <col min="12038" max="12039" width="12.6640625" style="324" customWidth="1"/>
    <col min="12040" max="12040" width="17.6640625" style="324" customWidth="1"/>
    <col min="12041" max="12042" width="15.6640625" style="324" customWidth="1"/>
    <col min="12043" max="12045" width="18.6640625" style="324" customWidth="1"/>
    <col min="12046" max="12053" width="15.88671875" style="324" customWidth="1"/>
    <col min="12054" max="12288" width="9.109375" style="324"/>
    <col min="12289" max="12289" width="26.6640625" style="324" customWidth="1"/>
    <col min="12290" max="12291" width="18.6640625" style="324" customWidth="1"/>
    <col min="12292" max="12292" width="27.6640625" style="324" customWidth="1"/>
    <col min="12293" max="12293" width="15.6640625" style="324" customWidth="1"/>
    <col min="12294" max="12295" width="12.6640625" style="324" customWidth="1"/>
    <col min="12296" max="12296" width="17.6640625" style="324" customWidth="1"/>
    <col min="12297" max="12298" width="15.6640625" style="324" customWidth="1"/>
    <col min="12299" max="12301" width="18.6640625" style="324" customWidth="1"/>
    <col min="12302" max="12309" width="15.88671875" style="324" customWidth="1"/>
    <col min="12310" max="12544" width="9.109375" style="324"/>
    <col min="12545" max="12545" width="26.6640625" style="324" customWidth="1"/>
    <col min="12546" max="12547" width="18.6640625" style="324" customWidth="1"/>
    <col min="12548" max="12548" width="27.6640625" style="324" customWidth="1"/>
    <col min="12549" max="12549" width="15.6640625" style="324" customWidth="1"/>
    <col min="12550" max="12551" width="12.6640625" style="324" customWidth="1"/>
    <col min="12552" max="12552" width="17.6640625" style="324" customWidth="1"/>
    <col min="12553" max="12554" width="15.6640625" style="324" customWidth="1"/>
    <col min="12555" max="12557" width="18.6640625" style="324" customWidth="1"/>
    <col min="12558" max="12565" width="15.88671875" style="324" customWidth="1"/>
    <col min="12566" max="12800" width="9.109375" style="324"/>
    <col min="12801" max="12801" width="26.6640625" style="324" customWidth="1"/>
    <col min="12802" max="12803" width="18.6640625" style="324" customWidth="1"/>
    <col min="12804" max="12804" width="27.6640625" style="324" customWidth="1"/>
    <col min="12805" max="12805" width="15.6640625" style="324" customWidth="1"/>
    <col min="12806" max="12807" width="12.6640625" style="324" customWidth="1"/>
    <col min="12808" max="12808" width="17.6640625" style="324" customWidth="1"/>
    <col min="12809" max="12810" width="15.6640625" style="324" customWidth="1"/>
    <col min="12811" max="12813" width="18.6640625" style="324" customWidth="1"/>
    <col min="12814" max="12821" width="15.88671875" style="324" customWidth="1"/>
    <col min="12822" max="13056" width="9.109375" style="324"/>
    <col min="13057" max="13057" width="26.6640625" style="324" customWidth="1"/>
    <col min="13058" max="13059" width="18.6640625" style="324" customWidth="1"/>
    <col min="13060" max="13060" width="27.6640625" style="324" customWidth="1"/>
    <col min="13061" max="13061" width="15.6640625" style="324" customWidth="1"/>
    <col min="13062" max="13063" width="12.6640625" style="324" customWidth="1"/>
    <col min="13064" max="13064" width="17.6640625" style="324" customWidth="1"/>
    <col min="13065" max="13066" width="15.6640625" style="324" customWidth="1"/>
    <col min="13067" max="13069" width="18.6640625" style="324" customWidth="1"/>
    <col min="13070" max="13077" width="15.88671875" style="324" customWidth="1"/>
    <col min="13078" max="13312" width="9.109375" style="324"/>
    <col min="13313" max="13313" width="26.6640625" style="324" customWidth="1"/>
    <col min="13314" max="13315" width="18.6640625" style="324" customWidth="1"/>
    <col min="13316" max="13316" width="27.6640625" style="324" customWidth="1"/>
    <col min="13317" max="13317" width="15.6640625" style="324" customWidth="1"/>
    <col min="13318" max="13319" width="12.6640625" style="324" customWidth="1"/>
    <col min="13320" max="13320" width="17.6640625" style="324" customWidth="1"/>
    <col min="13321" max="13322" width="15.6640625" style="324" customWidth="1"/>
    <col min="13323" max="13325" width="18.6640625" style="324" customWidth="1"/>
    <col min="13326" max="13333" width="15.88671875" style="324" customWidth="1"/>
    <col min="13334" max="13568" width="9.109375" style="324"/>
    <col min="13569" max="13569" width="26.6640625" style="324" customWidth="1"/>
    <col min="13570" max="13571" width="18.6640625" style="324" customWidth="1"/>
    <col min="13572" max="13572" width="27.6640625" style="324" customWidth="1"/>
    <col min="13573" max="13573" width="15.6640625" style="324" customWidth="1"/>
    <col min="13574" max="13575" width="12.6640625" style="324" customWidth="1"/>
    <col min="13576" max="13576" width="17.6640625" style="324" customWidth="1"/>
    <col min="13577" max="13578" width="15.6640625" style="324" customWidth="1"/>
    <col min="13579" max="13581" width="18.6640625" style="324" customWidth="1"/>
    <col min="13582" max="13589" width="15.88671875" style="324" customWidth="1"/>
    <col min="13590" max="13824" width="9.109375" style="324"/>
    <col min="13825" max="13825" width="26.6640625" style="324" customWidth="1"/>
    <col min="13826" max="13827" width="18.6640625" style="324" customWidth="1"/>
    <col min="13828" max="13828" width="27.6640625" style="324" customWidth="1"/>
    <col min="13829" max="13829" width="15.6640625" style="324" customWidth="1"/>
    <col min="13830" max="13831" width="12.6640625" style="324" customWidth="1"/>
    <col min="13832" max="13832" width="17.6640625" style="324" customWidth="1"/>
    <col min="13833" max="13834" width="15.6640625" style="324" customWidth="1"/>
    <col min="13835" max="13837" width="18.6640625" style="324" customWidth="1"/>
    <col min="13838" max="13845" width="15.88671875" style="324" customWidth="1"/>
    <col min="13846" max="14080" width="9.109375" style="324"/>
    <col min="14081" max="14081" width="26.6640625" style="324" customWidth="1"/>
    <col min="14082" max="14083" width="18.6640625" style="324" customWidth="1"/>
    <col min="14084" max="14084" width="27.6640625" style="324" customWidth="1"/>
    <col min="14085" max="14085" width="15.6640625" style="324" customWidth="1"/>
    <col min="14086" max="14087" width="12.6640625" style="324" customWidth="1"/>
    <col min="14088" max="14088" width="17.6640625" style="324" customWidth="1"/>
    <col min="14089" max="14090" width="15.6640625" style="324" customWidth="1"/>
    <col min="14091" max="14093" width="18.6640625" style="324" customWidth="1"/>
    <col min="14094" max="14101" width="15.88671875" style="324" customWidth="1"/>
    <col min="14102" max="14336" width="9.109375" style="324"/>
    <col min="14337" max="14337" width="26.6640625" style="324" customWidth="1"/>
    <col min="14338" max="14339" width="18.6640625" style="324" customWidth="1"/>
    <col min="14340" max="14340" width="27.6640625" style="324" customWidth="1"/>
    <col min="14341" max="14341" width="15.6640625" style="324" customWidth="1"/>
    <col min="14342" max="14343" width="12.6640625" style="324" customWidth="1"/>
    <col min="14344" max="14344" width="17.6640625" style="324" customWidth="1"/>
    <col min="14345" max="14346" width="15.6640625" style="324" customWidth="1"/>
    <col min="14347" max="14349" width="18.6640625" style="324" customWidth="1"/>
    <col min="14350" max="14357" width="15.88671875" style="324" customWidth="1"/>
    <col min="14358" max="14592" width="9.109375" style="324"/>
    <col min="14593" max="14593" width="26.6640625" style="324" customWidth="1"/>
    <col min="14594" max="14595" width="18.6640625" style="324" customWidth="1"/>
    <col min="14596" max="14596" width="27.6640625" style="324" customWidth="1"/>
    <col min="14597" max="14597" width="15.6640625" style="324" customWidth="1"/>
    <col min="14598" max="14599" width="12.6640625" style="324" customWidth="1"/>
    <col min="14600" max="14600" width="17.6640625" style="324" customWidth="1"/>
    <col min="14601" max="14602" width="15.6640625" style="324" customWidth="1"/>
    <col min="14603" max="14605" width="18.6640625" style="324" customWidth="1"/>
    <col min="14606" max="14613" width="15.88671875" style="324" customWidth="1"/>
    <col min="14614" max="14848" width="9.109375" style="324"/>
    <col min="14849" max="14849" width="26.6640625" style="324" customWidth="1"/>
    <col min="14850" max="14851" width="18.6640625" style="324" customWidth="1"/>
    <col min="14852" max="14852" width="27.6640625" style="324" customWidth="1"/>
    <col min="14853" max="14853" width="15.6640625" style="324" customWidth="1"/>
    <col min="14854" max="14855" width="12.6640625" style="324" customWidth="1"/>
    <col min="14856" max="14856" width="17.6640625" style="324" customWidth="1"/>
    <col min="14857" max="14858" width="15.6640625" style="324" customWidth="1"/>
    <col min="14859" max="14861" width="18.6640625" style="324" customWidth="1"/>
    <col min="14862" max="14869" width="15.88671875" style="324" customWidth="1"/>
    <col min="14870" max="15104" width="9.109375" style="324"/>
    <col min="15105" max="15105" width="26.6640625" style="324" customWidth="1"/>
    <col min="15106" max="15107" width="18.6640625" style="324" customWidth="1"/>
    <col min="15108" max="15108" width="27.6640625" style="324" customWidth="1"/>
    <col min="15109" max="15109" width="15.6640625" style="324" customWidth="1"/>
    <col min="15110" max="15111" width="12.6640625" style="324" customWidth="1"/>
    <col min="15112" max="15112" width="17.6640625" style="324" customWidth="1"/>
    <col min="15113" max="15114" width="15.6640625" style="324" customWidth="1"/>
    <col min="15115" max="15117" width="18.6640625" style="324" customWidth="1"/>
    <col min="15118" max="15125" width="15.88671875" style="324" customWidth="1"/>
    <col min="15126" max="15360" width="9.109375" style="324"/>
    <col min="15361" max="15361" width="26.6640625" style="324" customWidth="1"/>
    <col min="15362" max="15363" width="18.6640625" style="324" customWidth="1"/>
    <col min="15364" max="15364" width="27.6640625" style="324" customWidth="1"/>
    <col min="15365" max="15365" width="15.6640625" style="324" customWidth="1"/>
    <col min="15366" max="15367" width="12.6640625" style="324" customWidth="1"/>
    <col min="15368" max="15368" width="17.6640625" style="324" customWidth="1"/>
    <col min="15369" max="15370" width="15.6640625" style="324" customWidth="1"/>
    <col min="15371" max="15373" width="18.6640625" style="324" customWidth="1"/>
    <col min="15374" max="15381" width="15.88671875" style="324" customWidth="1"/>
    <col min="15382" max="15616" width="9.109375" style="324"/>
    <col min="15617" max="15617" width="26.6640625" style="324" customWidth="1"/>
    <col min="15618" max="15619" width="18.6640625" style="324" customWidth="1"/>
    <col min="15620" max="15620" width="27.6640625" style="324" customWidth="1"/>
    <col min="15621" max="15621" width="15.6640625" style="324" customWidth="1"/>
    <col min="15622" max="15623" width="12.6640625" style="324" customWidth="1"/>
    <col min="15624" max="15624" width="17.6640625" style="324" customWidth="1"/>
    <col min="15625" max="15626" width="15.6640625" style="324" customWidth="1"/>
    <col min="15627" max="15629" width="18.6640625" style="324" customWidth="1"/>
    <col min="15630" max="15637" width="15.88671875" style="324" customWidth="1"/>
    <col min="15638" max="15872" width="9.109375" style="324"/>
    <col min="15873" max="15873" width="26.6640625" style="324" customWidth="1"/>
    <col min="15874" max="15875" width="18.6640625" style="324" customWidth="1"/>
    <col min="15876" max="15876" width="27.6640625" style="324" customWidth="1"/>
    <col min="15877" max="15877" width="15.6640625" style="324" customWidth="1"/>
    <col min="15878" max="15879" width="12.6640625" style="324" customWidth="1"/>
    <col min="15880" max="15880" width="17.6640625" style="324" customWidth="1"/>
    <col min="15881" max="15882" width="15.6640625" style="324" customWidth="1"/>
    <col min="15883" max="15885" width="18.6640625" style="324" customWidth="1"/>
    <col min="15886" max="15893" width="15.88671875" style="324" customWidth="1"/>
    <col min="15894" max="16128" width="9.109375" style="324"/>
    <col min="16129" max="16129" width="26.6640625" style="324" customWidth="1"/>
    <col min="16130" max="16131" width="18.6640625" style="324" customWidth="1"/>
    <col min="16132" max="16132" width="27.6640625" style="324" customWidth="1"/>
    <col min="16133" max="16133" width="15.6640625" style="324" customWidth="1"/>
    <col min="16134" max="16135" width="12.6640625" style="324" customWidth="1"/>
    <col min="16136" max="16136" width="17.6640625" style="324" customWidth="1"/>
    <col min="16137" max="16138" width="15.6640625" style="324" customWidth="1"/>
    <col min="16139" max="16141" width="18.6640625" style="324" customWidth="1"/>
    <col min="16142" max="16149" width="15.88671875" style="324" customWidth="1"/>
    <col min="16150" max="16384" width="9.109375" style="324"/>
  </cols>
  <sheetData>
    <row r="1" spans="1:21" ht="17.399999999999999" x14ac:dyDescent="0.3">
      <c r="A1" s="508" t="s">
        <v>18</v>
      </c>
      <c r="B1" s="509"/>
      <c r="C1" s="509"/>
      <c r="D1" s="509"/>
      <c r="E1" s="509"/>
      <c r="F1" s="509"/>
      <c r="G1" s="509"/>
      <c r="H1" s="509"/>
      <c r="I1" s="509"/>
      <c r="J1" s="510"/>
      <c r="K1" s="508" t="s">
        <v>18</v>
      </c>
      <c r="L1" s="509"/>
      <c r="M1" s="509"/>
      <c r="N1" s="509"/>
      <c r="O1" s="509"/>
      <c r="P1" s="509"/>
      <c r="Q1" s="509"/>
      <c r="R1" s="509"/>
      <c r="S1" s="509"/>
      <c r="T1" s="509"/>
      <c r="U1" s="510"/>
    </row>
    <row r="2" spans="1:21" ht="17.399999999999999" x14ac:dyDescent="0.3">
      <c r="A2" s="511" t="s">
        <v>253</v>
      </c>
      <c r="B2" s="512"/>
      <c r="C2" s="512"/>
      <c r="D2" s="512"/>
      <c r="E2" s="512"/>
      <c r="F2" s="512"/>
      <c r="G2" s="512"/>
      <c r="H2" s="512"/>
      <c r="I2" s="512"/>
      <c r="J2" s="513"/>
      <c r="K2" s="511" t="s">
        <v>254</v>
      </c>
      <c r="L2" s="512"/>
      <c r="M2" s="512"/>
      <c r="N2" s="512"/>
      <c r="O2" s="512"/>
      <c r="P2" s="512"/>
      <c r="Q2" s="512"/>
      <c r="R2" s="512"/>
      <c r="S2" s="512"/>
      <c r="T2" s="512"/>
      <c r="U2" s="513"/>
    </row>
    <row r="3" spans="1:21" x14ac:dyDescent="0.3">
      <c r="A3" s="325"/>
      <c r="B3" s="326"/>
      <c r="C3" s="327"/>
      <c r="D3" s="514" t="s">
        <v>261</v>
      </c>
      <c r="E3" s="514"/>
      <c r="F3" s="514"/>
      <c r="G3" s="327"/>
      <c r="H3" s="326"/>
      <c r="I3" s="326"/>
      <c r="J3" s="328"/>
      <c r="K3" s="325"/>
      <c r="L3" s="326"/>
      <c r="M3" s="327"/>
      <c r="N3" s="514" t="s">
        <v>261</v>
      </c>
      <c r="O3" s="514"/>
      <c r="P3" s="514"/>
      <c r="Q3" s="514"/>
      <c r="R3" s="327"/>
      <c r="S3" s="327"/>
      <c r="T3" s="326"/>
      <c r="U3" s="328"/>
    </row>
    <row r="4" spans="1:21" x14ac:dyDescent="0.3">
      <c r="A4" s="329"/>
      <c r="B4" s="330"/>
      <c r="C4" s="330"/>
      <c r="D4" s="330"/>
      <c r="E4" s="330"/>
      <c r="F4" s="488" t="s">
        <v>154</v>
      </c>
      <c r="G4" s="488"/>
      <c r="H4" s="488"/>
      <c r="I4" s="488"/>
      <c r="J4" s="489"/>
      <c r="K4" s="331"/>
      <c r="L4" s="332"/>
      <c r="M4" s="332"/>
      <c r="N4" s="332"/>
      <c r="O4" s="332"/>
      <c r="P4" s="332"/>
      <c r="Q4" s="332"/>
      <c r="R4" s="332"/>
      <c r="S4" s="332"/>
      <c r="T4" s="332"/>
      <c r="U4" s="333"/>
    </row>
    <row r="5" spans="1:21" x14ac:dyDescent="0.3">
      <c r="A5" s="334" t="s">
        <v>67</v>
      </c>
      <c r="B5" s="490" t="s">
        <v>65</v>
      </c>
      <c r="C5" s="491"/>
      <c r="D5" s="335" t="s">
        <v>68</v>
      </c>
      <c r="E5" s="336"/>
      <c r="F5" s="335" t="s">
        <v>69</v>
      </c>
      <c r="G5" s="337"/>
      <c r="H5" s="338" t="s">
        <v>70</v>
      </c>
      <c r="I5" s="339" t="s">
        <v>154</v>
      </c>
      <c r="J5" s="339"/>
      <c r="K5" s="334" t="s">
        <v>67</v>
      </c>
      <c r="L5" s="492" t="s">
        <v>65</v>
      </c>
      <c r="M5" s="493"/>
      <c r="N5" s="335" t="s">
        <v>71</v>
      </c>
      <c r="O5" s="337"/>
      <c r="P5" s="494" t="s">
        <v>256</v>
      </c>
      <c r="Q5" s="495"/>
      <c r="R5" s="495"/>
      <c r="S5" s="495"/>
      <c r="T5" s="495"/>
      <c r="U5" s="496"/>
    </row>
    <row r="6" spans="1:21" x14ac:dyDescent="0.3">
      <c r="A6" s="340" t="s">
        <v>72</v>
      </c>
      <c r="B6" s="503" t="s">
        <v>138</v>
      </c>
      <c r="C6" s="504"/>
      <c r="D6" s="341" t="s">
        <v>74</v>
      </c>
      <c r="E6" s="342">
        <v>0.97579800000000005</v>
      </c>
      <c r="F6" s="343" t="s">
        <v>222</v>
      </c>
      <c r="G6" s="344"/>
      <c r="H6" s="345">
        <v>75.212353167640018</v>
      </c>
      <c r="I6" s="346" t="s">
        <v>154</v>
      </c>
      <c r="J6" s="347"/>
      <c r="K6" s="340" t="s">
        <v>72</v>
      </c>
      <c r="L6" s="505" t="s">
        <v>138</v>
      </c>
      <c r="M6" s="474"/>
      <c r="N6" s="348">
        <v>199655.49575892842</v>
      </c>
      <c r="O6" s="349"/>
      <c r="P6" s="497"/>
      <c r="Q6" s="498"/>
      <c r="R6" s="498"/>
      <c r="S6" s="498"/>
      <c r="T6" s="498"/>
      <c r="U6" s="499"/>
    </row>
    <row r="7" spans="1:21" x14ac:dyDescent="0.3">
      <c r="A7" s="340" t="s">
        <v>77</v>
      </c>
      <c r="B7" s="473" t="s">
        <v>137</v>
      </c>
      <c r="C7" s="474"/>
      <c r="D7" s="350" t="s">
        <v>79</v>
      </c>
      <c r="E7" s="351">
        <v>2925.047</v>
      </c>
      <c r="F7" s="343" t="s">
        <v>223</v>
      </c>
      <c r="G7" s="344"/>
      <c r="H7" s="352">
        <v>61.836031544521276</v>
      </c>
      <c r="I7" s="353" t="s">
        <v>154</v>
      </c>
      <c r="J7" s="354"/>
      <c r="K7" s="355" t="s">
        <v>77</v>
      </c>
      <c r="L7" s="506" t="s">
        <v>137</v>
      </c>
      <c r="M7" s="507"/>
      <c r="N7" s="335"/>
      <c r="O7" s="337"/>
      <c r="P7" s="500"/>
      <c r="Q7" s="501"/>
      <c r="R7" s="501"/>
      <c r="S7" s="501"/>
      <c r="T7" s="501"/>
      <c r="U7" s="502"/>
    </row>
    <row r="8" spans="1:21" ht="15.6" x14ac:dyDescent="0.3">
      <c r="A8" s="340" t="s">
        <v>81</v>
      </c>
      <c r="B8" s="468" t="s">
        <v>224</v>
      </c>
      <c r="C8" s="469"/>
      <c r="D8" s="350" t="s">
        <v>82</v>
      </c>
      <c r="E8" s="351">
        <v>5733.0921200000003</v>
      </c>
      <c r="F8" s="343"/>
      <c r="G8" s="344"/>
      <c r="H8" s="339" t="s">
        <v>83</v>
      </c>
      <c r="I8" s="356" t="s">
        <v>154</v>
      </c>
      <c r="J8" s="339" t="s">
        <v>85</v>
      </c>
      <c r="K8" s="357"/>
      <c r="L8" s="358"/>
      <c r="M8" s="358"/>
      <c r="N8" s="358"/>
      <c r="O8" s="358"/>
      <c r="P8" s="358"/>
      <c r="Q8" s="358"/>
      <c r="R8" s="358"/>
      <c r="S8" s="358"/>
      <c r="T8" s="358"/>
      <c r="U8" s="359"/>
    </row>
    <row r="9" spans="1:21" ht="15.6" x14ac:dyDescent="0.3">
      <c r="A9" s="340" t="s">
        <v>86</v>
      </c>
      <c r="B9" s="468" t="s">
        <v>76</v>
      </c>
      <c r="C9" s="469"/>
      <c r="D9" s="350" t="s">
        <v>87</v>
      </c>
      <c r="E9" s="360">
        <v>125116.01330530264</v>
      </c>
      <c r="F9" s="343" t="s">
        <v>88</v>
      </c>
      <c r="G9" s="344"/>
      <c r="H9" s="352">
        <v>59.92</v>
      </c>
      <c r="I9" s="361">
        <v>37644</v>
      </c>
      <c r="J9" s="362">
        <v>108097</v>
      </c>
      <c r="K9" s="470" t="s">
        <v>89</v>
      </c>
      <c r="L9" s="471"/>
      <c r="M9" s="471"/>
      <c r="N9" s="471"/>
      <c r="O9" s="471"/>
      <c r="P9" s="471"/>
      <c r="Q9" s="471"/>
      <c r="R9" s="471"/>
      <c r="S9" s="471"/>
      <c r="T9" s="471"/>
      <c r="U9" s="472"/>
    </row>
    <row r="10" spans="1:21" x14ac:dyDescent="0.3">
      <c r="A10" s="340" t="s">
        <v>90</v>
      </c>
      <c r="B10" s="473" t="s">
        <v>91</v>
      </c>
      <c r="C10" s="474"/>
      <c r="D10" s="350" t="s">
        <v>92</v>
      </c>
      <c r="E10" s="351">
        <v>74539.482453625795</v>
      </c>
      <c r="F10" s="363" t="s">
        <v>93</v>
      </c>
      <c r="G10" s="364"/>
      <c r="H10" s="365">
        <v>61.4</v>
      </c>
      <c r="I10" s="366">
        <v>42054</v>
      </c>
      <c r="J10" s="367">
        <v>92866</v>
      </c>
      <c r="K10" s="368"/>
      <c r="L10" s="369" t="s">
        <v>94</v>
      </c>
      <c r="M10" s="370"/>
      <c r="N10" s="369" t="s">
        <v>95</v>
      </c>
      <c r="O10" s="370"/>
      <c r="P10" s="369" t="s">
        <v>96</v>
      </c>
      <c r="Q10" s="370"/>
      <c r="R10" s="369" t="s">
        <v>97</v>
      </c>
      <c r="S10" s="370"/>
      <c r="T10" s="369" t="s">
        <v>98</v>
      </c>
      <c r="U10" s="371"/>
    </row>
    <row r="11" spans="1:21" x14ac:dyDescent="0.3">
      <c r="A11" s="475" t="s">
        <v>257</v>
      </c>
      <c r="B11" s="476"/>
      <c r="C11" s="477"/>
      <c r="D11" s="372" t="s">
        <v>99</v>
      </c>
      <c r="E11" s="373">
        <v>199655.49575892842</v>
      </c>
      <c r="F11" s="335" t="s">
        <v>100</v>
      </c>
      <c r="G11" s="337"/>
      <c r="H11" s="338" t="s">
        <v>101</v>
      </c>
      <c r="I11" s="339" t="s">
        <v>102</v>
      </c>
      <c r="J11" s="339" t="s">
        <v>103</v>
      </c>
      <c r="K11" s="374" t="s">
        <v>104</v>
      </c>
      <c r="L11" s="338" t="s">
        <v>105</v>
      </c>
      <c r="M11" s="338" t="s">
        <v>37</v>
      </c>
      <c r="N11" s="338" t="s">
        <v>105</v>
      </c>
      <c r="O11" s="338" t="s">
        <v>37</v>
      </c>
      <c r="P11" s="338" t="s">
        <v>105</v>
      </c>
      <c r="Q11" s="338" t="s">
        <v>37</v>
      </c>
      <c r="R11" s="338" t="s">
        <v>105</v>
      </c>
      <c r="S11" s="338" t="s">
        <v>37</v>
      </c>
      <c r="T11" s="338" t="s">
        <v>105</v>
      </c>
      <c r="U11" s="338" t="s">
        <v>37</v>
      </c>
    </row>
    <row r="12" spans="1:21" x14ac:dyDescent="0.3">
      <c r="A12" s="478"/>
      <c r="B12" s="479"/>
      <c r="C12" s="480"/>
      <c r="D12" s="336" t="s">
        <v>106</v>
      </c>
      <c r="E12" s="375"/>
      <c r="F12" s="334" t="s">
        <v>107</v>
      </c>
      <c r="G12" s="334"/>
      <c r="H12" s="376">
        <v>7614226.2754185796</v>
      </c>
      <c r="I12" s="376">
        <v>103359.08662441769</v>
      </c>
      <c r="J12" s="376">
        <v>7717585.362042997</v>
      </c>
      <c r="K12" s="340" t="s">
        <v>40</v>
      </c>
      <c r="L12" s="377">
        <v>1007.0000000000007</v>
      </c>
      <c r="M12" s="378">
        <v>1603393.2368032739</v>
      </c>
      <c r="N12" s="377">
        <v>1107.7000000000003</v>
      </c>
      <c r="O12" s="378">
        <v>1741913.6169945346</v>
      </c>
      <c r="P12" s="377">
        <v>1208.3999999999999</v>
      </c>
      <c r="Q12" s="378">
        <v>1880433.9971857951</v>
      </c>
      <c r="R12" s="377">
        <v>906.30000000000007</v>
      </c>
      <c r="S12" s="378">
        <v>1464872.8566120127</v>
      </c>
      <c r="T12" s="377">
        <v>805.59999999999945</v>
      </c>
      <c r="U12" s="378">
        <v>1326352.4764207522</v>
      </c>
    </row>
    <row r="13" spans="1:21" x14ac:dyDescent="0.3">
      <c r="A13" s="478"/>
      <c r="B13" s="479"/>
      <c r="C13" s="480"/>
      <c r="D13" s="379" t="s">
        <v>108</v>
      </c>
      <c r="E13" s="378">
        <v>199277</v>
      </c>
      <c r="F13" s="344" t="s">
        <v>109</v>
      </c>
      <c r="G13" s="340"/>
      <c r="H13" s="380">
        <v>5785224.7194870263</v>
      </c>
      <c r="I13" s="380">
        <v>47088.852143300042</v>
      </c>
      <c r="J13" s="380">
        <v>5832313.5716303261</v>
      </c>
      <c r="K13" s="340" t="s">
        <v>41</v>
      </c>
      <c r="L13" s="360">
        <v>795.00000000000011</v>
      </c>
      <c r="M13" s="351">
        <v>1257741.2762100177</v>
      </c>
      <c r="N13" s="360">
        <v>874.50000000000023</v>
      </c>
      <c r="O13" s="351">
        <v>1367540.2696788756</v>
      </c>
      <c r="P13" s="360">
        <v>954.00000000000011</v>
      </c>
      <c r="Q13" s="351">
        <v>1477339.2631477329</v>
      </c>
      <c r="R13" s="360">
        <v>715.5</v>
      </c>
      <c r="S13" s="351">
        <v>1147942.2827411604</v>
      </c>
      <c r="T13" s="360">
        <v>636</v>
      </c>
      <c r="U13" s="351">
        <v>1038143.2892723028</v>
      </c>
    </row>
    <row r="14" spans="1:21" x14ac:dyDescent="0.3">
      <c r="A14" s="478"/>
      <c r="B14" s="479"/>
      <c r="C14" s="480"/>
      <c r="D14" s="381" t="s">
        <v>110</v>
      </c>
      <c r="E14" s="351">
        <v>-378</v>
      </c>
      <c r="F14" s="484" t="s">
        <v>262</v>
      </c>
      <c r="G14" s="476"/>
      <c r="H14" s="476"/>
      <c r="I14" s="476"/>
      <c r="J14" s="477"/>
      <c r="K14" s="340" t="s">
        <v>42</v>
      </c>
      <c r="L14" s="360">
        <v>591.99999999999977</v>
      </c>
      <c r="M14" s="351">
        <v>876204.61572043016</v>
      </c>
      <c r="N14" s="360">
        <v>651.20000000000005</v>
      </c>
      <c r="O14" s="351">
        <v>958236.32426580845</v>
      </c>
      <c r="P14" s="360">
        <v>710.39999999999986</v>
      </c>
      <c r="Q14" s="351">
        <v>1040268.0328111863</v>
      </c>
      <c r="R14" s="360">
        <v>532.80000000000018</v>
      </c>
      <c r="S14" s="351">
        <v>794172.90717505198</v>
      </c>
      <c r="T14" s="360">
        <v>473.60000000000019</v>
      </c>
      <c r="U14" s="351">
        <v>712141.19862967392</v>
      </c>
    </row>
    <row r="15" spans="1:21" x14ac:dyDescent="0.3">
      <c r="A15" s="478"/>
      <c r="B15" s="479"/>
      <c r="C15" s="480"/>
      <c r="D15" s="381" t="s">
        <v>111</v>
      </c>
      <c r="E15" s="382">
        <v>-1.8932611825341961E-3</v>
      </c>
      <c r="F15" s="478"/>
      <c r="G15" s="479"/>
      <c r="H15" s="479"/>
      <c r="I15" s="479"/>
      <c r="J15" s="480"/>
      <c r="K15" s="340" t="s">
        <v>112</v>
      </c>
      <c r="L15" s="360">
        <v>288.99999999999989</v>
      </c>
      <c r="M15" s="351">
        <v>471350.75082991319</v>
      </c>
      <c r="N15" s="360">
        <v>317.89999999999992</v>
      </c>
      <c r="O15" s="351">
        <v>515655.15914493136</v>
      </c>
      <c r="P15" s="360">
        <v>346.80000000000007</v>
      </c>
      <c r="Q15" s="351">
        <v>559959.56745994964</v>
      </c>
      <c r="R15" s="360">
        <v>260.10000000000002</v>
      </c>
      <c r="S15" s="351">
        <v>427046.34251489467</v>
      </c>
      <c r="T15" s="360">
        <v>231.19999999999987</v>
      </c>
      <c r="U15" s="351">
        <v>382741.93419987627</v>
      </c>
    </row>
    <row r="16" spans="1:21" x14ac:dyDescent="0.3">
      <c r="A16" s="481"/>
      <c r="B16" s="482"/>
      <c r="C16" s="483"/>
      <c r="D16" s="383"/>
      <c r="E16" s="384"/>
      <c r="F16" s="481"/>
      <c r="G16" s="482"/>
      <c r="H16" s="482"/>
      <c r="I16" s="482"/>
      <c r="J16" s="483"/>
      <c r="K16" s="340" t="s">
        <v>113</v>
      </c>
      <c r="L16" s="360">
        <v>86</v>
      </c>
      <c r="M16" s="351">
        <v>230253.52112600912</v>
      </c>
      <c r="N16" s="360">
        <v>94.599999999999966</v>
      </c>
      <c r="O16" s="351">
        <v>243688.72030479729</v>
      </c>
      <c r="P16" s="360">
        <v>103.20000000000003</v>
      </c>
      <c r="Q16" s="351">
        <v>257123.91948358531</v>
      </c>
      <c r="R16" s="360">
        <v>77.400000000000048</v>
      </c>
      <c r="S16" s="351">
        <v>216818.32194722103</v>
      </c>
      <c r="T16" s="360">
        <v>68.799999999999983</v>
      </c>
      <c r="U16" s="351">
        <v>203383.12276843295</v>
      </c>
    </row>
    <row r="17" spans="1:21" x14ac:dyDescent="0.3">
      <c r="A17" s="385"/>
      <c r="B17" s="386"/>
      <c r="C17" s="386"/>
      <c r="D17" s="386"/>
      <c r="E17" s="387"/>
      <c r="F17" s="388"/>
      <c r="G17" s="386"/>
      <c r="H17" s="386"/>
      <c r="I17" s="386"/>
      <c r="J17" s="389"/>
      <c r="K17" s="340" t="s">
        <v>114</v>
      </c>
      <c r="L17" s="360">
        <v>6.0000000000000027</v>
      </c>
      <c r="M17" s="351">
        <v>161519.62279098958</v>
      </c>
      <c r="N17" s="360">
        <v>6.6000000000000192</v>
      </c>
      <c r="O17" s="351">
        <v>162514.45228061845</v>
      </c>
      <c r="P17" s="360">
        <v>7.2000000000000126</v>
      </c>
      <c r="Q17" s="351">
        <v>163509.28177024724</v>
      </c>
      <c r="R17" s="360">
        <v>5.4000000000000092</v>
      </c>
      <c r="S17" s="351">
        <v>160524.79330136074</v>
      </c>
      <c r="T17" s="360">
        <v>4.8000000000000096</v>
      </c>
      <c r="U17" s="351">
        <v>159529.96381173184</v>
      </c>
    </row>
    <row r="18" spans="1:21" ht="15.6" x14ac:dyDescent="0.3">
      <c r="A18" s="485" t="s">
        <v>115</v>
      </c>
      <c r="B18" s="486"/>
      <c r="C18" s="486"/>
      <c r="D18" s="486"/>
      <c r="E18" s="486"/>
      <c r="F18" s="486"/>
      <c r="G18" s="486"/>
      <c r="H18" s="486"/>
      <c r="I18" s="486"/>
      <c r="J18" s="487"/>
      <c r="K18" s="340" t="s">
        <v>116</v>
      </c>
      <c r="L18" s="360">
        <v>0</v>
      </c>
      <c r="M18" s="351">
        <v>156893.43149541365</v>
      </c>
      <c r="N18" s="360">
        <v>0</v>
      </c>
      <c r="O18" s="351">
        <v>156901.93570064454</v>
      </c>
      <c r="P18" s="360">
        <v>0</v>
      </c>
      <c r="Q18" s="351">
        <v>156910.43990587548</v>
      </c>
      <c r="R18" s="360">
        <v>0</v>
      </c>
      <c r="S18" s="351">
        <v>156884.92729018271</v>
      </c>
      <c r="T18" s="360">
        <v>0</v>
      </c>
      <c r="U18" s="351">
        <v>156876.42308495179</v>
      </c>
    </row>
    <row r="19" spans="1:21" x14ac:dyDescent="0.3">
      <c r="A19" s="339" t="s">
        <v>117</v>
      </c>
      <c r="B19" s="462" t="s">
        <v>118</v>
      </c>
      <c r="C19" s="463"/>
      <c r="D19" s="464"/>
      <c r="E19" s="339" t="s">
        <v>119</v>
      </c>
      <c r="F19" s="462" t="s">
        <v>120</v>
      </c>
      <c r="G19" s="465"/>
      <c r="H19" s="466"/>
      <c r="I19" s="466"/>
      <c r="J19" s="467"/>
      <c r="K19" s="340" t="s">
        <v>121</v>
      </c>
      <c r="L19" s="360">
        <v>0.99999999999999922</v>
      </c>
      <c r="M19" s="351">
        <v>164429.80365147351</v>
      </c>
      <c r="N19" s="360">
        <v>1.1000000000000001</v>
      </c>
      <c r="O19" s="351">
        <v>164578.01312096644</v>
      </c>
      <c r="P19" s="360">
        <v>1.1999999999999988</v>
      </c>
      <c r="Q19" s="351">
        <v>164726.22259045942</v>
      </c>
      <c r="R19" s="360">
        <v>0.8999999999999998</v>
      </c>
      <c r="S19" s="351">
        <v>164281.59418198053</v>
      </c>
      <c r="T19" s="360">
        <v>0.79999999999999949</v>
      </c>
      <c r="U19" s="351">
        <v>164133.3847124876</v>
      </c>
    </row>
    <row r="20" spans="1:21" x14ac:dyDescent="0.3">
      <c r="A20" s="390" t="s">
        <v>125</v>
      </c>
      <c r="B20" s="391" t="s">
        <v>214</v>
      </c>
      <c r="C20" s="392"/>
      <c r="D20" s="393"/>
      <c r="E20" s="351">
        <v>16500</v>
      </c>
      <c r="F20" s="394" t="s">
        <v>213</v>
      </c>
      <c r="G20" s="394"/>
      <c r="H20" s="394"/>
      <c r="I20" s="394"/>
      <c r="J20" s="395"/>
      <c r="K20" s="340" t="s">
        <v>124</v>
      </c>
      <c r="L20" s="360">
        <v>46</v>
      </c>
      <c r="M20" s="351">
        <v>244572.12917204096</v>
      </c>
      <c r="N20" s="360">
        <v>50.599999999999994</v>
      </c>
      <c r="O20" s="351">
        <v>251166.30467351526</v>
      </c>
      <c r="P20" s="360">
        <v>55.199999999999989</v>
      </c>
      <c r="Q20" s="351">
        <v>257760.48017498967</v>
      </c>
      <c r="R20" s="360">
        <v>41.400000000000006</v>
      </c>
      <c r="S20" s="351">
        <v>237977.95367056661</v>
      </c>
      <c r="T20" s="360">
        <v>36.799999999999997</v>
      </c>
      <c r="U20" s="351">
        <v>231383.77816909231</v>
      </c>
    </row>
    <row r="21" spans="1:21" x14ac:dyDescent="0.3">
      <c r="A21" s="396" t="s">
        <v>125</v>
      </c>
      <c r="B21" s="397" t="s">
        <v>215</v>
      </c>
      <c r="C21" s="394"/>
      <c r="D21" s="398"/>
      <c r="E21" s="351">
        <v>82000</v>
      </c>
      <c r="F21" s="394" t="s">
        <v>216</v>
      </c>
      <c r="G21" s="394"/>
      <c r="H21" s="394"/>
      <c r="I21" s="394"/>
      <c r="J21" s="395"/>
      <c r="K21" s="340" t="s">
        <v>126</v>
      </c>
      <c r="L21" s="360">
        <v>256</v>
      </c>
      <c r="M21" s="351">
        <v>399982.29686571209</v>
      </c>
      <c r="N21" s="360">
        <v>281.60000000000002</v>
      </c>
      <c r="O21" s="351">
        <v>437960.01015786675</v>
      </c>
      <c r="P21" s="360">
        <v>307.20000000000005</v>
      </c>
      <c r="Q21" s="351">
        <v>475937.72345002129</v>
      </c>
      <c r="R21" s="360">
        <v>230.39999999999998</v>
      </c>
      <c r="S21" s="351">
        <v>362004.58357355761</v>
      </c>
      <c r="T21" s="360">
        <v>204.8</v>
      </c>
      <c r="U21" s="351">
        <v>324026.87028140289</v>
      </c>
    </row>
    <row r="22" spans="1:21" x14ac:dyDescent="0.3">
      <c r="A22" s="396" t="s">
        <v>66</v>
      </c>
      <c r="B22" s="397" t="s">
        <v>139</v>
      </c>
      <c r="C22" s="394"/>
      <c r="D22" s="398"/>
      <c r="E22" s="351">
        <v>78749</v>
      </c>
      <c r="F22" s="394" t="s">
        <v>140</v>
      </c>
      <c r="G22" s="394"/>
      <c r="H22" s="394"/>
      <c r="I22" s="394"/>
      <c r="J22" s="395"/>
      <c r="K22" s="340" t="s">
        <v>38</v>
      </c>
      <c r="L22" s="360">
        <v>558</v>
      </c>
      <c r="M22" s="351">
        <v>751714.58911007119</v>
      </c>
      <c r="N22" s="360">
        <v>613.80000000000007</v>
      </c>
      <c r="O22" s="351">
        <v>827856.43863893533</v>
      </c>
      <c r="P22" s="360">
        <v>669.60000000000014</v>
      </c>
      <c r="Q22" s="351">
        <v>903998.28816779912</v>
      </c>
      <c r="R22" s="360">
        <v>502.20000000000005</v>
      </c>
      <c r="S22" s="351">
        <v>675572.73958120763</v>
      </c>
      <c r="T22" s="360">
        <v>446.40000000000015</v>
      </c>
      <c r="U22" s="351">
        <v>599430.8900523436</v>
      </c>
    </row>
    <row r="23" spans="1:21" x14ac:dyDescent="0.3">
      <c r="A23" s="405"/>
      <c r="B23" s="406"/>
      <c r="C23" s="407"/>
      <c r="D23" s="408"/>
      <c r="E23" s="351"/>
      <c r="F23" s="394" t="s">
        <v>141</v>
      </c>
      <c r="G23" s="394"/>
      <c r="H23" s="394"/>
      <c r="I23" s="394"/>
      <c r="J23" s="395"/>
      <c r="K23" s="340" t="s">
        <v>39</v>
      </c>
      <c r="L23" s="360">
        <v>911.00000000000068</v>
      </c>
      <c r="M23" s="351">
        <v>1296171.0016432337</v>
      </c>
      <c r="N23" s="360">
        <v>1002.1000000000003</v>
      </c>
      <c r="O23" s="351">
        <v>1421030.8588775208</v>
      </c>
      <c r="P23" s="360">
        <v>1093.1999999999998</v>
      </c>
      <c r="Q23" s="351">
        <v>1545890.7161118076</v>
      </c>
      <c r="R23" s="360">
        <v>819.89999999999941</v>
      </c>
      <c r="S23" s="351">
        <v>1171311.1444089466</v>
      </c>
      <c r="T23" s="360">
        <v>728.79999999999984</v>
      </c>
      <c r="U23" s="351">
        <v>1046451.2871746599</v>
      </c>
    </row>
    <row r="24" spans="1:21" x14ac:dyDescent="0.3">
      <c r="A24" s="405"/>
      <c r="B24" s="406"/>
      <c r="C24" s="407"/>
      <c r="D24" s="408"/>
      <c r="E24" s="351"/>
      <c r="F24" s="394" t="s">
        <v>142</v>
      </c>
      <c r="G24" s="394"/>
      <c r="H24" s="394"/>
      <c r="I24" s="394"/>
      <c r="J24" s="395"/>
      <c r="K24" s="409" t="s">
        <v>127</v>
      </c>
      <c r="L24" s="410">
        <v>4547.0000000000018</v>
      </c>
      <c r="M24" s="410">
        <v>7614226.2754185796</v>
      </c>
      <c r="N24" s="410">
        <v>5001.7000000000007</v>
      </c>
      <c r="O24" s="410">
        <v>8249042.1038390137</v>
      </c>
      <c r="P24" s="410">
        <v>5456.4</v>
      </c>
      <c r="Q24" s="410">
        <v>8883857.9322594479</v>
      </c>
      <c r="R24" s="410">
        <v>4092.3</v>
      </c>
      <c r="S24" s="410">
        <v>6979410.4469981445</v>
      </c>
      <c r="T24" s="410">
        <v>3637.6000000000004</v>
      </c>
      <c r="U24" s="410">
        <v>6344594.6185777085</v>
      </c>
    </row>
    <row r="25" spans="1:21" x14ac:dyDescent="0.3">
      <c r="A25" s="405" t="s">
        <v>125</v>
      </c>
      <c r="B25" s="406" t="s">
        <v>217</v>
      </c>
      <c r="C25" s="407"/>
      <c r="D25" s="408"/>
      <c r="E25" s="351">
        <v>10000</v>
      </c>
      <c r="F25" s="394" t="s">
        <v>213</v>
      </c>
      <c r="G25" s="394"/>
      <c r="H25" s="394"/>
      <c r="I25" s="394"/>
      <c r="J25" s="395"/>
      <c r="K25" s="409" t="s">
        <v>128</v>
      </c>
      <c r="L25" s="410">
        <v>3863.0000000000018</v>
      </c>
      <c r="M25" s="410">
        <v>5785224.7194870263</v>
      </c>
      <c r="N25" s="410">
        <v>4249.3000000000011</v>
      </c>
      <c r="O25" s="410">
        <v>6316577.5084556751</v>
      </c>
      <c r="P25" s="410">
        <v>4635.6000000000004</v>
      </c>
      <c r="Q25" s="410">
        <v>6847930.2974243201</v>
      </c>
      <c r="R25" s="410">
        <v>3476.7</v>
      </c>
      <c r="S25" s="410">
        <v>5253871.9305183794</v>
      </c>
      <c r="T25" s="410">
        <v>3090.3999999999996</v>
      </c>
      <c r="U25" s="410">
        <v>4722519.1415497325</v>
      </c>
    </row>
    <row r="26" spans="1:21" x14ac:dyDescent="0.3">
      <c r="A26" s="399" t="s">
        <v>125</v>
      </c>
      <c r="B26" s="400" t="s">
        <v>225</v>
      </c>
      <c r="C26" s="401"/>
      <c r="D26" s="402"/>
      <c r="E26" s="403">
        <v>1028</v>
      </c>
      <c r="F26" s="401" t="s">
        <v>263</v>
      </c>
      <c r="G26" s="401"/>
      <c r="H26" s="401"/>
      <c r="I26" s="401"/>
      <c r="J26" s="404"/>
      <c r="K26" s="411"/>
      <c r="L26" s="412"/>
      <c r="M26" s="412"/>
      <c r="N26" s="412"/>
      <c r="O26" s="412"/>
      <c r="P26" s="412"/>
      <c r="Q26" s="412"/>
      <c r="R26" s="412"/>
      <c r="S26" s="412"/>
      <c r="T26" s="412"/>
      <c r="U26" s="413"/>
    </row>
    <row r="27" spans="1:21" ht="15.6" x14ac:dyDescent="0.3">
      <c r="A27" s="405" t="s">
        <v>163</v>
      </c>
      <c r="B27" s="406" t="s">
        <v>185</v>
      </c>
      <c r="C27" s="407"/>
      <c r="D27" s="408"/>
      <c r="E27" s="351">
        <v>6000</v>
      </c>
      <c r="F27" s="394" t="s">
        <v>218</v>
      </c>
      <c r="G27" s="394"/>
      <c r="H27" s="394"/>
      <c r="I27" s="394"/>
      <c r="J27" s="395"/>
      <c r="K27" s="470" t="s">
        <v>129</v>
      </c>
      <c r="L27" s="471"/>
      <c r="M27" s="471"/>
      <c r="N27" s="471"/>
      <c r="O27" s="471"/>
      <c r="P27" s="471"/>
      <c r="Q27" s="471"/>
      <c r="R27" s="471"/>
      <c r="S27" s="471"/>
      <c r="T27" s="471"/>
      <c r="U27" s="472"/>
    </row>
    <row r="28" spans="1:21" x14ac:dyDescent="0.3">
      <c r="A28" s="405" t="s">
        <v>125</v>
      </c>
      <c r="B28" s="406" t="s">
        <v>264</v>
      </c>
      <c r="C28" s="407"/>
      <c r="D28" s="408"/>
      <c r="E28" s="351">
        <v>5000</v>
      </c>
      <c r="F28" s="394" t="s">
        <v>265</v>
      </c>
      <c r="G28" s="394"/>
      <c r="H28" s="394"/>
      <c r="I28" s="394"/>
      <c r="J28" s="395"/>
      <c r="K28" s="368"/>
      <c r="L28" s="369" t="s">
        <v>94</v>
      </c>
      <c r="M28" s="370"/>
      <c r="N28" s="369" t="s">
        <v>95</v>
      </c>
      <c r="O28" s="370"/>
      <c r="P28" s="369" t="s">
        <v>96</v>
      </c>
      <c r="Q28" s="370"/>
      <c r="R28" s="369" t="s">
        <v>97</v>
      </c>
      <c r="S28" s="370"/>
      <c r="T28" s="369" t="s">
        <v>98</v>
      </c>
      <c r="U28" s="371"/>
    </row>
    <row r="29" spans="1:21" x14ac:dyDescent="0.3">
      <c r="A29" s="405"/>
      <c r="B29" s="406"/>
      <c r="C29" s="407"/>
      <c r="D29" s="408"/>
      <c r="E29" s="351"/>
      <c r="F29" s="394"/>
      <c r="G29" s="394"/>
      <c r="H29" s="394"/>
      <c r="I29" s="394"/>
      <c r="J29" s="395"/>
      <c r="K29" s="374" t="s">
        <v>104</v>
      </c>
      <c r="L29" s="338" t="s">
        <v>105</v>
      </c>
      <c r="M29" s="338" t="s">
        <v>37</v>
      </c>
      <c r="N29" s="338" t="s">
        <v>105</v>
      </c>
      <c r="O29" s="338" t="s">
        <v>37</v>
      </c>
      <c r="P29" s="338" t="s">
        <v>105</v>
      </c>
      <c r="Q29" s="338" t="s">
        <v>37</v>
      </c>
      <c r="R29" s="338" t="s">
        <v>105</v>
      </c>
      <c r="S29" s="338" t="s">
        <v>37</v>
      </c>
      <c r="T29" s="338" t="s">
        <v>105</v>
      </c>
      <c r="U29" s="338" t="s">
        <v>37</v>
      </c>
    </row>
    <row r="30" spans="1:21" x14ac:dyDescent="0.3">
      <c r="A30" s="414"/>
      <c r="B30" s="415"/>
      <c r="C30" s="416"/>
      <c r="D30" s="417"/>
      <c r="E30" s="418"/>
      <c r="F30" s="394"/>
      <c r="G30" s="394"/>
      <c r="H30" s="394"/>
      <c r="I30" s="394"/>
      <c r="J30" s="395"/>
      <c r="K30" s="340" t="s">
        <v>40</v>
      </c>
      <c r="L30" s="377">
        <v>1007.0000000000007</v>
      </c>
      <c r="M30" s="378">
        <v>12138.118867181332</v>
      </c>
      <c r="N30" s="377">
        <v>1107.7000000000003</v>
      </c>
      <c r="O30" s="378">
        <v>14101.664513601492</v>
      </c>
      <c r="P30" s="377">
        <v>1208.3999999999999</v>
      </c>
      <c r="Q30" s="378">
        <v>16065.210160021641</v>
      </c>
      <c r="R30" s="377">
        <v>906.30000000000007</v>
      </c>
      <c r="S30" s="378">
        <v>10174.573220761169</v>
      </c>
      <c r="T30" s="377">
        <v>805.59999999999945</v>
      </c>
      <c r="U30" s="378">
        <v>8211.0275743410057</v>
      </c>
    </row>
    <row r="31" spans="1:21" x14ac:dyDescent="0.3">
      <c r="A31" s="419"/>
      <c r="B31" s="420"/>
      <c r="C31" s="420"/>
      <c r="D31" s="420" t="s">
        <v>130</v>
      </c>
      <c r="E31" s="421">
        <v>199277</v>
      </c>
      <c r="F31" s="422"/>
      <c r="G31" s="422"/>
      <c r="H31" s="422"/>
      <c r="I31" s="422"/>
      <c r="J31" s="423"/>
      <c r="K31" s="340" t="s">
        <v>41</v>
      </c>
      <c r="L31" s="360">
        <v>795.00000000000011</v>
      </c>
      <c r="M31" s="351">
        <v>7153.3907738298267</v>
      </c>
      <c r="N31" s="360">
        <v>874.50000000000023</v>
      </c>
      <c r="O31" s="351">
        <v>8772.4690294733591</v>
      </c>
      <c r="P31" s="360">
        <v>954.00000000000011</v>
      </c>
      <c r="Q31" s="351">
        <v>10391.547285116887</v>
      </c>
      <c r="R31" s="360">
        <v>715.5</v>
      </c>
      <c r="S31" s="351">
        <v>5534.3125181862906</v>
      </c>
      <c r="T31" s="360">
        <v>636</v>
      </c>
      <c r="U31" s="351">
        <v>3915.2342625427618</v>
      </c>
    </row>
    <row r="32" spans="1:21" x14ac:dyDescent="0.3">
      <c r="A32" s="424"/>
      <c r="B32" s="425"/>
      <c r="C32" s="425"/>
      <c r="D32" s="426"/>
      <c r="E32" s="427"/>
      <c r="F32" s="428"/>
      <c r="G32" s="428"/>
      <c r="H32" s="428"/>
      <c r="I32" s="428"/>
      <c r="J32" s="429"/>
      <c r="K32" s="340" t="s">
        <v>42</v>
      </c>
      <c r="L32" s="360">
        <v>591.99999999999977</v>
      </c>
      <c r="M32" s="351">
        <v>8657.6036545768638</v>
      </c>
      <c r="N32" s="360">
        <v>651.20000000000005</v>
      </c>
      <c r="O32" s="351">
        <v>9926.0618810344949</v>
      </c>
      <c r="P32" s="360">
        <v>710.39999999999986</v>
      </c>
      <c r="Q32" s="351">
        <v>11194.520107492117</v>
      </c>
      <c r="R32" s="360">
        <v>532.80000000000018</v>
      </c>
      <c r="S32" s="351">
        <v>7389.1454281192337</v>
      </c>
      <c r="T32" s="360">
        <v>473.60000000000019</v>
      </c>
      <c r="U32" s="351">
        <v>6120.6872016616035</v>
      </c>
    </row>
    <row r="33" spans="1:21" ht="15.6" x14ac:dyDescent="0.3">
      <c r="A33" s="485" t="s">
        <v>131</v>
      </c>
      <c r="B33" s="486"/>
      <c r="C33" s="486"/>
      <c r="D33" s="486"/>
      <c r="E33" s="486"/>
      <c r="F33" s="486"/>
      <c r="G33" s="486"/>
      <c r="H33" s="486"/>
      <c r="I33" s="486"/>
      <c r="J33" s="487"/>
      <c r="K33" s="340" t="s">
        <v>112</v>
      </c>
      <c r="L33" s="360">
        <v>288.99999999999989</v>
      </c>
      <c r="M33" s="351">
        <v>7306.375232104132</v>
      </c>
      <c r="N33" s="360">
        <v>317.89999999999992</v>
      </c>
      <c r="O33" s="351">
        <v>7905.6513440141962</v>
      </c>
      <c r="P33" s="360">
        <v>346.80000000000007</v>
      </c>
      <c r="Q33" s="351">
        <v>8504.9274559242604</v>
      </c>
      <c r="R33" s="360">
        <v>260.10000000000002</v>
      </c>
      <c r="S33" s="351">
        <v>6707.0991201940624</v>
      </c>
      <c r="T33" s="360">
        <v>231.19999999999987</v>
      </c>
      <c r="U33" s="351">
        <v>6107.8230082839991</v>
      </c>
    </row>
    <row r="34" spans="1:21" x14ac:dyDescent="0.3">
      <c r="A34" s="339" t="s">
        <v>117</v>
      </c>
      <c r="B34" s="462" t="s">
        <v>118</v>
      </c>
      <c r="C34" s="463"/>
      <c r="D34" s="464"/>
      <c r="E34" s="339" t="s">
        <v>119</v>
      </c>
      <c r="F34" s="462" t="s">
        <v>120</v>
      </c>
      <c r="G34" s="465"/>
      <c r="H34" s="466"/>
      <c r="I34" s="466"/>
      <c r="J34" s="467"/>
      <c r="K34" s="340" t="s">
        <v>113</v>
      </c>
      <c r="L34" s="360">
        <v>86</v>
      </c>
      <c r="M34" s="351">
        <v>10401.805428092137</v>
      </c>
      <c r="N34" s="360">
        <v>94.599999999999966</v>
      </c>
      <c r="O34" s="351">
        <v>10592.982300639063</v>
      </c>
      <c r="P34" s="360">
        <v>103.20000000000003</v>
      </c>
      <c r="Q34" s="351">
        <v>10784.159173185983</v>
      </c>
      <c r="R34" s="360">
        <v>77.400000000000048</v>
      </c>
      <c r="S34" s="351">
        <v>10210.628555545209</v>
      </c>
      <c r="T34" s="360">
        <v>68.799999999999983</v>
      </c>
      <c r="U34" s="351">
        <v>10019.451682998288</v>
      </c>
    </row>
    <row r="35" spans="1:21" x14ac:dyDescent="0.3">
      <c r="A35" s="430"/>
      <c r="B35" s="431"/>
      <c r="C35" s="432"/>
      <c r="D35" s="433"/>
      <c r="E35" s="378"/>
      <c r="F35" s="392"/>
      <c r="G35" s="392"/>
      <c r="H35" s="392"/>
      <c r="I35" s="392"/>
      <c r="J35" s="434"/>
      <c r="K35" s="340" t="s">
        <v>114</v>
      </c>
      <c r="L35" s="360">
        <v>6.0000000000000027</v>
      </c>
      <c r="M35" s="351">
        <v>9907.6145152202153</v>
      </c>
      <c r="N35" s="360">
        <v>6.6000000000000192</v>
      </c>
      <c r="O35" s="351">
        <v>9931.6010052942001</v>
      </c>
      <c r="P35" s="360">
        <v>7.2000000000000126</v>
      </c>
      <c r="Q35" s="351">
        <v>9955.5874953681869</v>
      </c>
      <c r="R35" s="360">
        <v>5.4000000000000092</v>
      </c>
      <c r="S35" s="351">
        <v>9883.6280251462413</v>
      </c>
      <c r="T35" s="360">
        <v>4.8000000000000096</v>
      </c>
      <c r="U35" s="351">
        <v>9859.6415350722582</v>
      </c>
    </row>
    <row r="36" spans="1:21" x14ac:dyDescent="0.3">
      <c r="A36" s="405"/>
      <c r="B36" s="406"/>
      <c r="C36" s="407"/>
      <c r="D36" s="435"/>
      <c r="E36" s="351"/>
      <c r="F36" s="394"/>
      <c r="G36" s="394"/>
      <c r="H36" s="394"/>
      <c r="I36" s="394"/>
      <c r="J36" s="395"/>
      <c r="K36" s="340" t="s">
        <v>116</v>
      </c>
      <c r="L36" s="360">
        <v>0</v>
      </c>
      <c r="M36" s="351">
        <v>5779.6397952777888</v>
      </c>
      <c r="N36" s="360">
        <v>0</v>
      </c>
      <c r="O36" s="351">
        <v>5781.0581690073432</v>
      </c>
      <c r="P36" s="360">
        <v>0</v>
      </c>
      <c r="Q36" s="351">
        <v>5782.4765427368966</v>
      </c>
      <c r="R36" s="360">
        <v>0</v>
      </c>
      <c r="S36" s="351">
        <v>5778.2214215482372</v>
      </c>
      <c r="T36" s="360">
        <v>0</v>
      </c>
      <c r="U36" s="351">
        <v>5776.8030478186811</v>
      </c>
    </row>
    <row r="37" spans="1:21" x14ac:dyDescent="0.3">
      <c r="A37" s="405"/>
      <c r="B37" s="406"/>
      <c r="C37" s="407"/>
      <c r="D37" s="435"/>
      <c r="E37" s="351"/>
      <c r="F37" s="394"/>
      <c r="G37" s="394"/>
      <c r="H37" s="394"/>
      <c r="I37" s="394"/>
      <c r="J37" s="395"/>
      <c r="K37" s="340" t="s">
        <v>121</v>
      </c>
      <c r="L37" s="360">
        <v>0.99999999999999922</v>
      </c>
      <c r="M37" s="351">
        <v>4241.0694939368996</v>
      </c>
      <c r="N37" s="360">
        <v>1.1000000000000001</v>
      </c>
      <c r="O37" s="351">
        <v>4242.5891429722815</v>
      </c>
      <c r="P37" s="360">
        <v>1.1999999999999988</v>
      </c>
      <c r="Q37" s="351">
        <v>4244.1087920076652</v>
      </c>
      <c r="R37" s="360">
        <v>0.8999999999999998</v>
      </c>
      <c r="S37" s="351">
        <v>4239.5498449015149</v>
      </c>
      <c r="T37" s="360">
        <v>0.79999999999999949</v>
      </c>
      <c r="U37" s="351">
        <v>4238.030195866133</v>
      </c>
    </row>
    <row r="38" spans="1:21" x14ac:dyDescent="0.3">
      <c r="A38" s="405"/>
      <c r="B38" s="406"/>
      <c r="C38" s="407"/>
      <c r="D38" s="435"/>
      <c r="E38" s="351"/>
      <c r="F38" s="394"/>
      <c r="G38" s="394"/>
      <c r="H38" s="394"/>
      <c r="I38" s="394"/>
      <c r="J38" s="395"/>
      <c r="K38" s="340" t="s">
        <v>124</v>
      </c>
      <c r="L38" s="360">
        <v>46</v>
      </c>
      <c r="M38" s="351">
        <v>8794.9898887860363</v>
      </c>
      <c r="N38" s="360">
        <v>50.599999999999994</v>
      </c>
      <c r="O38" s="351">
        <v>8854.3868038331439</v>
      </c>
      <c r="P38" s="360">
        <v>55.199999999999989</v>
      </c>
      <c r="Q38" s="351">
        <v>8913.783718880255</v>
      </c>
      <c r="R38" s="360">
        <v>41.400000000000006</v>
      </c>
      <c r="S38" s="351">
        <v>8735.5929737389251</v>
      </c>
      <c r="T38" s="360">
        <v>36.799999999999997</v>
      </c>
      <c r="U38" s="351">
        <v>8676.1960586918121</v>
      </c>
    </row>
    <row r="39" spans="1:21" x14ac:dyDescent="0.3">
      <c r="A39" s="405"/>
      <c r="B39" s="406"/>
      <c r="C39" s="407"/>
      <c r="D39" s="435"/>
      <c r="E39" s="351"/>
      <c r="F39" s="394"/>
      <c r="G39" s="394"/>
      <c r="H39" s="394"/>
      <c r="I39" s="394"/>
      <c r="J39" s="395"/>
      <c r="K39" s="340" t="s">
        <v>126</v>
      </c>
      <c r="L39" s="360">
        <v>256</v>
      </c>
      <c r="M39" s="351">
        <v>9838.7401277004246</v>
      </c>
      <c r="N39" s="360">
        <v>281.60000000000002</v>
      </c>
      <c r="O39" s="351">
        <v>10217.949102633054</v>
      </c>
      <c r="P39" s="360">
        <v>307.20000000000005</v>
      </c>
      <c r="Q39" s="351">
        <v>10597.158077565682</v>
      </c>
      <c r="R39" s="360">
        <v>230.39999999999998</v>
      </c>
      <c r="S39" s="351">
        <v>9459.5311527677986</v>
      </c>
      <c r="T39" s="360">
        <v>204.8</v>
      </c>
      <c r="U39" s="351">
        <v>9080.3221778351726</v>
      </c>
    </row>
    <row r="40" spans="1:21" x14ac:dyDescent="0.3">
      <c r="A40" s="405"/>
      <c r="B40" s="406"/>
      <c r="C40" s="407"/>
      <c r="D40" s="435"/>
      <c r="E40" s="351"/>
      <c r="F40" s="394"/>
      <c r="G40" s="394"/>
      <c r="H40" s="394"/>
      <c r="I40" s="394"/>
      <c r="J40" s="395"/>
      <c r="K40" s="340" t="s">
        <v>38</v>
      </c>
      <c r="L40" s="360">
        <v>558</v>
      </c>
      <c r="M40" s="351">
        <v>8702.7101733976997</v>
      </c>
      <c r="N40" s="360">
        <v>613.80000000000007</v>
      </c>
      <c r="O40" s="351">
        <v>9660.6971391379084</v>
      </c>
      <c r="P40" s="360">
        <v>669.60000000000014</v>
      </c>
      <c r="Q40" s="351">
        <v>10618.684104878117</v>
      </c>
      <c r="R40" s="360">
        <v>502.20000000000005</v>
      </c>
      <c r="S40" s="351">
        <v>7744.7232076574946</v>
      </c>
      <c r="T40" s="360">
        <v>446.40000000000015</v>
      </c>
      <c r="U40" s="351">
        <v>6786.7362419172832</v>
      </c>
    </row>
    <row r="41" spans="1:21" x14ac:dyDescent="0.3">
      <c r="A41" s="405"/>
      <c r="B41" s="406"/>
      <c r="C41" s="407"/>
      <c r="D41" s="435"/>
      <c r="E41" s="351"/>
      <c r="F41" s="394"/>
      <c r="G41" s="394"/>
      <c r="H41" s="394"/>
      <c r="I41" s="394"/>
      <c r="J41" s="395"/>
      <c r="K41" s="340" t="s">
        <v>39</v>
      </c>
      <c r="L41" s="360">
        <v>911.00000000000068</v>
      </c>
      <c r="M41" s="351">
        <v>10437.028674314326</v>
      </c>
      <c r="N41" s="360">
        <v>1002.1000000000003</v>
      </c>
      <c r="O41" s="351">
        <v>12128.494796203257</v>
      </c>
      <c r="P41" s="360">
        <v>1093.1999999999998</v>
      </c>
      <c r="Q41" s="351">
        <v>13819.960918092191</v>
      </c>
      <c r="R41" s="360">
        <v>819.89999999999941</v>
      </c>
      <c r="S41" s="351">
        <v>8745.5625524253937</v>
      </c>
      <c r="T41" s="360">
        <v>728.79999999999984</v>
      </c>
      <c r="U41" s="351">
        <v>7054.0964305364614</v>
      </c>
    </row>
    <row r="42" spans="1:21" x14ac:dyDescent="0.3">
      <c r="A42" s="405"/>
      <c r="B42" s="406"/>
      <c r="C42" s="407"/>
      <c r="D42" s="435"/>
      <c r="E42" s="351"/>
      <c r="F42" s="394"/>
      <c r="G42" s="394"/>
      <c r="H42" s="394"/>
      <c r="I42" s="394"/>
      <c r="J42" s="395"/>
      <c r="K42" s="409" t="s">
        <v>132</v>
      </c>
      <c r="L42" s="410">
        <v>4547.0000000000018</v>
      </c>
      <c r="M42" s="410">
        <v>103359.08662441769</v>
      </c>
      <c r="N42" s="410">
        <v>5001.7000000000007</v>
      </c>
      <c r="O42" s="410">
        <v>112115.60522784379</v>
      </c>
      <c r="P42" s="410">
        <v>5456.4</v>
      </c>
      <c r="Q42" s="410">
        <v>120872.12383126988</v>
      </c>
      <c r="R42" s="410">
        <v>4092.3</v>
      </c>
      <c r="S42" s="410">
        <v>94602.568020991574</v>
      </c>
      <c r="T42" s="410">
        <v>3637.6000000000004</v>
      </c>
      <c r="U42" s="410">
        <v>85846.04941756546</v>
      </c>
    </row>
    <row r="43" spans="1:21" x14ac:dyDescent="0.3">
      <c r="A43" s="405"/>
      <c r="B43" s="406"/>
      <c r="C43" s="407"/>
      <c r="D43" s="435"/>
      <c r="E43" s="351"/>
      <c r="F43" s="394"/>
      <c r="G43" s="394"/>
      <c r="H43" s="394"/>
      <c r="I43" s="394"/>
      <c r="J43" s="395"/>
      <c r="K43" s="409" t="s">
        <v>133</v>
      </c>
      <c r="L43" s="410">
        <v>3863.0000000000018</v>
      </c>
      <c r="M43" s="410">
        <v>47088.852143300042</v>
      </c>
      <c r="N43" s="410">
        <v>4249.3000000000011</v>
      </c>
      <c r="O43" s="410">
        <v>54589.387359450513</v>
      </c>
      <c r="P43" s="410">
        <v>4635.6000000000004</v>
      </c>
      <c r="Q43" s="410">
        <v>62089.922575600962</v>
      </c>
      <c r="R43" s="410">
        <v>3476.7</v>
      </c>
      <c r="S43" s="410">
        <v>39588.316927149579</v>
      </c>
      <c r="T43" s="410">
        <v>3090.3999999999996</v>
      </c>
      <c r="U43" s="410">
        <v>32087.781710999116</v>
      </c>
    </row>
    <row r="44" spans="1:21" x14ac:dyDescent="0.3">
      <c r="A44" s="405"/>
      <c r="B44" s="415"/>
      <c r="C44" s="416"/>
      <c r="D44" s="436"/>
      <c r="E44" s="418"/>
      <c r="F44" s="394"/>
      <c r="G44" s="394"/>
      <c r="H44" s="394"/>
      <c r="I44" s="394"/>
      <c r="J44" s="395"/>
      <c r="K44" s="409" t="s">
        <v>134</v>
      </c>
      <c r="L44" s="410">
        <v>4547.0000000000018</v>
      </c>
      <c r="M44" s="410">
        <v>7717585.362042997</v>
      </c>
      <c r="N44" s="410">
        <v>5001.7000000000007</v>
      </c>
      <c r="O44" s="410">
        <v>8361157.7090668576</v>
      </c>
      <c r="P44" s="410">
        <v>5456.4</v>
      </c>
      <c r="Q44" s="410">
        <v>9004730.0560907181</v>
      </c>
      <c r="R44" s="410">
        <v>4092.3</v>
      </c>
      <c r="S44" s="410">
        <v>7074013.0150191365</v>
      </c>
      <c r="T44" s="410">
        <v>3637.6000000000004</v>
      </c>
      <c r="U44" s="410">
        <v>6430440.6679952741</v>
      </c>
    </row>
    <row r="45" spans="1:21" x14ac:dyDescent="0.3">
      <c r="A45" s="419"/>
      <c r="B45" s="420"/>
      <c r="C45" s="420"/>
      <c r="D45" s="420" t="s">
        <v>135</v>
      </c>
      <c r="E45" s="421">
        <v>0</v>
      </c>
      <c r="F45" s="422"/>
      <c r="G45" s="422"/>
      <c r="H45" s="422"/>
      <c r="I45" s="422"/>
      <c r="J45" s="423"/>
      <c r="K45" s="409" t="s">
        <v>136</v>
      </c>
      <c r="L45" s="410">
        <v>3863.0000000000018</v>
      </c>
      <c r="M45" s="410">
        <v>5832313.5716303261</v>
      </c>
      <c r="N45" s="410">
        <v>4249.3000000000011</v>
      </c>
      <c r="O45" s="410">
        <v>6371166.8958151257</v>
      </c>
      <c r="P45" s="410">
        <v>4635.6000000000004</v>
      </c>
      <c r="Q45" s="410">
        <v>6910020.2199999215</v>
      </c>
      <c r="R45" s="410">
        <v>3476.7</v>
      </c>
      <c r="S45" s="410">
        <v>5293460.2474455293</v>
      </c>
      <c r="T45" s="410">
        <v>3090.3999999999996</v>
      </c>
      <c r="U45" s="410">
        <v>4754606.9232607316</v>
      </c>
    </row>
    <row r="47" spans="1:21" x14ac:dyDescent="0.3">
      <c r="J47" s="437">
        <v>30</v>
      </c>
      <c r="K47" s="324">
        <v>31</v>
      </c>
      <c r="L47" s="324">
        <v>31</v>
      </c>
      <c r="M47" s="324">
        <v>28</v>
      </c>
      <c r="N47" s="324">
        <v>31</v>
      </c>
    </row>
    <row r="48" spans="1:21" x14ac:dyDescent="0.3">
      <c r="J48" s="437" t="s">
        <v>31</v>
      </c>
      <c r="K48" s="324" t="s">
        <v>32</v>
      </c>
      <c r="L48" s="324" t="s">
        <v>33</v>
      </c>
      <c r="M48" s="324" t="s">
        <v>34</v>
      </c>
      <c r="N48" s="324" t="s">
        <v>35</v>
      </c>
    </row>
    <row r="49" spans="10:15" x14ac:dyDescent="0.3">
      <c r="J49" s="453">
        <f>+M22+M40</f>
        <v>760417.29928346886</v>
      </c>
      <c r="K49" s="454">
        <f>+M23+M41</f>
        <v>1306608.030317548</v>
      </c>
      <c r="L49" s="454">
        <f>+M12+M30</f>
        <v>1615531.3556704551</v>
      </c>
      <c r="M49" s="454">
        <f>+M13+M31</f>
        <v>1264894.6669838475</v>
      </c>
      <c r="N49" s="454">
        <f>+M14+M32</f>
        <v>884862.21937500697</v>
      </c>
      <c r="O49" s="454">
        <f>SUM(J49:N49)</f>
        <v>5832313.5716303261</v>
      </c>
    </row>
    <row r="50" spans="10:15" x14ac:dyDescent="0.3">
      <c r="J50" s="455">
        <f>ROUND(J49/J47,0)</f>
        <v>25347</v>
      </c>
      <c r="K50" s="455">
        <f t="shared" ref="K50:N50" si="0">ROUND(K49/K47,0)</f>
        <v>42149</v>
      </c>
      <c r="L50" s="455">
        <f t="shared" si="0"/>
        <v>52114</v>
      </c>
      <c r="M50" s="455">
        <f t="shared" si="0"/>
        <v>45175</v>
      </c>
      <c r="N50" s="455">
        <f t="shared" si="0"/>
        <v>28544</v>
      </c>
    </row>
  </sheetData>
  <mergeCells count="27">
    <mergeCell ref="A1:J1"/>
    <mergeCell ref="K1:U1"/>
    <mergeCell ref="A2:J2"/>
    <mergeCell ref="K2:U2"/>
    <mergeCell ref="D3:F3"/>
    <mergeCell ref="N3:Q3"/>
    <mergeCell ref="F4:J4"/>
    <mergeCell ref="B5:C5"/>
    <mergeCell ref="L5:M5"/>
    <mergeCell ref="P5:U7"/>
    <mergeCell ref="B6:C6"/>
    <mergeCell ref="L6:M6"/>
    <mergeCell ref="B7:C7"/>
    <mergeCell ref="L7:M7"/>
    <mergeCell ref="B34:D34"/>
    <mergeCell ref="F34:J34"/>
    <mergeCell ref="B8:C8"/>
    <mergeCell ref="B9:C9"/>
    <mergeCell ref="K9:U9"/>
    <mergeCell ref="B10:C10"/>
    <mergeCell ref="A11:C16"/>
    <mergeCell ref="F14:J16"/>
    <mergeCell ref="A18:J18"/>
    <mergeCell ref="B19:D19"/>
    <mergeCell ref="F19:J19"/>
    <mergeCell ref="K27:U27"/>
    <mergeCell ref="A33:J33"/>
  </mergeCells>
  <conditionalFormatting sqref="J9">
    <cfRule type="cellIs" dxfId="31" priority="4" stopIfTrue="1" operator="greaterThanOrEqual">
      <formula>#REF!</formula>
    </cfRule>
  </conditionalFormatting>
  <conditionalFormatting sqref="J10">
    <cfRule type="cellIs" dxfId="30" priority="3" stopIfTrue="1" operator="greaterThanOrEqual">
      <formula>#REF!</formula>
    </cfRule>
  </conditionalFormatting>
  <conditionalFormatting sqref="H9">
    <cfRule type="cellIs" dxfId="29" priority="2" stopIfTrue="1" operator="greaterThanOrEqual">
      <formula>#REF!</formula>
    </cfRule>
  </conditionalFormatting>
  <conditionalFormatting sqref="F4:J4">
    <cfRule type="containsText" dxfId="28" priority="1" stopIfTrue="1" operator="containsText" text="PEAK DAY">
      <formula>NOT(ISERROR(SEARCH("PEAK DAY",F4)))</formula>
    </cfRule>
  </conditionalFormatting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zoomScale="70" zoomScaleNormal="70" workbookViewId="0">
      <selection activeCell="J50" sqref="J50"/>
    </sheetView>
  </sheetViews>
  <sheetFormatPr defaultRowHeight="14.4" x14ac:dyDescent="0.3"/>
  <cols>
    <col min="1" max="1" width="26.6640625" style="437" customWidth="1"/>
    <col min="2" max="3" width="18.6640625" style="437" customWidth="1"/>
    <col min="4" max="4" width="27.6640625" style="437" customWidth="1"/>
    <col min="5" max="5" width="15.6640625" style="437" customWidth="1"/>
    <col min="6" max="7" width="12.6640625" style="437" customWidth="1"/>
    <col min="8" max="8" width="17.6640625" style="437" customWidth="1"/>
    <col min="9" max="10" width="15.6640625" style="437" customWidth="1"/>
    <col min="11" max="13" width="18.6640625" style="324" customWidth="1"/>
    <col min="14" max="21" width="15.88671875" style="324" customWidth="1"/>
    <col min="22" max="256" width="9.109375" style="324"/>
    <col min="257" max="257" width="26.6640625" style="324" customWidth="1"/>
    <col min="258" max="259" width="18.6640625" style="324" customWidth="1"/>
    <col min="260" max="260" width="27.6640625" style="324" customWidth="1"/>
    <col min="261" max="261" width="15.6640625" style="324" customWidth="1"/>
    <col min="262" max="263" width="12.6640625" style="324" customWidth="1"/>
    <col min="264" max="264" width="17.6640625" style="324" customWidth="1"/>
    <col min="265" max="266" width="15.6640625" style="324" customWidth="1"/>
    <col min="267" max="269" width="18.6640625" style="324" customWidth="1"/>
    <col min="270" max="277" width="15.88671875" style="324" customWidth="1"/>
    <col min="278" max="512" width="9.109375" style="324"/>
    <col min="513" max="513" width="26.6640625" style="324" customWidth="1"/>
    <col min="514" max="515" width="18.6640625" style="324" customWidth="1"/>
    <col min="516" max="516" width="27.6640625" style="324" customWidth="1"/>
    <col min="517" max="517" width="15.6640625" style="324" customWidth="1"/>
    <col min="518" max="519" width="12.6640625" style="324" customWidth="1"/>
    <col min="520" max="520" width="17.6640625" style="324" customWidth="1"/>
    <col min="521" max="522" width="15.6640625" style="324" customWidth="1"/>
    <col min="523" max="525" width="18.6640625" style="324" customWidth="1"/>
    <col min="526" max="533" width="15.88671875" style="324" customWidth="1"/>
    <col min="534" max="768" width="9.109375" style="324"/>
    <col min="769" max="769" width="26.6640625" style="324" customWidth="1"/>
    <col min="770" max="771" width="18.6640625" style="324" customWidth="1"/>
    <col min="772" max="772" width="27.6640625" style="324" customWidth="1"/>
    <col min="773" max="773" width="15.6640625" style="324" customWidth="1"/>
    <col min="774" max="775" width="12.6640625" style="324" customWidth="1"/>
    <col min="776" max="776" width="17.6640625" style="324" customWidth="1"/>
    <col min="777" max="778" width="15.6640625" style="324" customWidth="1"/>
    <col min="779" max="781" width="18.6640625" style="324" customWidth="1"/>
    <col min="782" max="789" width="15.88671875" style="324" customWidth="1"/>
    <col min="790" max="1024" width="9.109375" style="324"/>
    <col min="1025" max="1025" width="26.6640625" style="324" customWidth="1"/>
    <col min="1026" max="1027" width="18.6640625" style="324" customWidth="1"/>
    <col min="1028" max="1028" width="27.6640625" style="324" customWidth="1"/>
    <col min="1029" max="1029" width="15.6640625" style="324" customWidth="1"/>
    <col min="1030" max="1031" width="12.6640625" style="324" customWidth="1"/>
    <col min="1032" max="1032" width="17.6640625" style="324" customWidth="1"/>
    <col min="1033" max="1034" width="15.6640625" style="324" customWidth="1"/>
    <col min="1035" max="1037" width="18.6640625" style="324" customWidth="1"/>
    <col min="1038" max="1045" width="15.88671875" style="324" customWidth="1"/>
    <col min="1046" max="1280" width="9.109375" style="324"/>
    <col min="1281" max="1281" width="26.6640625" style="324" customWidth="1"/>
    <col min="1282" max="1283" width="18.6640625" style="324" customWidth="1"/>
    <col min="1284" max="1284" width="27.6640625" style="324" customWidth="1"/>
    <col min="1285" max="1285" width="15.6640625" style="324" customWidth="1"/>
    <col min="1286" max="1287" width="12.6640625" style="324" customWidth="1"/>
    <col min="1288" max="1288" width="17.6640625" style="324" customWidth="1"/>
    <col min="1289" max="1290" width="15.6640625" style="324" customWidth="1"/>
    <col min="1291" max="1293" width="18.6640625" style="324" customWidth="1"/>
    <col min="1294" max="1301" width="15.88671875" style="324" customWidth="1"/>
    <col min="1302" max="1536" width="9.109375" style="324"/>
    <col min="1537" max="1537" width="26.6640625" style="324" customWidth="1"/>
    <col min="1538" max="1539" width="18.6640625" style="324" customWidth="1"/>
    <col min="1540" max="1540" width="27.6640625" style="324" customWidth="1"/>
    <col min="1541" max="1541" width="15.6640625" style="324" customWidth="1"/>
    <col min="1542" max="1543" width="12.6640625" style="324" customWidth="1"/>
    <col min="1544" max="1544" width="17.6640625" style="324" customWidth="1"/>
    <col min="1545" max="1546" width="15.6640625" style="324" customWidth="1"/>
    <col min="1547" max="1549" width="18.6640625" style="324" customWidth="1"/>
    <col min="1550" max="1557" width="15.88671875" style="324" customWidth="1"/>
    <col min="1558" max="1792" width="9.109375" style="324"/>
    <col min="1793" max="1793" width="26.6640625" style="324" customWidth="1"/>
    <col min="1794" max="1795" width="18.6640625" style="324" customWidth="1"/>
    <col min="1796" max="1796" width="27.6640625" style="324" customWidth="1"/>
    <col min="1797" max="1797" width="15.6640625" style="324" customWidth="1"/>
    <col min="1798" max="1799" width="12.6640625" style="324" customWidth="1"/>
    <col min="1800" max="1800" width="17.6640625" style="324" customWidth="1"/>
    <col min="1801" max="1802" width="15.6640625" style="324" customWidth="1"/>
    <col min="1803" max="1805" width="18.6640625" style="324" customWidth="1"/>
    <col min="1806" max="1813" width="15.88671875" style="324" customWidth="1"/>
    <col min="1814" max="2048" width="9.109375" style="324"/>
    <col min="2049" max="2049" width="26.6640625" style="324" customWidth="1"/>
    <col min="2050" max="2051" width="18.6640625" style="324" customWidth="1"/>
    <col min="2052" max="2052" width="27.6640625" style="324" customWidth="1"/>
    <col min="2053" max="2053" width="15.6640625" style="324" customWidth="1"/>
    <col min="2054" max="2055" width="12.6640625" style="324" customWidth="1"/>
    <col min="2056" max="2056" width="17.6640625" style="324" customWidth="1"/>
    <col min="2057" max="2058" width="15.6640625" style="324" customWidth="1"/>
    <col min="2059" max="2061" width="18.6640625" style="324" customWidth="1"/>
    <col min="2062" max="2069" width="15.88671875" style="324" customWidth="1"/>
    <col min="2070" max="2304" width="9.109375" style="324"/>
    <col min="2305" max="2305" width="26.6640625" style="324" customWidth="1"/>
    <col min="2306" max="2307" width="18.6640625" style="324" customWidth="1"/>
    <col min="2308" max="2308" width="27.6640625" style="324" customWidth="1"/>
    <col min="2309" max="2309" width="15.6640625" style="324" customWidth="1"/>
    <col min="2310" max="2311" width="12.6640625" style="324" customWidth="1"/>
    <col min="2312" max="2312" width="17.6640625" style="324" customWidth="1"/>
    <col min="2313" max="2314" width="15.6640625" style="324" customWidth="1"/>
    <col min="2315" max="2317" width="18.6640625" style="324" customWidth="1"/>
    <col min="2318" max="2325" width="15.88671875" style="324" customWidth="1"/>
    <col min="2326" max="2560" width="9.109375" style="324"/>
    <col min="2561" max="2561" width="26.6640625" style="324" customWidth="1"/>
    <col min="2562" max="2563" width="18.6640625" style="324" customWidth="1"/>
    <col min="2564" max="2564" width="27.6640625" style="324" customWidth="1"/>
    <col min="2565" max="2565" width="15.6640625" style="324" customWidth="1"/>
    <col min="2566" max="2567" width="12.6640625" style="324" customWidth="1"/>
    <col min="2568" max="2568" width="17.6640625" style="324" customWidth="1"/>
    <col min="2569" max="2570" width="15.6640625" style="324" customWidth="1"/>
    <col min="2571" max="2573" width="18.6640625" style="324" customWidth="1"/>
    <col min="2574" max="2581" width="15.88671875" style="324" customWidth="1"/>
    <col min="2582" max="2816" width="9.109375" style="324"/>
    <col min="2817" max="2817" width="26.6640625" style="324" customWidth="1"/>
    <col min="2818" max="2819" width="18.6640625" style="324" customWidth="1"/>
    <col min="2820" max="2820" width="27.6640625" style="324" customWidth="1"/>
    <col min="2821" max="2821" width="15.6640625" style="324" customWidth="1"/>
    <col min="2822" max="2823" width="12.6640625" style="324" customWidth="1"/>
    <col min="2824" max="2824" width="17.6640625" style="324" customWidth="1"/>
    <col min="2825" max="2826" width="15.6640625" style="324" customWidth="1"/>
    <col min="2827" max="2829" width="18.6640625" style="324" customWidth="1"/>
    <col min="2830" max="2837" width="15.88671875" style="324" customWidth="1"/>
    <col min="2838" max="3072" width="9.109375" style="324"/>
    <col min="3073" max="3073" width="26.6640625" style="324" customWidth="1"/>
    <col min="3074" max="3075" width="18.6640625" style="324" customWidth="1"/>
    <col min="3076" max="3076" width="27.6640625" style="324" customWidth="1"/>
    <col min="3077" max="3077" width="15.6640625" style="324" customWidth="1"/>
    <col min="3078" max="3079" width="12.6640625" style="324" customWidth="1"/>
    <col min="3080" max="3080" width="17.6640625" style="324" customWidth="1"/>
    <col min="3081" max="3082" width="15.6640625" style="324" customWidth="1"/>
    <col min="3083" max="3085" width="18.6640625" style="324" customWidth="1"/>
    <col min="3086" max="3093" width="15.88671875" style="324" customWidth="1"/>
    <col min="3094" max="3328" width="9.109375" style="324"/>
    <col min="3329" max="3329" width="26.6640625" style="324" customWidth="1"/>
    <col min="3330" max="3331" width="18.6640625" style="324" customWidth="1"/>
    <col min="3332" max="3332" width="27.6640625" style="324" customWidth="1"/>
    <col min="3333" max="3333" width="15.6640625" style="324" customWidth="1"/>
    <col min="3334" max="3335" width="12.6640625" style="324" customWidth="1"/>
    <col min="3336" max="3336" width="17.6640625" style="324" customWidth="1"/>
    <col min="3337" max="3338" width="15.6640625" style="324" customWidth="1"/>
    <col min="3339" max="3341" width="18.6640625" style="324" customWidth="1"/>
    <col min="3342" max="3349" width="15.88671875" style="324" customWidth="1"/>
    <col min="3350" max="3584" width="9.109375" style="324"/>
    <col min="3585" max="3585" width="26.6640625" style="324" customWidth="1"/>
    <col min="3586" max="3587" width="18.6640625" style="324" customWidth="1"/>
    <col min="3588" max="3588" width="27.6640625" style="324" customWidth="1"/>
    <col min="3589" max="3589" width="15.6640625" style="324" customWidth="1"/>
    <col min="3590" max="3591" width="12.6640625" style="324" customWidth="1"/>
    <col min="3592" max="3592" width="17.6640625" style="324" customWidth="1"/>
    <col min="3593" max="3594" width="15.6640625" style="324" customWidth="1"/>
    <col min="3595" max="3597" width="18.6640625" style="324" customWidth="1"/>
    <col min="3598" max="3605" width="15.88671875" style="324" customWidth="1"/>
    <col min="3606" max="3840" width="9.109375" style="324"/>
    <col min="3841" max="3841" width="26.6640625" style="324" customWidth="1"/>
    <col min="3842" max="3843" width="18.6640625" style="324" customWidth="1"/>
    <col min="3844" max="3844" width="27.6640625" style="324" customWidth="1"/>
    <col min="3845" max="3845" width="15.6640625" style="324" customWidth="1"/>
    <col min="3846" max="3847" width="12.6640625" style="324" customWidth="1"/>
    <col min="3848" max="3848" width="17.6640625" style="324" customWidth="1"/>
    <col min="3849" max="3850" width="15.6640625" style="324" customWidth="1"/>
    <col min="3851" max="3853" width="18.6640625" style="324" customWidth="1"/>
    <col min="3854" max="3861" width="15.88671875" style="324" customWidth="1"/>
    <col min="3862" max="4096" width="9.109375" style="324"/>
    <col min="4097" max="4097" width="26.6640625" style="324" customWidth="1"/>
    <col min="4098" max="4099" width="18.6640625" style="324" customWidth="1"/>
    <col min="4100" max="4100" width="27.6640625" style="324" customWidth="1"/>
    <col min="4101" max="4101" width="15.6640625" style="324" customWidth="1"/>
    <col min="4102" max="4103" width="12.6640625" style="324" customWidth="1"/>
    <col min="4104" max="4104" width="17.6640625" style="324" customWidth="1"/>
    <col min="4105" max="4106" width="15.6640625" style="324" customWidth="1"/>
    <col min="4107" max="4109" width="18.6640625" style="324" customWidth="1"/>
    <col min="4110" max="4117" width="15.88671875" style="324" customWidth="1"/>
    <col min="4118" max="4352" width="9.109375" style="324"/>
    <col min="4353" max="4353" width="26.6640625" style="324" customWidth="1"/>
    <col min="4354" max="4355" width="18.6640625" style="324" customWidth="1"/>
    <col min="4356" max="4356" width="27.6640625" style="324" customWidth="1"/>
    <col min="4357" max="4357" width="15.6640625" style="324" customWidth="1"/>
    <col min="4358" max="4359" width="12.6640625" style="324" customWidth="1"/>
    <col min="4360" max="4360" width="17.6640625" style="324" customWidth="1"/>
    <col min="4361" max="4362" width="15.6640625" style="324" customWidth="1"/>
    <col min="4363" max="4365" width="18.6640625" style="324" customWidth="1"/>
    <col min="4366" max="4373" width="15.88671875" style="324" customWidth="1"/>
    <col min="4374" max="4608" width="9.109375" style="324"/>
    <col min="4609" max="4609" width="26.6640625" style="324" customWidth="1"/>
    <col min="4610" max="4611" width="18.6640625" style="324" customWidth="1"/>
    <col min="4612" max="4612" width="27.6640625" style="324" customWidth="1"/>
    <col min="4613" max="4613" width="15.6640625" style="324" customWidth="1"/>
    <col min="4614" max="4615" width="12.6640625" style="324" customWidth="1"/>
    <col min="4616" max="4616" width="17.6640625" style="324" customWidth="1"/>
    <col min="4617" max="4618" width="15.6640625" style="324" customWidth="1"/>
    <col min="4619" max="4621" width="18.6640625" style="324" customWidth="1"/>
    <col min="4622" max="4629" width="15.88671875" style="324" customWidth="1"/>
    <col min="4630" max="4864" width="9.109375" style="324"/>
    <col min="4865" max="4865" width="26.6640625" style="324" customWidth="1"/>
    <col min="4866" max="4867" width="18.6640625" style="324" customWidth="1"/>
    <col min="4868" max="4868" width="27.6640625" style="324" customWidth="1"/>
    <col min="4869" max="4869" width="15.6640625" style="324" customWidth="1"/>
    <col min="4870" max="4871" width="12.6640625" style="324" customWidth="1"/>
    <col min="4872" max="4872" width="17.6640625" style="324" customWidth="1"/>
    <col min="4873" max="4874" width="15.6640625" style="324" customWidth="1"/>
    <col min="4875" max="4877" width="18.6640625" style="324" customWidth="1"/>
    <col min="4878" max="4885" width="15.88671875" style="324" customWidth="1"/>
    <col min="4886" max="5120" width="9.109375" style="324"/>
    <col min="5121" max="5121" width="26.6640625" style="324" customWidth="1"/>
    <col min="5122" max="5123" width="18.6640625" style="324" customWidth="1"/>
    <col min="5124" max="5124" width="27.6640625" style="324" customWidth="1"/>
    <col min="5125" max="5125" width="15.6640625" style="324" customWidth="1"/>
    <col min="5126" max="5127" width="12.6640625" style="324" customWidth="1"/>
    <col min="5128" max="5128" width="17.6640625" style="324" customWidth="1"/>
    <col min="5129" max="5130" width="15.6640625" style="324" customWidth="1"/>
    <col min="5131" max="5133" width="18.6640625" style="324" customWidth="1"/>
    <col min="5134" max="5141" width="15.88671875" style="324" customWidth="1"/>
    <col min="5142" max="5376" width="9.109375" style="324"/>
    <col min="5377" max="5377" width="26.6640625" style="324" customWidth="1"/>
    <col min="5378" max="5379" width="18.6640625" style="324" customWidth="1"/>
    <col min="5380" max="5380" width="27.6640625" style="324" customWidth="1"/>
    <col min="5381" max="5381" width="15.6640625" style="324" customWidth="1"/>
    <col min="5382" max="5383" width="12.6640625" style="324" customWidth="1"/>
    <col min="5384" max="5384" width="17.6640625" style="324" customWidth="1"/>
    <col min="5385" max="5386" width="15.6640625" style="324" customWidth="1"/>
    <col min="5387" max="5389" width="18.6640625" style="324" customWidth="1"/>
    <col min="5390" max="5397" width="15.88671875" style="324" customWidth="1"/>
    <col min="5398" max="5632" width="9.109375" style="324"/>
    <col min="5633" max="5633" width="26.6640625" style="324" customWidth="1"/>
    <col min="5634" max="5635" width="18.6640625" style="324" customWidth="1"/>
    <col min="5636" max="5636" width="27.6640625" style="324" customWidth="1"/>
    <col min="5637" max="5637" width="15.6640625" style="324" customWidth="1"/>
    <col min="5638" max="5639" width="12.6640625" style="324" customWidth="1"/>
    <col min="5640" max="5640" width="17.6640625" style="324" customWidth="1"/>
    <col min="5641" max="5642" width="15.6640625" style="324" customWidth="1"/>
    <col min="5643" max="5645" width="18.6640625" style="324" customWidth="1"/>
    <col min="5646" max="5653" width="15.88671875" style="324" customWidth="1"/>
    <col min="5654" max="5888" width="9.109375" style="324"/>
    <col min="5889" max="5889" width="26.6640625" style="324" customWidth="1"/>
    <col min="5890" max="5891" width="18.6640625" style="324" customWidth="1"/>
    <col min="5892" max="5892" width="27.6640625" style="324" customWidth="1"/>
    <col min="5893" max="5893" width="15.6640625" style="324" customWidth="1"/>
    <col min="5894" max="5895" width="12.6640625" style="324" customWidth="1"/>
    <col min="5896" max="5896" width="17.6640625" style="324" customWidth="1"/>
    <col min="5897" max="5898" width="15.6640625" style="324" customWidth="1"/>
    <col min="5899" max="5901" width="18.6640625" style="324" customWidth="1"/>
    <col min="5902" max="5909" width="15.88671875" style="324" customWidth="1"/>
    <col min="5910" max="6144" width="9.109375" style="324"/>
    <col min="6145" max="6145" width="26.6640625" style="324" customWidth="1"/>
    <col min="6146" max="6147" width="18.6640625" style="324" customWidth="1"/>
    <col min="6148" max="6148" width="27.6640625" style="324" customWidth="1"/>
    <col min="6149" max="6149" width="15.6640625" style="324" customWidth="1"/>
    <col min="6150" max="6151" width="12.6640625" style="324" customWidth="1"/>
    <col min="6152" max="6152" width="17.6640625" style="324" customWidth="1"/>
    <col min="6153" max="6154" width="15.6640625" style="324" customWidth="1"/>
    <col min="6155" max="6157" width="18.6640625" style="324" customWidth="1"/>
    <col min="6158" max="6165" width="15.88671875" style="324" customWidth="1"/>
    <col min="6166" max="6400" width="9.109375" style="324"/>
    <col min="6401" max="6401" width="26.6640625" style="324" customWidth="1"/>
    <col min="6402" max="6403" width="18.6640625" style="324" customWidth="1"/>
    <col min="6404" max="6404" width="27.6640625" style="324" customWidth="1"/>
    <col min="6405" max="6405" width="15.6640625" style="324" customWidth="1"/>
    <col min="6406" max="6407" width="12.6640625" style="324" customWidth="1"/>
    <col min="6408" max="6408" width="17.6640625" style="324" customWidth="1"/>
    <col min="6409" max="6410" width="15.6640625" style="324" customWidth="1"/>
    <col min="6411" max="6413" width="18.6640625" style="324" customWidth="1"/>
    <col min="6414" max="6421" width="15.88671875" style="324" customWidth="1"/>
    <col min="6422" max="6656" width="9.109375" style="324"/>
    <col min="6657" max="6657" width="26.6640625" style="324" customWidth="1"/>
    <col min="6658" max="6659" width="18.6640625" style="324" customWidth="1"/>
    <col min="6660" max="6660" width="27.6640625" style="324" customWidth="1"/>
    <col min="6661" max="6661" width="15.6640625" style="324" customWidth="1"/>
    <col min="6662" max="6663" width="12.6640625" style="324" customWidth="1"/>
    <col min="6664" max="6664" width="17.6640625" style="324" customWidth="1"/>
    <col min="6665" max="6666" width="15.6640625" style="324" customWidth="1"/>
    <col min="6667" max="6669" width="18.6640625" style="324" customWidth="1"/>
    <col min="6670" max="6677" width="15.88671875" style="324" customWidth="1"/>
    <col min="6678" max="6912" width="9.109375" style="324"/>
    <col min="6913" max="6913" width="26.6640625" style="324" customWidth="1"/>
    <col min="6914" max="6915" width="18.6640625" style="324" customWidth="1"/>
    <col min="6916" max="6916" width="27.6640625" style="324" customWidth="1"/>
    <col min="6917" max="6917" width="15.6640625" style="324" customWidth="1"/>
    <col min="6918" max="6919" width="12.6640625" style="324" customWidth="1"/>
    <col min="6920" max="6920" width="17.6640625" style="324" customWidth="1"/>
    <col min="6921" max="6922" width="15.6640625" style="324" customWidth="1"/>
    <col min="6923" max="6925" width="18.6640625" style="324" customWidth="1"/>
    <col min="6926" max="6933" width="15.88671875" style="324" customWidth="1"/>
    <col min="6934" max="7168" width="9.109375" style="324"/>
    <col min="7169" max="7169" width="26.6640625" style="324" customWidth="1"/>
    <col min="7170" max="7171" width="18.6640625" style="324" customWidth="1"/>
    <col min="7172" max="7172" width="27.6640625" style="324" customWidth="1"/>
    <col min="7173" max="7173" width="15.6640625" style="324" customWidth="1"/>
    <col min="7174" max="7175" width="12.6640625" style="324" customWidth="1"/>
    <col min="7176" max="7176" width="17.6640625" style="324" customWidth="1"/>
    <col min="7177" max="7178" width="15.6640625" style="324" customWidth="1"/>
    <col min="7179" max="7181" width="18.6640625" style="324" customWidth="1"/>
    <col min="7182" max="7189" width="15.88671875" style="324" customWidth="1"/>
    <col min="7190" max="7424" width="9.109375" style="324"/>
    <col min="7425" max="7425" width="26.6640625" style="324" customWidth="1"/>
    <col min="7426" max="7427" width="18.6640625" style="324" customWidth="1"/>
    <col min="7428" max="7428" width="27.6640625" style="324" customWidth="1"/>
    <col min="7429" max="7429" width="15.6640625" style="324" customWidth="1"/>
    <col min="7430" max="7431" width="12.6640625" style="324" customWidth="1"/>
    <col min="7432" max="7432" width="17.6640625" style="324" customWidth="1"/>
    <col min="7433" max="7434" width="15.6640625" style="324" customWidth="1"/>
    <col min="7435" max="7437" width="18.6640625" style="324" customWidth="1"/>
    <col min="7438" max="7445" width="15.88671875" style="324" customWidth="1"/>
    <col min="7446" max="7680" width="9.109375" style="324"/>
    <col min="7681" max="7681" width="26.6640625" style="324" customWidth="1"/>
    <col min="7682" max="7683" width="18.6640625" style="324" customWidth="1"/>
    <col min="7684" max="7684" width="27.6640625" style="324" customWidth="1"/>
    <col min="7685" max="7685" width="15.6640625" style="324" customWidth="1"/>
    <col min="7686" max="7687" width="12.6640625" style="324" customWidth="1"/>
    <col min="7688" max="7688" width="17.6640625" style="324" customWidth="1"/>
    <col min="7689" max="7690" width="15.6640625" style="324" customWidth="1"/>
    <col min="7691" max="7693" width="18.6640625" style="324" customWidth="1"/>
    <col min="7694" max="7701" width="15.88671875" style="324" customWidth="1"/>
    <col min="7702" max="7936" width="9.109375" style="324"/>
    <col min="7937" max="7937" width="26.6640625" style="324" customWidth="1"/>
    <col min="7938" max="7939" width="18.6640625" style="324" customWidth="1"/>
    <col min="7940" max="7940" width="27.6640625" style="324" customWidth="1"/>
    <col min="7941" max="7941" width="15.6640625" style="324" customWidth="1"/>
    <col min="7942" max="7943" width="12.6640625" style="324" customWidth="1"/>
    <col min="7944" max="7944" width="17.6640625" style="324" customWidth="1"/>
    <col min="7945" max="7946" width="15.6640625" style="324" customWidth="1"/>
    <col min="7947" max="7949" width="18.6640625" style="324" customWidth="1"/>
    <col min="7950" max="7957" width="15.88671875" style="324" customWidth="1"/>
    <col min="7958" max="8192" width="9.109375" style="324"/>
    <col min="8193" max="8193" width="26.6640625" style="324" customWidth="1"/>
    <col min="8194" max="8195" width="18.6640625" style="324" customWidth="1"/>
    <col min="8196" max="8196" width="27.6640625" style="324" customWidth="1"/>
    <col min="8197" max="8197" width="15.6640625" style="324" customWidth="1"/>
    <col min="8198" max="8199" width="12.6640625" style="324" customWidth="1"/>
    <col min="8200" max="8200" width="17.6640625" style="324" customWidth="1"/>
    <col min="8201" max="8202" width="15.6640625" style="324" customWidth="1"/>
    <col min="8203" max="8205" width="18.6640625" style="324" customWidth="1"/>
    <col min="8206" max="8213" width="15.88671875" style="324" customWidth="1"/>
    <col min="8214" max="8448" width="9.109375" style="324"/>
    <col min="8449" max="8449" width="26.6640625" style="324" customWidth="1"/>
    <col min="8450" max="8451" width="18.6640625" style="324" customWidth="1"/>
    <col min="8452" max="8452" width="27.6640625" style="324" customWidth="1"/>
    <col min="8453" max="8453" width="15.6640625" style="324" customWidth="1"/>
    <col min="8454" max="8455" width="12.6640625" style="324" customWidth="1"/>
    <col min="8456" max="8456" width="17.6640625" style="324" customWidth="1"/>
    <col min="8457" max="8458" width="15.6640625" style="324" customWidth="1"/>
    <col min="8459" max="8461" width="18.6640625" style="324" customWidth="1"/>
    <col min="8462" max="8469" width="15.88671875" style="324" customWidth="1"/>
    <col min="8470" max="8704" width="9.109375" style="324"/>
    <col min="8705" max="8705" width="26.6640625" style="324" customWidth="1"/>
    <col min="8706" max="8707" width="18.6640625" style="324" customWidth="1"/>
    <col min="8708" max="8708" width="27.6640625" style="324" customWidth="1"/>
    <col min="8709" max="8709" width="15.6640625" style="324" customWidth="1"/>
    <col min="8710" max="8711" width="12.6640625" style="324" customWidth="1"/>
    <col min="8712" max="8712" width="17.6640625" style="324" customWidth="1"/>
    <col min="8713" max="8714" width="15.6640625" style="324" customWidth="1"/>
    <col min="8715" max="8717" width="18.6640625" style="324" customWidth="1"/>
    <col min="8718" max="8725" width="15.88671875" style="324" customWidth="1"/>
    <col min="8726" max="8960" width="9.109375" style="324"/>
    <col min="8961" max="8961" width="26.6640625" style="324" customWidth="1"/>
    <col min="8962" max="8963" width="18.6640625" style="324" customWidth="1"/>
    <col min="8964" max="8964" width="27.6640625" style="324" customWidth="1"/>
    <col min="8965" max="8965" width="15.6640625" style="324" customWidth="1"/>
    <col min="8966" max="8967" width="12.6640625" style="324" customWidth="1"/>
    <col min="8968" max="8968" width="17.6640625" style="324" customWidth="1"/>
    <col min="8969" max="8970" width="15.6640625" style="324" customWidth="1"/>
    <col min="8971" max="8973" width="18.6640625" style="324" customWidth="1"/>
    <col min="8974" max="8981" width="15.88671875" style="324" customWidth="1"/>
    <col min="8982" max="9216" width="9.109375" style="324"/>
    <col min="9217" max="9217" width="26.6640625" style="324" customWidth="1"/>
    <col min="9218" max="9219" width="18.6640625" style="324" customWidth="1"/>
    <col min="9220" max="9220" width="27.6640625" style="324" customWidth="1"/>
    <col min="9221" max="9221" width="15.6640625" style="324" customWidth="1"/>
    <col min="9222" max="9223" width="12.6640625" style="324" customWidth="1"/>
    <col min="9224" max="9224" width="17.6640625" style="324" customWidth="1"/>
    <col min="9225" max="9226" width="15.6640625" style="324" customWidth="1"/>
    <col min="9227" max="9229" width="18.6640625" style="324" customWidth="1"/>
    <col min="9230" max="9237" width="15.88671875" style="324" customWidth="1"/>
    <col min="9238" max="9472" width="9.109375" style="324"/>
    <col min="9473" max="9473" width="26.6640625" style="324" customWidth="1"/>
    <col min="9474" max="9475" width="18.6640625" style="324" customWidth="1"/>
    <col min="9476" max="9476" width="27.6640625" style="324" customWidth="1"/>
    <col min="9477" max="9477" width="15.6640625" style="324" customWidth="1"/>
    <col min="9478" max="9479" width="12.6640625" style="324" customWidth="1"/>
    <col min="9480" max="9480" width="17.6640625" style="324" customWidth="1"/>
    <col min="9481" max="9482" width="15.6640625" style="324" customWidth="1"/>
    <col min="9483" max="9485" width="18.6640625" style="324" customWidth="1"/>
    <col min="9486" max="9493" width="15.88671875" style="324" customWidth="1"/>
    <col min="9494" max="9728" width="9.109375" style="324"/>
    <col min="9729" max="9729" width="26.6640625" style="324" customWidth="1"/>
    <col min="9730" max="9731" width="18.6640625" style="324" customWidth="1"/>
    <col min="9732" max="9732" width="27.6640625" style="324" customWidth="1"/>
    <col min="9733" max="9733" width="15.6640625" style="324" customWidth="1"/>
    <col min="9734" max="9735" width="12.6640625" style="324" customWidth="1"/>
    <col min="9736" max="9736" width="17.6640625" style="324" customWidth="1"/>
    <col min="9737" max="9738" width="15.6640625" style="324" customWidth="1"/>
    <col min="9739" max="9741" width="18.6640625" style="324" customWidth="1"/>
    <col min="9742" max="9749" width="15.88671875" style="324" customWidth="1"/>
    <col min="9750" max="9984" width="9.109375" style="324"/>
    <col min="9985" max="9985" width="26.6640625" style="324" customWidth="1"/>
    <col min="9986" max="9987" width="18.6640625" style="324" customWidth="1"/>
    <col min="9988" max="9988" width="27.6640625" style="324" customWidth="1"/>
    <col min="9989" max="9989" width="15.6640625" style="324" customWidth="1"/>
    <col min="9990" max="9991" width="12.6640625" style="324" customWidth="1"/>
    <col min="9992" max="9992" width="17.6640625" style="324" customWidth="1"/>
    <col min="9993" max="9994" width="15.6640625" style="324" customWidth="1"/>
    <col min="9995" max="9997" width="18.6640625" style="324" customWidth="1"/>
    <col min="9998" max="10005" width="15.88671875" style="324" customWidth="1"/>
    <col min="10006" max="10240" width="9.109375" style="324"/>
    <col min="10241" max="10241" width="26.6640625" style="324" customWidth="1"/>
    <col min="10242" max="10243" width="18.6640625" style="324" customWidth="1"/>
    <col min="10244" max="10244" width="27.6640625" style="324" customWidth="1"/>
    <col min="10245" max="10245" width="15.6640625" style="324" customWidth="1"/>
    <col min="10246" max="10247" width="12.6640625" style="324" customWidth="1"/>
    <col min="10248" max="10248" width="17.6640625" style="324" customWidth="1"/>
    <col min="10249" max="10250" width="15.6640625" style="324" customWidth="1"/>
    <col min="10251" max="10253" width="18.6640625" style="324" customWidth="1"/>
    <col min="10254" max="10261" width="15.88671875" style="324" customWidth="1"/>
    <col min="10262" max="10496" width="9.109375" style="324"/>
    <col min="10497" max="10497" width="26.6640625" style="324" customWidth="1"/>
    <col min="10498" max="10499" width="18.6640625" style="324" customWidth="1"/>
    <col min="10500" max="10500" width="27.6640625" style="324" customWidth="1"/>
    <col min="10501" max="10501" width="15.6640625" style="324" customWidth="1"/>
    <col min="10502" max="10503" width="12.6640625" style="324" customWidth="1"/>
    <col min="10504" max="10504" width="17.6640625" style="324" customWidth="1"/>
    <col min="10505" max="10506" width="15.6640625" style="324" customWidth="1"/>
    <col min="10507" max="10509" width="18.6640625" style="324" customWidth="1"/>
    <col min="10510" max="10517" width="15.88671875" style="324" customWidth="1"/>
    <col min="10518" max="10752" width="9.109375" style="324"/>
    <col min="10753" max="10753" width="26.6640625" style="324" customWidth="1"/>
    <col min="10754" max="10755" width="18.6640625" style="324" customWidth="1"/>
    <col min="10756" max="10756" width="27.6640625" style="324" customWidth="1"/>
    <col min="10757" max="10757" width="15.6640625" style="324" customWidth="1"/>
    <col min="10758" max="10759" width="12.6640625" style="324" customWidth="1"/>
    <col min="10760" max="10760" width="17.6640625" style="324" customWidth="1"/>
    <col min="10761" max="10762" width="15.6640625" style="324" customWidth="1"/>
    <col min="10763" max="10765" width="18.6640625" style="324" customWidth="1"/>
    <col min="10766" max="10773" width="15.88671875" style="324" customWidth="1"/>
    <col min="10774" max="11008" width="9.109375" style="324"/>
    <col min="11009" max="11009" width="26.6640625" style="324" customWidth="1"/>
    <col min="11010" max="11011" width="18.6640625" style="324" customWidth="1"/>
    <col min="11012" max="11012" width="27.6640625" style="324" customWidth="1"/>
    <col min="11013" max="11013" width="15.6640625" style="324" customWidth="1"/>
    <col min="11014" max="11015" width="12.6640625" style="324" customWidth="1"/>
    <col min="11016" max="11016" width="17.6640625" style="324" customWidth="1"/>
    <col min="11017" max="11018" width="15.6640625" style="324" customWidth="1"/>
    <col min="11019" max="11021" width="18.6640625" style="324" customWidth="1"/>
    <col min="11022" max="11029" width="15.88671875" style="324" customWidth="1"/>
    <col min="11030" max="11264" width="9.109375" style="324"/>
    <col min="11265" max="11265" width="26.6640625" style="324" customWidth="1"/>
    <col min="11266" max="11267" width="18.6640625" style="324" customWidth="1"/>
    <col min="11268" max="11268" width="27.6640625" style="324" customWidth="1"/>
    <col min="11269" max="11269" width="15.6640625" style="324" customWidth="1"/>
    <col min="11270" max="11271" width="12.6640625" style="324" customWidth="1"/>
    <col min="11272" max="11272" width="17.6640625" style="324" customWidth="1"/>
    <col min="11273" max="11274" width="15.6640625" style="324" customWidth="1"/>
    <col min="11275" max="11277" width="18.6640625" style="324" customWidth="1"/>
    <col min="11278" max="11285" width="15.88671875" style="324" customWidth="1"/>
    <col min="11286" max="11520" width="9.109375" style="324"/>
    <col min="11521" max="11521" width="26.6640625" style="324" customWidth="1"/>
    <col min="11522" max="11523" width="18.6640625" style="324" customWidth="1"/>
    <col min="11524" max="11524" width="27.6640625" style="324" customWidth="1"/>
    <col min="11525" max="11525" width="15.6640625" style="324" customWidth="1"/>
    <col min="11526" max="11527" width="12.6640625" style="324" customWidth="1"/>
    <col min="11528" max="11528" width="17.6640625" style="324" customWidth="1"/>
    <col min="11529" max="11530" width="15.6640625" style="324" customWidth="1"/>
    <col min="11531" max="11533" width="18.6640625" style="324" customWidth="1"/>
    <col min="11534" max="11541" width="15.88671875" style="324" customWidth="1"/>
    <col min="11542" max="11776" width="9.109375" style="324"/>
    <col min="11777" max="11777" width="26.6640625" style="324" customWidth="1"/>
    <col min="11778" max="11779" width="18.6640625" style="324" customWidth="1"/>
    <col min="11780" max="11780" width="27.6640625" style="324" customWidth="1"/>
    <col min="11781" max="11781" width="15.6640625" style="324" customWidth="1"/>
    <col min="11782" max="11783" width="12.6640625" style="324" customWidth="1"/>
    <col min="11784" max="11784" width="17.6640625" style="324" customWidth="1"/>
    <col min="11785" max="11786" width="15.6640625" style="324" customWidth="1"/>
    <col min="11787" max="11789" width="18.6640625" style="324" customWidth="1"/>
    <col min="11790" max="11797" width="15.88671875" style="324" customWidth="1"/>
    <col min="11798" max="12032" width="9.109375" style="324"/>
    <col min="12033" max="12033" width="26.6640625" style="324" customWidth="1"/>
    <col min="12034" max="12035" width="18.6640625" style="324" customWidth="1"/>
    <col min="12036" max="12036" width="27.6640625" style="324" customWidth="1"/>
    <col min="12037" max="12037" width="15.6640625" style="324" customWidth="1"/>
    <col min="12038" max="12039" width="12.6640625" style="324" customWidth="1"/>
    <col min="12040" max="12040" width="17.6640625" style="324" customWidth="1"/>
    <col min="12041" max="12042" width="15.6640625" style="324" customWidth="1"/>
    <col min="12043" max="12045" width="18.6640625" style="324" customWidth="1"/>
    <col min="12046" max="12053" width="15.88671875" style="324" customWidth="1"/>
    <col min="12054" max="12288" width="9.109375" style="324"/>
    <col min="12289" max="12289" width="26.6640625" style="324" customWidth="1"/>
    <col min="12290" max="12291" width="18.6640625" style="324" customWidth="1"/>
    <col min="12292" max="12292" width="27.6640625" style="324" customWidth="1"/>
    <col min="12293" max="12293" width="15.6640625" style="324" customWidth="1"/>
    <col min="12294" max="12295" width="12.6640625" style="324" customWidth="1"/>
    <col min="12296" max="12296" width="17.6640625" style="324" customWidth="1"/>
    <col min="12297" max="12298" width="15.6640625" style="324" customWidth="1"/>
    <col min="12299" max="12301" width="18.6640625" style="324" customWidth="1"/>
    <col min="12302" max="12309" width="15.88671875" style="324" customWidth="1"/>
    <col min="12310" max="12544" width="9.109375" style="324"/>
    <col min="12545" max="12545" width="26.6640625" style="324" customWidth="1"/>
    <col min="12546" max="12547" width="18.6640625" style="324" customWidth="1"/>
    <col min="12548" max="12548" width="27.6640625" style="324" customWidth="1"/>
    <col min="12549" max="12549" width="15.6640625" style="324" customWidth="1"/>
    <col min="12550" max="12551" width="12.6640625" style="324" customWidth="1"/>
    <col min="12552" max="12552" width="17.6640625" style="324" customWidth="1"/>
    <col min="12553" max="12554" width="15.6640625" style="324" customWidth="1"/>
    <col min="12555" max="12557" width="18.6640625" style="324" customWidth="1"/>
    <col min="12558" max="12565" width="15.88671875" style="324" customWidth="1"/>
    <col min="12566" max="12800" width="9.109375" style="324"/>
    <col min="12801" max="12801" width="26.6640625" style="324" customWidth="1"/>
    <col min="12802" max="12803" width="18.6640625" style="324" customWidth="1"/>
    <col min="12804" max="12804" width="27.6640625" style="324" customWidth="1"/>
    <col min="12805" max="12805" width="15.6640625" style="324" customWidth="1"/>
    <col min="12806" max="12807" width="12.6640625" style="324" customWidth="1"/>
    <col min="12808" max="12808" width="17.6640625" style="324" customWidth="1"/>
    <col min="12809" max="12810" width="15.6640625" style="324" customWidth="1"/>
    <col min="12811" max="12813" width="18.6640625" style="324" customWidth="1"/>
    <col min="12814" max="12821" width="15.88671875" style="324" customWidth="1"/>
    <col min="12822" max="13056" width="9.109375" style="324"/>
    <col min="13057" max="13057" width="26.6640625" style="324" customWidth="1"/>
    <col min="13058" max="13059" width="18.6640625" style="324" customWidth="1"/>
    <col min="13060" max="13060" width="27.6640625" style="324" customWidth="1"/>
    <col min="13061" max="13061" width="15.6640625" style="324" customWidth="1"/>
    <col min="13062" max="13063" width="12.6640625" style="324" customWidth="1"/>
    <col min="13064" max="13064" width="17.6640625" style="324" customWidth="1"/>
    <col min="13065" max="13066" width="15.6640625" style="324" customWidth="1"/>
    <col min="13067" max="13069" width="18.6640625" style="324" customWidth="1"/>
    <col min="13070" max="13077" width="15.88671875" style="324" customWidth="1"/>
    <col min="13078" max="13312" width="9.109375" style="324"/>
    <col min="13313" max="13313" width="26.6640625" style="324" customWidth="1"/>
    <col min="13314" max="13315" width="18.6640625" style="324" customWidth="1"/>
    <col min="13316" max="13316" width="27.6640625" style="324" customWidth="1"/>
    <col min="13317" max="13317" width="15.6640625" style="324" customWidth="1"/>
    <col min="13318" max="13319" width="12.6640625" style="324" customWidth="1"/>
    <col min="13320" max="13320" width="17.6640625" style="324" customWidth="1"/>
    <col min="13321" max="13322" width="15.6640625" style="324" customWidth="1"/>
    <col min="13323" max="13325" width="18.6640625" style="324" customWidth="1"/>
    <col min="13326" max="13333" width="15.88671875" style="324" customWidth="1"/>
    <col min="13334" max="13568" width="9.109375" style="324"/>
    <col min="13569" max="13569" width="26.6640625" style="324" customWidth="1"/>
    <col min="13570" max="13571" width="18.6640625" style="324" customWidth="1"/>
    <col min="13572" max="13572" width="27.6640625" style="324" customWidth="1"/>
    <col min="13573" max="13573" width="15.6640625" style="324" customWidth="1"/>
    <col min="13574" max="13575" width="12.6640625" style="324" customWidth="1"/>
    <col min="13576" max="13576" width="17.6640625" style="324" customWidth="1"/>
    <col min="13577" max="13578" width="15.6640625" style="324" customWidth="1"/>
    <col min="13579" max="13581" width="18.6640625" style="324" customWidth="1"/>
    <col min="13582" max="13589" width="15.88671875" style="324" customWidth="1"/>
    <col min="13590" max="13824" width="9.109375" style="324"/>
    <col min="13825" max="13825" width="26.6640625" style="324" customWidth="1"/>
    <col min="13826" max="13827" width="18.6640625" style="324" customWidth="1"/>
    <col min="13828" max="13828" width="27.6640625" style="324" customWidth="1"/>
    <col min="13829" max="13829" width="15.6640625" style="324" customWidth="1"/>
    <col min="13830" max="13831" width="12.6640625" style="324" customWidth="1"/>
    <col min="13832" max="13832" width="17.6640625" style="324" customWidth="1"/>
    <col min="13833" max="13834" width="15.6640625" style="324" customWidth="1"/>
    <col min="13835" max="13837" width="18.6640625" style="324" customWidth="1"/>
    <col min="13838" max="13845" width="15.88671875" style="324" customWidth="1"/>
    <col min="13846" max="14080" width="9.109375" style="324"/>
    <col min="14081" max="14081" width="26.6640625" style="324" customWidth="1"/>
    <col min="14082" max="14083" width="18.6640625" style="324" customWidth="1"/>
    <col min="14084" max="14084" width="27.6640625" style="324" customWidth="1"/>
    <col min="14085" max="14085" width="15.6640625" style="324" customWidth="1"/>
    <col min="14086" max="14087" width="12.6640625" style="324" customWidth="1"/>
    <col min="14088" max="14088" width="17.6640625" style="324" customWidth="1"/>
    <col min="14089" max="14090" width="15.6640625" style="324" customWidth="1"/>
    <col min="14091" max="14093" width="18.6640625" style="324" customWidth="1"/>
    <col min="14094" max="14101" width="15.88671875" style="324" customWidth="1"/>
    <col min="14102" max="14336" width="9.109375" style="324"/>
    <col min="14337" max="14337" width="26.6640625" style="324" customWidth="1"/>
    <col min="14338" max="14339" width="18.6640625" style="324" customWidth="1"/>
    <col min="14340" max="14340" width="27.6640625" style="324" customWidth="1"/>
    <col min="14341" max="14341" width="15.6640625" style="324" customWidth="1"/>
    <col min="14342" max="14343" width="12.6640625" style="324" customWidth="1"/>
    <col min="14344" max="14344" width="17.6640625" style="324" customWidth="1"/>
    <col min="14345" max="14346" width="15.6640625" style="324" customWidth="1"/>
    <col min="14347" max="14349" width="18.6640625" style="324" customWidth="1"/>
    <col min="14350" max="14357" width="15.88671875" style="324" customWidth="1"/>
    <col min="14358" max="14592" width="9.109375" style="324"/>
    <col min="14593" max="14593" width="26.6640625" style="324" customWidth="1"/>
    <col min="14594" max="14595" width="18.6640625" style="324" customWidth="1"/>
    <col min="14596" max="14596" width="27.6640625" style="324" customWidth="1"/>
    <col min="14597" max="14597" width="15.6640625" style="324" customWidth="1"/>
    <col min="14598" max="14599" width="12.6640625" style="324" customWidth="1"/>
    <col min="14600" max="14600" width="17.6640625" style="324" customWidth="1"/>
    <col min="14601" max="14602" width="15.6640625" style="324" customWidth="1"/>
    <col min="14603" max="14605" width="18.6640625" style="324" customWidth="1"/>
    <col min="14606" max="14613" width="15.88671875" style="324" customWidth="1"/>
    <col min="14614" max="14848" width="9.109375" style="324"/>
    <col min="14849" max="14849" width="26.6640625" style="324" customWidth="1"/>
    <col min="14850" max="14851" width="18.6640625" style="324" customWidth="1"/>
    <col min="14852" max="14852" width="27.6640625" style="324" customWidth="1"/>
    <col min="14853" max="14853" width="15.6640625" style="324" customWidth="1"/>
    <col min="14854" max="14855" width="12.6640625" style="324" customWidth="1"/>
    <col min="14856" max="14856" width="17.6640625" style="324" customWidth="1"/>
    <col min="14857" max="14858" width="15.6640625" style="324" customWidth="1"/>
    <col min="14859" max="14861" width="18.6640625" style="324" customWidth="1"/>
    <col min="14862" max="14869" width="15.88671875" style="324" customWidth="1"/>
    <col min="14870" max="15104" width="9.109375" style="324"/>
    <col min="15105" max="15105" width="26.6640625" style="324" customWidth="1"/>
    <col min="15106" max="15107" width="18.6640625" style="324" customWidth="1"/>
    <col min="15108" max="15108" width="27.6640625" style="324" customWidth="1"/>
    <col min="15109" max="15109" width="15.6640625" style="324" customWidth="1"/>
    <col min="15110" max="15111" width="12.6640625" style="324" customWidth="1"/>
    <col min="15112" max="15112" width="17.6640625" style="324" customWidth="1"/>
    <col min="15113" max="15114" width="15.6640625" style="324" customWidth="1"/>
    <col min="15115" max="15117" width="18.6640625" style="324" customWidth="1"/>
    <col min="15118" max="15125" width="15.88671875" style="324" customWidth="1"/>
    <col min="15126" max="15360" width="9.109375" style="324"/>
    <col min="15361" max="15361" width="26.6640625" style="324" customWidth="1"/>
    <col min="15362" max="15363" width="18.6640625" style="324" customWidth="1"/>
    <col min="15364" max="15364" width="27.6640625" style="324" customWidth="1"/>
    <col min="15365" max="15365" width="15.6640625" style="324" customWidth="1"/>
    <col min="15366" max="15367" width="12.6640625" style="324" customWidth="1"/>
    <col min="15368" max="15368" width="17.6640625" style="324" customWidth="1"/>
    <col min="15369" max="15370" width="15.6640625" style="324" customWidth="1"/>
    <col min="15371" max="15373" width="18.6640625" style="324" customWidth="1"/>
    <col min="15374" max="15381" width="15.88671875" style="324" customWidth="1"/>
    <col min="15382" max="15616" width="9.109375" style="324"/>
    <col min="15617" max="15617" width="26.6640625" style="324" customWidth="1"/>
    <col min="15618" max="15619" width="18.6640625" style="324" customWidth="1"/>
    <col min="15620" max="15620" width="27.6640625" style="324" customWidth="1"/>
    <col min="15621" max="15621" width="15.6640625" style="324" customWidth="1"/>
    <col min="15622" max="15623" width="12.6640625" style="324" customWidth="1"/>
    <col min="15624" max="15624" width="17.6640625" style="324" customWidth="1"/>
    <col min="15625" max="15626" width="15.6640625" style="324" customWidth="1"/>
    <col min="15627" max="15629" width="18.6640625" style="324" customWidth="1"/>
    <col min="15630" max="15637" width="15.88671875" style="324" customWidth="1"/>
    <col min="15638" max="15872" width="9.109375" style="324"/>
    <col min="15873" max="15873" width="26.6640625" style="324" customWidth="1"/>
    <col min="15874" max="15875" width="18.6640625" style="324" customWidth="1"/>
    <col min="15876" max="15876" width="27.6640625" style="324" customWidth="1"/>
    <col min="15877" max="15877" width="15.6640625" style="324" customWidth="1"/>
    <col min="15878" max="15879" width="12.6640625" style="324" customWidth="1"/>
    <col min="15880" max="15880" width="17.6640625" style="324" customWidth="1"/>
    <col min="15881" max="15882" width="15.6640625" style="324" customWidth="1"/>
    <col min="15883" max="15885" width="18.6640625" style="324" customWidth="1"/>
    <col min="15886" max="15893" width="15.88671875" style="324" customWidth="1"/>
    <col min="15894" max="16128" width="9.109375" style="324"/>
    <col min="16129" max="16129" width="26.6640625" style="324" customWidth="1"/>
    <col min="16130" max="16131" width="18.6640625" style="324" customWidth="1"/>
    <col min="16132" max="16132" width="27.6640625" style="324" customWidth="1"/>
    <col min="16133" max="16133" width="15.6640625" style="324" customWidth="1"/>
    <col min="16134" max="16135" width="12.6640625" style="324" customWidth="1"/>
    <col min="16136" max="16136" width="17.6640625" style="324" customWidth="1"/>
    <col min="16137" max="16138" width="15.6640625" style="324" customWidth="1"/>
    <col min="16139" max="16141" width="18.6640625" style="324" customWidth="1"/>
    <col min="16142" max="16149" width="15.88671875" style="324" customWidth="1"/>
    <col min="16150" max="16384" width="9.109375" style="324"/>
  </cols>
  <sheetData>
    <row r="1" spans="1:21" ht="17.399999999999999" x14ac:dyDescent="0.3">
      <c r="A1" s="508" t="s">
        <v>18</v>
      </c>
      <c r="B1" s="509"/>
      <c r="C1" s="509"/>
      <c r="D1" s="509"/>
      <c r="E1" s="509"/>
      <c r="F1" s="509"/>
      <c r="G1" s="509"/>
      <c r="H1" s="509"/>
      <c r="I1" s="509"/>
      <c r="J1" s="510"/>
      <c r="K1" s="508" t="s">
        <v>18</v>
      </c>
      <c r="L1" s="509"/>
      <c r="M1" s="509"/>
      <c r="N1" s="509"/>
      <c r="O1" s="509"/>
      <c r="P1" s="509"/>
      <c r="Q1" s="509"/>
      <c r="R1" s="509"/>
      <c r="S1" s="509"/>
      <c r="T1" s="509"/>
      <c r="U1" s="510"/>
    </row>
    <row r="2" spans="1:21" ht="17.399999999999999" x14ac:dyDescent="0.3">
      <c r="A2" s="511" t="s">
        <v>253</v>
      </c>
      <c r="B2" s="512"/>
      <c r="C2" s="512"/>
      <c r="D2" s="512"/>
      <c r="E2" s="512"/>
      <c r="F2" s="512"/>
      <c r="G2" s="512"/>
      <c r="H2" s="512"/>
      <c r="I2" s="512"/>
      <c r="J2" s="513"/>
      <c r="K2" s="511" t="s">
        <v>254</v>
      </c>
      <c r="L2" s="512"/>
      <c r="M2" s="512"/>
      <c r="N2" s="512"/>
      <c r="O2" s="512"/>
      <c r="P2" s="512"/>
      <c r="Q2" s="512"/>
      <c r="R2" s="512"/>
      <c r="S2" s="512"/>
      <c r="T2" s="512"/>
      <c r="U2" s="513"/>
    </row>
    <row r="3" spans="1:21" x14ac:dyDescent="0.3">
      <c r="A3" s="325"/>
      <c r="B3" s="326"/>
      <c r="C3" s="327"/>
      <c r="D3" s="514" t="s">
        <v>266</v>
      </c>
      <c r="E3" s="514"/>
      <c r="F3" s="514"/>
      <c r="G3" s="327"/>
      <c r="H3" s="326"/>
      <c r="I3" s="326"/>
      <c r="J3" s="328"/>
      <c r="K3" s="325"/>
      <c r="L3" s="326"/>
      <c r="M3" s="327"/>
      <c r="N3" s="514" t="s">
        <v>266</v>
      </c>
      <c r="O3" s="514"/>
      <c r="P3" s="514"/>
      <c r="Q3" s="514"/>
      <c r="R3" s="327"/>
      <c r="S3" s="327"/>
      <c r="T3" s="326"/>
      <c r="U3" s="328"/>
    </row>
    <row r="4" spans="1:21" x14ac:dyDescent="0.3">
      <c r="A4" s="329"/>
      <c r="B4" s="330"/>
      <c r="C4" s="330"/>
      <c r="D4" s="330"/>
      <c r="E4" s="330"/>
      <c r="F4" s="488" t="s">
        <v>154</v>
      </c>
      <c r="G4" s="488"/>
      <c r="H4" s="488"/>
      <c r="I4" s="488"/>
      <c r="J4" s="489"/>
      <c r="K4" s="331"/>
      <c r="L4" s="332"/>
      <c r="M4" s="332"/>
      <c r="N4" s="332"/>
      <c r="O4" s="332"/>
      <c r="P4" s="332"/>
      <c r="Q4" s="332"/>
      <c r="R4" s="332"/>
      <c r="S4" s="332"/>
      <c r="T4" s="332"/>
      <c r="U4" s="333"/>
    </row>
    <row r="5" spans="1:21" x14ac:dyDescent="0.3">
      <c r="A5" s="334" t="s">
        <v>67</v>
      </c>
      <c r="B5" s="490" t="s">
        <v>65</v>
      </c>
      <c r="C5" s="491"/>
      <c r="D5" s="335" t="s">
        <v>68</v>
      </c>
      <c r="E5" s="336"/>
      <c r="F5" s="335" t="s">
        <v>69</v>
      </c>
      <c r="G5" s="337"/>
      <c r="H5" s="338" t="s">
        <v>70</v>
      </c>
      <c r="I5" s="339" t="s">
        <v>154</v>
      </c>
      <c r="J5" s="339"/>
      <c r="K5" s="334" t="s">
        <v>67</v>
      </c>
      <c r="L5" s="492" t="s">
        <v>65</v>
      </c>
      <c r="M5" s="493"/>
      <c r="N5" s="335" t="s">
        <v>71</v>
      </c>
      <c r="O5" s="337"/>
      <c r="P5" s="494" t="s">
        <v>256</v>
      </c>
      <c r="Q5" s="495"/>
      <c r="R5" s="495"/>
      <c r="S5" s="495"/>
      <c r="T5" s="495"/>
      <c r="U5" s="496"/>
    </row>
    <row r="6" spans="1:21" x14ac:dyDescent="0.3">
      <c r="A6" s="340" t="s">
        <v>72</v>
      </c>
      <c r="B6" s="503" t="s">
        <v>143</v>
      </c>
      <c r="C6" s="504"/>
      <c r="D6" s="341" t="s">
        <v>74</v>
      </c>
      <c r="E6" s="342">
        <v>0.98785900000000004</v>
      </c>
      <c r="F6" s="343" t="s">
        <v>222</v>
      </c>
      <c r="G6" s="344"/>
      <c r="H6" s="345">
        <v>71.905948540325284</v>
      </c>
      <c r="I6" s="346" t="s">
        <v>154</v>
      </c>
      <c r="J6" s="347"/>
      <c r="K6" s="340" t="s">
        <v>72</v>
      </c>
      <c r="L6" s="505" t="s">
        <v>143</v>
      </c>
      <c r="M6" s="474"/>
      <c r="N6" s="348">
        <v>199655.49575892842</v>
      </c>
      <c r="O6" s="349"/>
      <c r="P6" s="497"/>
      <c r="Q6" s="498"/>
      <c r="R6" s="498"/>
      <c r="S6" s="498"/>
      <c r="T6" s="498"/>
      <c r="U6" s="499"/>
    </row>
    <row r="7" spans="1:21" x14ac:dyDescent="0.3">
      <c r="A7" s="340" t="s">
        <v>77</v>
      </c>
      <c r="B7" s="473" t="s">
        <v>144</v>
      </c>
      <c r="C7" s="474"/>
      <c r="D7" s="350" t="s">
        <v>79</v>
      </c>
      <c r="E7" s="351">
        <v>1226.673</v>
      </c>
      <c r="F7" s="343" t="s">
        <v>223</v>
      </c>
      <c r="G7" s="344"/>
      <c r="H7" s="352">
        <v>59.811612488613704</v>
      </c>
      <c r="I7" s="353" t="s">
        <v>154</v>
      </c>
      <c r="J7" s="354"/>
      <c r="K7" s="355" t="s">
        <v>77</v>
      </c>
      <c r="L7" s="506" t="s">
        <v>144</v>
      </c>
      <c r="M7" s="507"/>
      <c r="N7" s="335"/>
      <c r="O7" s="337"/>
      <c r="P7" s="500"/>
      <c r="Q7" s="501"/>
      <c r="R7" s="501"/>
      <c r="S7" s="501"/>
      <c r="T7" s="501"/>
      <c r="U7" s="502"/>
    </row>
    <row r="8" spans="1:21" ht="15.6" x14ac:dyDescent="0.3">
      <c r="A8" s="340" t="s">
        <v>81</v>
      </c>
      <c r="B8" s="468" t="s">
        <v>224</v>
      </c>
      <c r="C8" s="469"/>
      <c r="D8" s="350" t="s">
        <v>82</v>
      </c>
      <c r="E8" s="351">
        <v>2404.2790799999998</v>
      </c>
      <c r="F8" s="343"/>
      <c r="G8" s="344"/>
      <c r="H8" s="339" t="s">
        <v>83</v>
      </c>
      <c r="I8" s="356" t="s">
        <v>154</v>
      </c>
      <c r="J8" s="339" t="s">
        <v>85</v>
      </c>
      <c r="K8" s="357"/>
      <c r="L8" s="358"/>
      <c r="M8" s="358"/>
      <c r="N8" s="358"/>
      <c r="O8" s="358"/>
      <c r="P8" s="358"/>
      <c r="Q8" s="358"/>
      <c r="R8" s="358"/>
      <c r="S8" s="358"/>
      <c r="T8" s="358"/>
      <c r="U8" s="359"/>
    </row>
    <row r="9" spans="1:21" ht="15.6" x14ac:dyDescent="0.3">
      <c r="A9" s="340" t="s">
        <v>86</v>
      </c>
      <c r="B9" s="468" t="s">
        <v>76</v>
      </c>
      <c r="C9" s="469"/>
      <c r="D9" s="350" t="s">
        <v>87</v>
      </c>
      <c r="E9" s="360">
        <v>74539.482453625795</v>
      </c>
      <c r="F9" s="343" t="s">
        <v>88</v>
      </c>
      <c r="G9" s="344"/>
      <c r="H9" s="352">
        <v>62.32</v>
      </c>
      <c r="I9" s="361">
        <v>41645</v>
      </c>
      <c r="J9" s="362">
        <v>59890</v>
      </c>
      <c r="K9" s="470" t="s">
        <v>89</v>
      </c>
      <c r="L9" s="471"/>
      <c r="M9" s="471"/>
      <c r="N9" s="471"/>
      <c r="O9" s="471"/>
      <c r="P9" s="471"/>
      <c r="Q9" s="471"/>
      <c r="R9" s="471"/>
      <c r="S9" s="471"/>
      <c r="T9" s="471"/>
      <c r="U9" s="472"/>
    </row>
    <row r="10" spans="1:21" x14ac:dyDescent="0.3">
      <c r="A10" s="340" t="s">
        <v>90</v>
      </c>
      <c r="B10" s="473" t="s">
        <v>91</v>
      </c>
      <c r="C10" s="474"/>
      <c r="D10" s="350" t="s">
        <v>92</v>
      </c>
      <c r="E10" s="351">
        <v>125116.01330530264</v>
      </c>
      <c r="F10" s="363" t="s">
        <v>93</v>
      </c>
      <c r="G10" s="364"/>
      <c r="H10" s="365">
        <v>59.68</v>
      </c>
      <c r="I10" s="366">
        <v>42054</v>
      </c>
      <c r="J10" s="367">
        <v>54776</v>
      </c>
      <c r="K10" s="368"/>
      <c r="L10" s="369" t="s">
        <v>94</v>
      </c>
      <c r="M10" s="370"/>
      <c r="N10" s="369" t="s">
        <v>95</v>
      </c>
      <c r="O10" s="370"/>
      <c r="P10" s="369" t="s">
        <v>96</v>
      </c>
      <c r="Q10" s="370"/>
      <c r="R10" s="369" t="s">
        <v>97</v>
      </c>
      <c r="S10" s="370"/>
      <c r="T10" s="369" t="s">
        <v>98</v>
      </c>
      <c r="U10" s="371"/>
    </row>
    <row r="11" spans="1:21" x14ac:dyDescent="0.3">
      <c r="A11" s="475" t="s">
        <v>257</v>
      </c>
      <c r="B11" s="476"/>
      <c r="C11" s="477"/>
      <c r="D11" s="372" t="s">
        <v>99</v>
      </c>
      <c r="E11" s="373">
        <v>199655.49575892842</v>
      </c>
      <c r="F11" s="335" t="s">
        <v>100</v>
      </c>
      <c r="G11" s="337"/>
      <c r="H11" s="338" t="s">
        <v>101</v>
      </c>
      <c r="I11" s="339" t="s">
        <v>102</v>
      </c>
      <c r="J11" s="339" t="s">
        <v>103</v>
      </c>
      <c r="K11" s="374" t="s">
        <v>104</v>
      </c>
      <c r="L11" s="338" t="s">
        <v>105</v>
      </c>
      <c r="M11" s="338" t="s">
        <v>37</v>
      </c>
      <c r="N11" s="338" t="s">
        <v>105</v>
      </c>
      <c r="O11" s="338" t="s">
        <v>37</v>
      </c>
      <c r="P11" s="338" t="s">
        <v>105</v>
      </c>
      <c r="Q11" s="338" t="s">
        <v>37</v>
      </c>
      <c r="R11" s="338" t="s">
        <v>105</v>
      </c>
      <c r="S11" s="338" t="s">
        <v>37</v>
      </c>
      <c r="T11" s="338" t="s">
        <v>105</v>
      </c>
      <c r="U11" s="338" t="s">
        <v>37</v>
      </c>
    </row>
    <row r="12" spans="1:21" x14ac:dyDescent="0.3">
      <c r="A12" s="478"/>
      <c r="B12" s="479"/>
      <c r="C12" s="480"/>
      <c r="D12" s="336" t="s">
        <v>106</v>
      </c>
      <c r="E12" s="375"/>
      <c r="F12" s="334" t="s">
        <v>107</v>
      </c>
      <c r="G12" s="334"/>
      <c r="H12" s="376">
        <v>4414384.0615438726</v>
      </c>
      <c r="I12" s="376">
        <v>34700.504402944614</v>
      </c>
      <c r="J12" s="376">
        <v>4449084.5659468174</v>
      </c>
      <c r="K12" s="340" t="s">
        <v>40</v>
      </c>
      <c r="L12" s="377">
        <v>908.00000000000011</v>
      </c>
      <c r="M12" s="378">
        <v>904989.33997905324</v>
      </c>
      <c r="N12" s="377">
        <v>998.80000000000052</v>
      </c>
      <c r="O12" s="378">
        <v>980315.26671025518</v>
      </c>
      <c r="P12" s="377">
        <v>1089.6000000000004</v>
      </c>
      <c r="Q12" s="378">
        <v>1055641.1934414569</v>
      </c>
      <c r="R12" s="377">
        <v>817.20000000000016</v>
      </c>
      <c r="S12" s="378">
        <v>829663.41324785177</v>
      </c>
      <c r="T12" s="377">
        <v>726.39999999999986</v>
      </c>
      <c r="U12" s="378">
        <v>754337.4865166496</v>
      </c>
    </row>
    <row r="13" spans="1:21" x14ac:dyDescent="0.3">
      <c r="A13" s="478"/>
      <c r="B13" s="479"/>
      <c r="C13" s="480"/>
      <c r="D13" s="379" t="s">
        <v>108</v>
      </c>
      <c r="E13" s="378">
        <v>199277</v>
      </c>
      <c r="F13" s="344" t="s">
        <v>109</v>
      </c>
      <c r="G13" s="340"/>
      <c r="H13" s="380">
        <v>3333884.8892016765</v>
      </c>
      <c r="I13" s="380">
        <v>16160.4885608395</v>
      </c>
      <c r="J13" s="380">
        <v>3350045.377762516</v>
      </c>
      <c r="K13" s="340" t="s">
        <v>41</v>
      </c>
      <c r="L13" s="360">
        <v>706.00000000000034</v>
      </c>
      <c r="M13" s="351">
        <v>718879.42408779706</v>
      </c>
      <c r="N13" s="360">
        <v>776.60000000000048</v>
      </c>
      <c r="O13" s="351">
        <v>777676.44486557983</v>
      </c>
      <c r="P13" s="360">
        <v>847.19999999999982</v>
      </c>
      <c r="Q13" s="351">
        <v>836473.46564336249</v>
      </c>
      <c r="R13" s="360">
        <v>635.4000000000002</v>
      </c>
      <c r="S13" s="351">
        <v>660082.40331001417</v>
      </c>
      <c r="T13" s="360">
        <v>564.80000000000007</v>
      </c>
      <c r="U13" s="351">
        <v>601285.38253223128</v>
      </c>
    </row>
    <row r="14" spans="1:21" x14ac:dyDescent="0.3">
      <c r="A14" s="478"/>
      <c r="B14" s="479"/>
      <c r="C14" s="480"/>
      <c r="D14" s="381" t="s">
        <v>110</v>
      </c>
      <c r="E14" s="351">
        <v>-378</v>
      </c>
      <c r="F14" s="484" t="s">
        <v>267</v>
      </c>
      <c r="G14" s="476"/>
      <c r="H14" s="476"/>
      <c r="I14" s="476"/>
      <c r="J14" s="477"/>
      <c r="K14" s="340" t="s">
        <v>42</v>
      </c>
      <c r="L14" s="360">
        <v>520</v>
      </c>
      <c r="M14" s="351">
        <v>517764.49300809292</v>
      </c>
      <c r="N14" s="360">
        <v>571.99999999999989</v>
      </c>
      <c r="O14" s="351">
        <v>561282.44668250473</v>
      </c>
      <c r="P14" s="360">
        <v>623.99999999999989</v>
      </c>
      <c r="Q14" s="351">
        <v>604800.40035691671</v>
      </c>
      <c r="R14" s="360">
        <v>467.99999999999989</v>
      </c>
      <c r="S14" s="351">
        <v>474246.53933368111</v>
      </c>
      <c r="T14" s="360">
        <v>415.99999999999989</v>
      </c>
      <c r="U14" s="351">
        <v>430728.58565926907</v>
      </c>
    </row>
    <row r="15" spans="1:21" x14ac:dyDescent="0.3">
      <c r="A15" s="478"/>
      <c r="B15" s="479"/>
      <c r="C15" s="480"/>
      <c r="D15" s="381" t="s">
        <v>111</v>
      </c>
      <c r="E15" s="382">
        <v>-1.8932611825341961E-3</v>
      </c>
      <c r="F15" s="478"/>
      <c r="G15" s="479"/>
      <c r="H15" s="479"/>
      <c r="I15" s="479"/>
      <c r="J15" s="480"/>
      <c r="K15" s="340" t="s">
        <v>112</v>
      </c>
      <c r="L15" s="360">
        <v>251</v>
      </c>
      <c r="M15" s="351">
        <v>274784.01340558555</v>
      </c>
      <c r="N15" s="360">
        <v>276.10000000000002</v>
      </c>
      <c r="O15" s="351">
        <v>297716.19108866306</v>
      </c>
      <c r="P15" s="360">
        <v>301.2</v>
      </c>
      <c r="Q15" s="351">
        <v>320648.36877174047</v>
      </c>
      <c r="R15" s="360">
        <v>225.9</v>
      </c>
      <c r="S15" s="351">
        <v>251851.83572250817</v>
      </c>
      <c r="T15" s="360">
        <v>200.80000000000004</v>
      </c>
      <c r="U15" s="351">
        <v>228919.65803943071</v>
      </c>
    </row>
    <row r="16" spans="1:21" x14ac:dyDescent="0.3">
      <c r="A16" s="481"/>
      <c r="B16" s="482"/>
      <c r="C16" s="483"/>
      <c r="D16" s="383"/>
      <c r="E16" s="384"/>
      <c r="F16" s="481"/>
      <c r="G16" s="482"/>
      <c r="H16" s="482"/>
      <c r="I16" s="482"/>
      <c r="J16" s="483"/>
      <c r="K16" s="340" t="s">
        <v>113</v>
      </c>
      <c r="L16" s="360">
        <v>74</v>
      </c>
      <c r="M16" s="351">
        <v>144572.33324714686</v>
      </c>
      <c r="N16" s="360">
        <v>81.399999999999949</v>
      </c>
      <c r="O16" s="351">
        <v>151506.3013639648</v>
      </c>
      <c r="P16" s="360">
        <v>88.800000000000068</v>
      </c>
      <c r="Q16" s="351">
        <v>158440.26948078279</v>
      </c>
      <c r="R16" s="360">
        <v>66.599999999999994</v>
      </c>
      <c r="S16" s="351">
        <v>137638.36513032884</v>
      </c>
      <c r="T16" s="360">
        <v>59.199999999999974</v>
      </c>
      <c r="U16" s="351">
        <v>130704.39701351082</v>
      </c>
    </row>
    <row r="17" spans="1:21" x14ac:dyDescent="0.3">
      <c r="A17" s="385"/>
      <c r="B17" s="386"/>
      <c r="C17" s="386"/>
      <c r="D17" s="386"/>
      <c r="E17" s="387"/>
      <c r="F17" s="388"/>
      <c r="G17" s="386"/>
      <c r="H17" s="386"/>
      <c r="I17" s="386"/>
      <c r="J17" s="389"/>
      <c r="K17" s="340" t="s">
        <v>114</v>
      </c>
      <c r="L17" s="360">
        <v>5.0000000000000044</v>
      </c>
      <c r="M17" s="351">
        <v>99673.699466598118</v>
      </c>
      <c r="N17" s="360">
        <v>5.5000000000000053</v>
      </c>
      <c r="O17" s="351">
        <v>100185.32998130495</v>
      </c>
      <c r="P17" s="360">
        <v>6.000000000000008</v>
      </c>
      <c r="Q17" s="351">
        <v>100696.96049601176</v>
      </c>
      <c r="R17" s="360">
        <v>4.5000000000000053</v>
      </c>
      <c r="S17" s="351">
        <v>99162.068951891284</v>
      </c>
      <c r="T17" s="360">
        <v>4.000000000000008</v>
      </c>
      <c r="U17" s="351">
        <v>98650.438437184464</v>
      </c>
    </row>
    <row r="18" spans="1:21" ht="15.6" x14ac:dyDescent="0.3">
      <c r="A18" s="485" t="s">
        <v>115</v>
      </c>
      <c r="B18" s="486"/>
      <c r="C18" s="486"/>
      <c r="D18" s="486"/>
      <c r="E18" s="486"/>
      <c r="F18" s="486"/>
      <c r="G18" s="486"/>
      <c r="H18" s="486"/>
      <c r="I18" s="486"/>
      <c r="J18" s="487"/>
      <c r="K18" s="340" t="s">
        <v>116</v>
      </c>
      <c r="L18" s="360">
        <v>0</v>
      </c>
      <c r="M18" s="351">
        <v>98177.671769697816</v>
      </c>
      <c r="N18" s="360">
        <v>0</v>
      </c>
      <c r="O18" s="351">
        <v>98183.539680029993</v>
      </c>
      <c r="P18" s="360">
        <v>0</v>
      </c>
      <c r="Q18" s="351">
        <v>98189.407590362156</v>
      </c>
      <c r="R18" s="360">
        <v>0</v>
      </c>
      <c r="S18" s="351">
        <v>98171.803859365624</v>
      </c>
      <c r="T18" s="360">
        <v>0</v>
      </c>
      <c r="U18" s="351">
        <v>98165.935949033446</v>
      </c>
    </row>
    <row r="19" spans="1:21" x14ac:dyDescent="0.3">
      <c r="A19" s="339" t="s">
        <v>117</v>
      </c>
      <c r="B19" s="462" t="s">
        <v>118</v>
      </c>
      <c r="C19" s="463"/>
      <c r="D19" s="464"/>
      <c r="E19" s="339" t="s">
        <v>119</v>
      </c>
      <c r="F19" s="462" t="s">
        <v>120</v>
      </c>
      <c r="G19" s="465"/>
      <c r="H19" s="466"/>
      <c r="I19" s="466"/>
      <c r="J19" s="467"/>
      <c r="K19" s="340" t="s">
        <v>121</v>
      </c>
      <c r="L19" s="360">
        <v>0.999999999999999</v>
      </c>
      <c r="M19" s="351">
        <v>106683.7070683245</v>
      </c>
      <c r="N19" s="360">
        <v>1.0999999999999992</v>
      </c>
      <c r="O19" s="351">
        <v>106771.34626388035</v>
      </c>
      <c r="P19" s="360">
        <v>1.1999999999999997</v>
      </c>
      <c r="Q19" s="351">
        <v>106858.98545943623</v>
      </c>
      <c r="R19" s="360">
        <v>0.89999999999999936</v>
      </c>
      <c r="S19" s="351">
        <v>106596.06787276865</v>
      </c>
      <c r="T19" s="360">
        <v>0.79999999999999938</v>
      </c>
      <c r="U19" s="351">
        <v>106508.42867721278</v>
      </c>
    </row>
    <row r="20" spans="1:21" x14ac:dyDescent="0.3">
      <c r="A20" s="390" t="s">
        <v>125</v>
      </c>
      <c r="B20" s="391" t="s">
        <v>214</v>
      </c>
      <c r="C20" s="392"/>
      <c r="D20" s="393"/>
      <c r="E20" s="351">
        <v>16500</v>
      </c>
      <c r="F20" s="394" t="s">
        <v>213</v>
      </c>
      <c r="G20" s="394"/>
      <c r="H20" s="394"/>
      <c r="I20" s="394"/>
      <c r="J20" s="395"/>
      <c r="K20" s="340" t="s">
        <v>124</v>
      </c>
      <c r="L20" s="360">
        <v>34.999999999999993</v>
      </c>
      <c r="M20" s="351">
        <v>122356.83681091892</v>
      </c>
      <c r="N20" s="360">
        <v>38.5</v>
      </c>
      <c r="O20" s="351">
        <v>125303.14851611483</v>
      </c>
      <c r="P20" s="360">
        <v>41.999999999999993</v>
      </c>
      <c r="Q20" s="351">
        <v>128249.46022131068</v>
      </c>
      <c r="R20" s="360">
        <v>31.5</v>
      </c>
      <c r="S20" s="351">
        <v>119410.52510572301</v>
      </c>
      <c r="T20" s="360">
        <v>27.999999999999993</v>
      </c>
      <c r="U20" s="351">
        <v>116464.21340052711</v>
      </c>
    </row>
    <row r="21" spans="1:21" x14ac:dyDescent="0.3">
      <c r="A21" s="396" t="s">
        <v>125</v>
      </c>
      <c r="B21" s="397" t="s">
        <v>215</v>
      </c>
      <c r="C21" s="394"/>
      <c r="D21" s="398"/>
      <c r="E21" s="351">
        <v>82000</v>
      </c>
      <c r="F21" s="394" t="s">
        <v>216</v>
      </c>
      <c r="G21" s="394"/>
      <c r="H21" s="394"/>
      <c r="I21" s="394"/>
      <c r="J21" s="395"/>
      <c r="K21" s="340" t="s">
        <v>126</v>
      </c>
      <c r="L21" s="360">
        <v>227</v>
      </c>
      <c r="M21" s="351">
        <v>234250.91057392411</v>
      </c>
      <c r="N21" s="360">
        <v>249.70000000000002</v>
      </c>
      <c r="O21" s="351">
        <v>254155.22703158567</v>
      </c>
      <c r="P21" s="360">
        <v>272.40000000000003</v>
      </c>
      <c r="Q21" s="351">
        <v>274059.54348924733</v>
      </c>
      <c r="R21" s="360">
        <v>204.29999999999998</v>
      </c>
      <c r="S21" s="351">
        <v>214346.59411626254</v>
      </c>
      <c r="T21" s="360">
        <v>181.60000000000005</v>
      </c>
      <c r="U21" s="351">
        <v>194442.27765860097</v>
      </c>
    </row>
    <row r="22" spans="1:21" x14ac:dyDescent="0.3">
      <c r="A22" s="396" t="s">
        <v>66</v>
      </c>
      <c r="B22" s="397" t="s">
        <v>139</v>
      </c>
      <c r="C22" s="394"/>
      <c r="D22" s="398"/>
      <c r="E22" s="351">
        <v>78749</v>
      </c>
      <c r="F22" s="394" t="s">
        <v>140</v>
      </c>
      <c r="G22" s="394"/>
      <c r="H22" s="394"/>
      <c r="I22" s="394"/>
      <c r="J22" s="395"/>
      <c r="K22" s="340" t="s">
        <v>38</v>
      </c>
      <c r="L22" s="360">
        <v>500</v>
      </c>
      <c r="M22" s="351">
        <v>435946.7008676299</v>
      </c>
      <c r="N22" s="360">
        <v>550.00000000000011</v>
      </c>
      <c r="O22" s="351">
        <v>477037.07044823695</v>
      </c>
      <c r="P22" s="360">
        <v>600</v>
      </c>
      <c r="Q22" s="351">
        <v>518127.44002884388</v>
      </c>
      <c r="R22" s="360">
        <v>450.00000000000006</v>
      </c>
      <c r="S22" s="351">
        <v>394856.33128702285</v>
      </c>
      <c r="T22" s="360">
        <v>400.00000000000011</v>
      </c>
      <c r="U22" s="351">
        <v>353765.96170641581</v>
      </c>
    </row>
    <row r="23" spans="1:21" x14ac:dyDescent="0.3">
      <c r="A23" s="405"/>
      <c r="B23" s="406"/>
      <c r="C23" s="407"/>
      <c r="D23" s="408"/>
      <c r="E23" s="351"/>
      <c r="F23" s="394" t="s">
        <v>141</v>
      </c>
      <c r="G23" s="394"/>
      <c r="H23" s="394"/>
      <c r="I23" s="394"/>
      <c r="J23" s="395"/>
      <c r="K23" s="340" t="s">
        <v>39</v>
      </c>
      <c r="L23" s="360">
        <v>821.00000000000011</v>
      </c>
      <c r="M23" s="351">
        <v>756304.93125910312</v>
      </c>
      <c r="N23" s="360">
        <v>903.1</v>
      </c>
      <c r="O23" s="351">
        <v>824072.84159391315</v>
      </c>
      <c r="P23" s="360">
        <v>985.1999999999997</v>
      </c>
      <c r="Q23" s="351">
        <v>891840.75192872318</v>
      </c>
      <c r="R23" s="360">
        <v>738.90000000000009</v>
      </c>
      <c r="S23" s="351">
        <v>688537.0209242932</v>
      </c>
      <c r="T23" s="360">
        <v>656.8</v>
      </c>
      <c r="U23" s="351">
        <v>620769.11058948294</v>
      </c>
    </row>
    <row r="24" spans="1:21" x14ac:dyDescent="0.3">
      <c r="A24" s="405"/>
      <c r="B24" s="406"/>
      <c r="C24" s="407"/>
      <c r="D24" s="408"/>
      <c r="E24" s="351"/>
      <c r="F24" s="394" t="s">
        <v>142</v>
      </c>
      <c r="G24" s="394"/>
      <c r="H24" s="394"/>
      <c r="I24" s="394"/>
      <c r="J24" s="395"/>
      <c r="K24" s="409" t="s">
        <v>127</v>
      </c>
      <c r="L24" s="410">
        <v>4048.0000000000005</v>
      </c>
      <c r="M24" s="410">
        <v>4414384.0615438726</v>
      </c>
      <c r="N24" s="410">
        <v>4452.8000000000011</v>
      </c>
      <c r="O24" s="410">
        <v>4754205.1542260339</v>
      </c>
      <c r="P24" s="410">
        <v>4857.5999999999995</v>
      </c>
      <c r="Q24" s="410">
        <v>5094026.2469081935</v>
      </c>
      <c r="R24" s="410">
        <v>3643.2000000000007</v>
      </c>
      <c r="S24" s="410">
        <v>4074562.9688617121</v>
      </c>
      <c r="T24" s="410">
        <v>3238.3999999999996</v>
      </c>
      <c r="U24" s="410">
        <v>3734741.8761795484</v>
      </c>
    </row>
    <row r="25" spans="1:21" x14ac:dyDescent="0.3">
      <c r="A25" s="405" t="s">
        <v>125</v>
      </c>
      <c r="B25" s="406" t="s">
        <v>217</v>
      </c>
      <c r="C25" s="407"/>
      <c r="D25" s="408"/>
      <c r="E25" s="351">
        <v>10000</v>
      </c>
      <c r="F25" s="394" t="s">
        <v>213</v>
      </c>
      <c r="G25" s="394"/>
      <c r="H25" s="394"/>
      <c r="I25" s="394"/>
      <c r="J25" s="395"/>
      <c r="K25" s="409" t="s">
        <v>128</v>
      </c>
      <c r="L25" s="410">
        <v>3455.0000000000005</v>
      </c>
      <c r="M25" s="410">
        <v>3333884.8892016765</v>
      </c>
      <c r="N25" s="410">
        <v>3800.5000000000009</v>
      </c>
      <c r="O25" s="410">
        <v>3620384.0703004901</v>
      </c>
      <c r="P25" s="410">
        <v>4146</v>
      </c>
      <c r="Q25" s="410">
        <v>3906883.2513993029</v>
      </c>
      <c r="R25" s="410">
        <v>3109.5000000000005</v>
      </c>
      <c r="S25" s="410">
        <v>3047385.7081028633</v>
      </c>
      <c r="T25" s="410">
        <v>2764</v>
      </c>
      <c r="U25" s="410">
        <v>2760886.5270040487</v>
      </c>
    </row>
    <row r="26" spans="1:21" x14ac:dyDescent="0.3">
      <c r="A26" s="399" t="s">
        <v>125</v>
      </c>
      <c r="B26" s="400" t="s">
        <v>225</v>
      </c>
      <c r="C26" s="401"/>
      <c r="D26" s="402"/>
      <c r="E26" s="403">
        <v>1028</v>
      </c>
      <c r="F26" s="401" t="s">
        <v>263</v>
      </c>
      <c r="G26" s="401"/>
      <c r="H26" s="401"/>
      <c r="I26" s="401"/>
      <c r="J26" s="404"/>
      <c r="K26" s="411"/>
      <c r="L26" s="412"/>
      <c r="M26" s="412"/>
      <c r="N26" s="412"/>
      <c r="O26" s="412"/>
      <c r="P26" s="412"/>
      <c r="Q26" s="412"/>
      <c r="R26" s="412"/>
      <c r="S26" s="412"/>
      <c r="T26" s="412"/>
      <c r="U26" s="413"/>
    </row>
    <row r="27" spans="1:21" ht="15.6" x14ac:dyDescent="0.3">
      <c r="A27" s="405" t="s">
        <v>163</v>
      </c>
      <c r="B27" s="406" t="s">
        <v>185</v>
      </c>
      <c r="C27" s="407"/>
      <c r="D27" s="408"/>
      <c r="E27" s="351">
        <v>6000</v>
      </c>
      <c r="F27" s="394" t="s">
        <v>218</v>
      </c>
      <c r="G27" s="394"/>
      <c r="H27" s="394"/>
      <c r="I27" s="394"/>
      <c r="J27" s="395"/>
      <c r="K27" s="470" t="s">
        <v>129</v>
      </c>
      <c r="L27" s="471"/>
      <c r="M27" s="471"/>
      <c r="N27" s="471"/>
      <c r="O27" s="471"/>
      <c r="P27" s="471"/>
      <c r="Q27" s="471"/>
      <c r="R27" s="471"/>
      <c r="S27" s="471"/>
      <c r="T27" s="471"/>
      <c r="U27" s="472"/>
    </row>
    <row r="28" spans="1:21" x14ac:dyDescent="0.3">
      <c r="A28" s="405" t="s">
        <v>125</v>
      </c>
      <c r="B28" s="406" t="s">
        <v>264</v>
      </c>
      <c r="C28" s="407"/>
      <c r="D28" s="408"/>
      <c r="E28" s="351">
        <v>5000</v>
      </c>
      <c r="F28" s="394" t="s">
        <v>265</v>
      </c>
      <c r="G28" s="394"/>
      <c r="H28" s="394"/>
      <c r="I28" s="394"/>
      <c r="J28" s="395"/>
      <c r="K28" s="368"/>
      <c r="L28" s="369" t="s">
        <v>94</v>
      </c>
      <c r="M28" s="370"/>
      <c r="N28" s="369" t="s">
        <v>95</v>
      </c>
      <c r="O28" s="370"/>
      <c r="P28" s="369" t="s">
        <v>96</v>
      </c>
      <c r="Q28" s="370"/>
      <c r="R28" s="369" t="s">
        <v>97</v>
      </c>
      <c r="S28" s="370"/>
      <c r="T28" s="369" t="s">
        <v>98</v>
      </c>
      <c r="U28" s="371"/>
    </row>
    <row r="29" spans="1:21" x14ac:dyDescent="0.3">
      <c r="A29" s="405"/>
      <c r="B29" s="406"/>
      <c r="C29" s="407"/>
      <c r="D29" s="408"/>
      <c r="E29" s="351"/>
      <c r="F29" s="394"/>
      <c r="G29" s="394"/>
      <c r="H29" s="394"/>
      <c r="I29" s="394"/>
      <c r="J29" s="395"/>
      <c r="K29" s="374" t="s">
        <v>104</v>
      </c>
      <c r="L29" s="338" t="s">
        <v>105</v>
      </c>
      <c r="M29" s="338" t="s">
        <v>37</v>
      </c>
      <c r="N29" s="338" t="s">
        <v>105</v>
      </c>
      <c r="O29" s="338" t="s">
        <v>37</v>
      </c>
      <c r="P29" s="338" t="s">
        <v>105</v>
      </c>
      <c r="Q29" s="338" t="s">
        <v>37</v>
      </c>
      <c r="R29" s="338" t="s">
        <v>105</v>
      </c>
      <c r="S29" s="338" t="s">
        <v>37</v>
      </c>
      <c r="T29" s="338" t="s">
        <v>105</v>
      </c>
      <c r="U29" s="338" t="s">
        <v>37</v>
      </c>
    </row>
    <row r="30" spans="1:21" x14ac:dyDescent="0.3">
      <c r="A30" s="414"/>
      <c r="B30" s="415"/>
      <c r="C30" s="416"/>
      <c r="D30" s="417"/>
      <c r="E30" s="418"/>
      <c r="F30" s="394"/>
      <c r="G30" s="394"/>
      <c r="H30" s="394"/>
      <c r="I30" s="394"/>
      <c r="J30" s="395"/>
      <c r="K30" s="340" t="s">
        <v>40</v>
      </c>
      <c r="L30" s="377">
        <v>908.00000000000011</v>
      </c>
      <c r="M30" s="378">
        <v>3886.6034857044096</v>
      </c>
      <c r="N30" s="377">
        <v>998.80000000000052</v>
      </c>
      <c r="O30" s="378">
        <v>3736.3742136852061</v>
      </c>
      <c r="P30" s="377">
        <v>1089.6000000000004</v>
      </c>
      <c r="Q30" s="378">
        <v>3586.1449416660025</v>
      </c>
      <c r="R30" s="377">
        <v>817.20000000000016</v>
      </c>
      <c r="S30" s="378">
        <v>4036.8327577236132</v>
      </c>
      <c r="T30" s="377">
        <v>726.39999999999986</v>
      </c>
      <c r="U30" s="378">
        <v>4187.0620297428168</v>
      </c>
    </row>
    <row r="31" spans="1:21" x14ac:dyDescent="0.3">
      <c r="A31" s="419"/>
      <c r="B31" s="420"/>
      <c r="C31" s="420"/>
      <c r="D31" s="420" t="s">
        <v>130</v>
      </c>
      <c r="E31" s="421">
        <v>199277</v>
      </c>
      <c r="F31" s="422"/>
      <c r="G31" s="422"/>
      <c r="H31" s="422"/>
      <c r="I31" s="422"/>
      <c r="J31" s="423"/>
      <c r="K31" s="340" t="s">
        <v>41</v>
      </c>
      <c r="L31" s="360">
        <v>706.00000000000034</v>
      </c>
      <c r="M31" s="351">
        <v>3340.4997319934223</v>
      </c>
      <c r="N31" s="360">
        <v>776.60000000000048</v>
      </c>
      <c r="O31" s="351">
        <v>3213.2782272232662</v>
      </c>
      <c r="P31" s="360">
        <v>847.19999999999982</v>
      </c>
      <c r="Q31" s="351">
        <v>3086.0567224531101</v>
      </c>
      <c r="R31" s="360">
        <v>635.4000000000002</v>
      </c>
      <c r="S31" s="351">
        <v>3467.7212367635789</v>
      </c>
      <c r="T31" s="360">
        <v>564.80000000000007</v>
      </c>
      <c r="U31" s="351">
        <v>3594.9427415337359</v>
      </c>
    </row>
    <row r="32" spans="1:21" x14ac:dyDescent="0.3">
      <c r="A32" s="424"/>
      <c r="B32" s="425"/>
      <c r="C32" s="425"/>
      <c r="D32" s="426"/>
      <c r="E32" s="427"/>
      <c r="F32" s="428"/>
      <c r="G32" s="428"/>
      <c r="H32" s="428"/>
      <c r="I32" s="428"/>
      <c r="J32" s="429"/>
      <c r="K32" s="340" t="s">
        <v>42</v>
      </c>
      <c r="L32" s="360">
        <v>520</v>
      </c>
      <c r="M32" s="351">
        <v>3922.0505104579101</v>
      </c>
      <c r="N32" s="360">
        <v>571.99999999999989</v>
      </c>
      <c r="O32" s="351">
        <v>3819.0321569840071</v>
      </c>
      <c r="P32" s="360">
        <v>623.99999999999989</v>
      </c>
      <c r="Q32" s="351">
        <v>3716.0138035101049</v>
      </c>
      <c r="R32" s="360">
        <v>467.99999999999989</v>
      </c>
      <c r="S32" s="351">
        <v>4025.0688639318118</v>
      </c>
      <c r="T32" s="360">
        <v>415.99999999999989</v>
      </c>
      <c r="U32" s="351">
        <v>4128.0872174057149</v>
      </c>
    </row>
    <row r="33" spans="1:21" ht="15.6" x14ac:dyDescent="0.3">
      <c r="A33" s="485" t="s">
        <v>131</v>
      </c>
      <c r="B33" s="486"/>
      <c r="C33" s="486"/>
      <c r="D33" s="486"/>
      <c r="E33" s="486"/>
      <c r="F33" s="486"/>
      <c r="G33" s="486"/>
      <c r="H33" s="486"/>
      <c r="I33" s="486"/>
      <c r="J33" s="487"/>
      <c r="K33" s="340" t="s">
        <v>112</v>
      </c>
      <c r="L33" s="360">
        <v>251</v>
      </c>
      <c r="M33" s="351">
        <v>2490.2890256356823</v>
      </c>
      <c r="N33" s="360">
        <v>276.10000000000002</v>
      </c>
      <c r="O33" s="351">
        <v>2442.0960943704249</v>
      </c>
      <c r="P33" s="360">
        <v>301.2</v>
      </c>
      <c r="Q33" s="351">
        <v>2393.9031631051689</v>
      </c>
      <c r="R33" s="360">
        <v>225.9</v>
      </c>
      <c r="S33" s="351">
        <v>2538.4819569009387</v>
      </c>
      <c r="T33" s="360">
        <v>200.80000000000004</v>
      </c>
      <c r="U33" s="351">
        <v>2586.6748881661965</v>
      </c>
    </row>
    <row r="34" spans="1:21" x14ac:dyDescent="0.3">
      <c r="A34" s="339" t="s">
        <v>117</v>
      </c>
      <c r="B34" s="462" t="s">
        <v>118</v>
      </c>
      <c r="C34" s="463"/>
      <c r="D34" s="464"/>
      <c r="E34" s="339" t="s">
        <v>119</v>
      </c>
      <c r="F34" s="462" t="s">
        <v>120</v>
      </c>
      <c r="G34" s="465"/>
      <c r="H34" s="466"/>
      <c r="I34" s="466"/>
      <c r="J34" s="467"/>
      <c r="K34" s="340" t="s">
        <v>113</v>
      </c>
      <c r="L34" s="360">
        <v>74</v>
      </c>
      <c r="M34" s="351">
        <v>3354.4721498955246</v>
      </c>
      <c r="N34" s="360">
        <v>81.399999999999949</v>
      </c>
      <c r="O34" s="351">
        <v>3337.1910917645478</v>
      </c>
      <c r="P34" s="360">
        <v>88.800000000000068</v>
      </c>
      <c r="Q34" s="351">
        <v>3319.9100336335719</v>
      </c>
      <c r="R34" s="360">
        <v>66.599999999999994</v>
      </c>
      <c r="S34" s="351">
        <v>3371.7532080264991</v>
      </c>
      <c r="T34" s="360">
        <v>59.199999999999974</v>
      </c>
      <c r="U34" s="351">
        <v>3389.0342661574768</v>
      </c>
    </row>
    <row r="35" spans="1:21" x14ac:dyDescent="0.3">
      <c r="A35" s="430"/>
      <c r="B35" s="431"/>
      <c r="C35" s="432"/>
      <c r="D35" s="433"/>
      <c r="E35" s="378"/>
      <c r="F35" s="392"/>
      <c r="G35" s="392"/>
      <c r="H35" s="392"/>
      <c r="I35" s="392"/>
      <c r="J35" s="434"/>
      <c r="K35" s="340" t="s">
        <v>114</v>
      </c>
      <c r="L35" s="360">
        <v>5.0000000000000044</v>
      </c>
      <c r="M35" s="351">
        <v>2595.8215341232108</v>
      </c>
      <c r="N35" s="360">
        <v>5.5000000000000053</v>
      </c>
      <c r="O35" s="351">
        <v>2593.1699097288329</v>
      </c>
      <c r="P35" s="360">
        <v>6.000000000000008</v>
      </c>
      <c r="Q35" s="351">
        <v>2590.5182853344545</v>
      </c>
      <c r="R35" s="360">
        <v>4.5000000000000053</v>
      </c>
      <c r="S35" s="351">
        <v>2598.4731585175864</v>
      </c>
      <c r="T35" s="360">
        <v>4.000000000000008</v>
      </c>
      <c r="U35" s="351">
        <v>2601.1247829119643</v>
      </c>
    </row>
    <row r="36" spans="1:21" x14ac:dyDescent="0.3">
      <c r="A36" s="405"/>
      <c r="B36" s="406"/>
      <c r="C36" s="407"/>
      <c r="D36" s="435"/>
      <c r="E36" s="351"/>
      <c r="F36" s="394"/>
      <c r="G36" s="394"/>
      <c r="H36" s="394"/>
      <c r="I36" s="394"/>
      <c r="J36" s="395"/>
      <c r="K36" s="340" t="s">
        <v>116</v>
      </c>
      <c r="L36" s="360">
        <v>0</v>
      </c>
      <c r="M36" s="351">
        <v>2408.5124224414794</v>
      </c>
      <c r="N36" s="360">
        <v>0</v>
      </c>
      <c r="O36" s="351">
        <v>2408.3460700982141</v>
      </c>
      <c r="P36" s="360">
        <v>0</v>
      </c>
      <c r="Q36" s="351">
        <v>2408.1797177549483</v>
      </c>
      <c r="R36" s="360">
        <v>0</v>
      </c>
      <c r="S36" s="351">
        <v>2408.6787747847443</v>
      </c>
      <c r="T36" s="360">
        <v>0</v>
      </c>
      <c r="U36" s="351">
        <v>2408.8451271280105</v>
      </c>
    </row>
    <row r="37" spans="1:21" x14ac:dyDescent="0.3">
      <c r="A37" s="405"/>
      <c r="B37" s="406"/>
      <c r="C37" s="407"/>
      <c r="D37" s="435"/>
      <c r="E37" s="351"/>
      <c r="F37" s="394"/>
      <c r="G37" s="394"/>
      <c r="H37" s="394"/>
      <c r="I37" s="394"/>
      <c r="J37" s="395"/>
      <c r="K37" s="340" t="s">
        <v>121</v>
      </c>
      <c r="L37" s="360">
        <v>0.999999999999999</v>
      </c>
      <c r="M37" s="351">
        <v>2865.8563320769072</v>
      </c>
      <c r="N37" s="360">
        <v>1.0999999999999992</v>
      </c>
      <c r="O37" s="351">
        <v>2865.7770235956987</v>
      </c>
      <c r="P37" s="360">
        <v>1.1999999999999997</v>
      </c>
      <c r="Q37" s="351">
        <v>2865.6977151144897</v>
      </c>
      <c r="R37" s="360">
        <v>0.89999999999999936</v>
      </c>
      <c r="S37" s="351">
        <v>2865.9356405581157</v>
      </c>
      <c r="T37" s="360">
        <v>0.79999999999999938</v>
      </c>
      <c r="U37" s="351">
        <v>2866.0149490393242</v>
      </c>
    </row>
    <row r="38" spans="1:21" x14ac:dyDescent="0.3">
      <c r="A38" s="405"/>
      <c r="B38" s="406"/>
      <c r="C38" s="407"/>
      <c r="D38" s="435"/>
      <c r="E38" s="351"/>
      <c r="F38" s="394"/>
      <c r="G38" s="394"/>
      <c r="H38" s="394"/>
      <c r="I38" s="394"/>
      <c r="J38" s="395"/>
      <c r="K38" s="340" t="s">
        <v>124</v>
      </c>
      <c r="L38" s="360">
        <v>34.999999999999993</v>
      </c>
      <c r="M38" s="351">
        <v>2029.1052333238547</v>
      </c>
      <c r="N38" s="360">
        <v>38.5</v>
      </c>
      <c r="O38" s="351">
        <v>2028.1259048302873</v>
      </c>
      <c r="P38" s="360">
        <v>41.999999999999993</v>
      </c>
      <c r="Q38" s="351">
        <v>2027.1465763367191</v>
      </c>
      <c r="R38" s="360">
        <v>31.5</v>
      </c>
      <c r="S38" s="351">
        <v>2030.0845618174221</v>
      </c>
      <c r="T38" s="360">
        <v>27.999999999999993</v>
      </c>
      <c r="U38" s="351">
        <v>2031.0638903109905</v>
      </c>
    </row>
    <row r="39" spans="1:21" x14ac:dyDescent="0.3">
      <c r="A39" s="405"/>
      <c r="B39" s="406"/>
      <c r="C39" s="407"/>
      <c r="D39" s="435"/>
      <c r="E39" s="351"/>
      <c r="F39" s="394"/>
      <c r="G39" s="394"/>
      <c r="H39" s="394"/>
      <c r="I39" s="394"/>
      <c r="J39" s="395"/>
      <c r="K39" s="340" t="s">
        <v>126</v>
      </c>
      <c r="L39" s="360">
        <v>227</v>
      </c>
      <c r="M39" s="351">
        <v>2795.9591446084546</v>
      </c>
      <c r="N39" s="360">
        <v>249.70000000000002</v>
      </c>
      <c r="O39" s="351">
        <v>2777.5342664184691</v>
      </c>
      <c r="P39" s="360">
        <v>272.40000000000003</v>
      </c>
      <c r="Q39" s="351">
        <v>2759.1093882284831</v>
      </c>
      <c r="R39" s="360">
        <v>204.29999999999998</v>
      </c>
      <c r="S39" s="351">
        <v>2814.3840227984383</v>
      </c>
      <c r="T39" s="360">
        <v>181.60000000000005</v>
      </c>
      <c r="U39" s="351">
        <v>2832.8089009884247</v>
      </c>
    </row>
    <row r="40" spans="1:21" x14ac:dyDescent="0.3">
      <c r="A40" s="405"/>
      <c r="B40" s="406"/>
      <c r="C40" s="407"/>
      <c r="D40" s="435"/>
      <c r="E40" s="351"/>
      <c r="F40" s="394"/>
      <c r="G40" s="394"/>
      <c r="H40" s="394"/>
      <c r="I40" s="394"/>
      <c r="J40" s="395"/>
      <c r="K40" s="340" t="s">
        <v>38</v>
      </c>
      <c r="L40" s="360">
        <v>500</v>
      </c>
      <c r="M40" s="351">
        <v>3036.7919499911809</v>
      </c>
      <c r="N40" s="360">
        <v>550.00000000000011</v>
      </c>
      <c r="O40" s="351">
        <v>2973.8565796372027</v>
      </c>
      <c r="P40" s="360">
        <v>600</v>
      </c>
      <c r="Q40" s="351">
        <v>2910.9212092832245</v>
      </c>
      <c r="R40" s="360">
        <v>450.00000000000006</v>
      </c>
      <c r="S40" s="351">
        <v>3099.72732034516</v>
      </c>
      <c r="T40" s="360">
        <v>400.00000000000011</v>
      </c>
      <c r="U40" s="351">
        <v>3162.6626906991382</v>
      </c>
    </row>
    <row r="41" spans="1:21" x14ac:dyDescent="0.3">
      <c r="A41" s="405"/>
      <c r="B41" s="406"/>
      <c r="C41" s="407"/>
      <c r="D41" s="435"/>
      <c r="E41" s="351"/>
      <c r="F41" s="394"/>
      <c r="G41" s="394"/>
      <c r="H41" s="394"/>
      <c r="I41" s="394"/>
      <c r="J41" s="395"/>
      <c r="K41" s="340" t="s">
        <v>39</v>
      </c>
      <c r="L41" s="360">
        <v>821.00000000000011</v>
      </c>
      <c r="M41" s="351">
        <v>1974.5428826925786</v>
      </c>
      <c r="N41" s="360">
        <v>903.1</v>
      </c>
      <c r="O41" s="351">
        <v>1853.1804461125569</v>
      </c>
      <c r="P41" s="360">
        <v>985.1999999999997</v>
      </c>
      <c r="Q41" s="351">
        <v>1731.8180095325347</v>
      </c>
      <c r="R41" s="360">
        <v>738.90000000000009</v>
      </c>
      <c r="S41" s="351">
        <v>2095.9053192726001</v>
      </c>
      <c r="T41" s="360">
        <v>656.8</v>
      </c>
      <c r="U41" s="351">
        <v>2217.2677558526225</v>
      </c>
    </row>
    <row r="42" spans="1:21" x14ac:dyDescent="0.3">
      <c r="A42" s="405"/>
      <c r="B42" s="406"/>
      <c r="C42" s="407"/>
      <c r="D42" s="435"/>
      <c r="E42" s="351"/>
      <c r="F42" s="394"/>
      <c r="G42" s="394"/>
      <c r="H42" s="394"/>
      <c r="I42" s="394"/>
      <c r="J42" s="395"/>
      <c r="K42" s="409" t="s">
        <v>132</v>
      </c>
      <c r="L42" s="410">
        <v>4048.0000000000005</v>
      </c>
      <c r="M42" s="410">
        <v>34700.504402944614</v>
      </c>
      <c r="N42" s="410">
        <v>4452.8000000000011</v>
      </c>
      <c r="O42" s="410">
        <v>34047.961984448717</v>
      </c>
      <c r="P42" s="410">
        <v>4857.5999999999995</v>
      </c>
      <c r="Q42" s="410">
        <v>33395.419565952812</v>
      </c>
      <c r="R42" s="410">
        <v>3643.2000000000007</v>
      </c>
      <c r="S42" s="410">
        <v>35353.046821440512</v>
      </c>
      <c r="T42" s="410">
        <v>3238.3999999999996</v>
      </c>
      <c r="U42" s="410">
        <v>36005.589239936409</v>
      </c>
    </row>
    <row r="43" spans="1:21" x14ac:dyDescent="0.3">
      <c r="A43" s="405"/>
      <c r="B43" s="406"/>
      <c r="C43" s="407"/>
      <c r="D43" s="435"/>
      <c r="E43" s="351"/>
      <c r="F43" s="394"/>
      <c r="G43" s="394"/>
      <c r="H43" s="394"/>
      <c r="I43" s="394"/>
      <c r="J43" s="395"/>
      <c r="K43" s="409" t="s">
        <v>133</v>
      </c>
      <c r="L43" s="410">
        <v>3455.0000000000005</v>
      </c>
      <c r="M43" s="410">
        <v>16160.4885608395</v>
      </c>
      <c r="N43" s="410">
        <v>3800.5000000000009</v>
      </c>
      <c r="O43" s="410">
        <v>15595.721623642239</v>
      </c>
      <c r="P43" s="410">
        <v>4146</v>
      </c>
      <c r="Q43" s="410">
        <v>15030.954686444977</v>
      </c>
      <c r="R43" s="410">
        <v>3109.5000000000005</v>
      </c>
      <c r="S43" s="410">
        <v>16725.255498036764</v>
      </c>
      <c r="T43" s="410">
        <v>2764</v>
      </c>
      <c r="U43" s="410">
        <v>17290.022435234026</v>
      </c>
    </row>
    <row r="44" spans="1:21" x14ac:dyDescent="0.3">
      <c r="A44" s="405"/>
      <c r="B44" s="415"/>
      <c r="C44" s="416"/>
      <c r="D44" s="436"/>
      <c r="E44" s="418"/>
      <c r="F44" s="394"/>
      <c r="G44" s="394"/>
      <c r="H44" s="394"/>
      <c r="I44" s="394"/>
      <c r="J44" s="395"/>
      <c r="K44" s="409" t="s">
        <v>134</v>
      </c>
      <c r="L44" s="410">
        <v>4048.0000000000005</v>
      </c>
      <c r="M44" s="410">
        <v>4449084.5659468174</v>
      </c>
      <c r="N44" s="410">
        <v>4452.8000000000011</v>
      </c>
      <c r="O44" s="410">
        <v>4788253.116210483</v>
      </c>
      <c r="P44" s="410">
        <v>4857.5999999999995</v>
      </c>
      <c r="Q44" s="410">
        <v>5127421.6664741458</v>
      </c>
      <c r="R44" s="410">
        <v>3643.2000000000007</v>
      </c>
      <c r="S44" s="410">
        <v>4109916.0156831527</v>
      </c>
      <c r="T44" s="410">
        <v>3238.3999999999996</v>
      </c>
      <c r="U44" s="410">
        <v>3770747.4654194848</v>
      </c>
    </row>
    <row r="45" spans="1:21" x14ac:dyDescent="0.3">
      <c r="A45" s="419"/>
      <c r="B45" s="420"/>
      <c r="C45" s="420"/>
      <c r="D45" s="420" t="s">
        <v>135</v>
      </c>
      <c r="E45" s="421">
        <v>0</v>
      </c>
      <c r="F45" s="422"/>
      <c r="G45" s="422"/>
      <c r="H45" s="422"/>
      <c r="I45" s="422"/>
      <c r="J45" s="423"/>
      <c r="K45" s="409" t="s">
        <v>136</v>
      </c>
      <c r="L45" s="410">
        <v>3455.0000000000005</v>
      </c>
      <c r="M45" s="410">
        <v>3350045.377762516</v>
      </c>
      <c r="N45" s="410">
        <v>3800.5000000000009</v>
      </c>
      <c r="O45" s="410">
        <v>3635979.7919241325</v>
      </c>
      <c r="P45" s="410">
        <v>4146</v>
      </c>
      <c r="Q45" s="410">
        <v>3921914.206085748</v>
      </c>
      <c r="R45" s="410">
        <v>3109.5000000000005</v>
      </c>
      <c r="S45" s="410">
        <v>3064110.9636009</v>
      </c>
      <c r="T45" s="410">
        <v>2764</v>
      </c>
      <c r="U45" s="410">
        <v>2778176.5494392826</v>
      </c>
    </row>
    <row r="47" spans="1:21" x14ac:dyDescent="0.3">
      <c r="J47" s="437">
        <v>30</v>
      </c>
      <c r="K47" s="324">
        <v>31</v>
      </c>
      <c r="L47" s="324">
        <v>31</v>
      </c>
      <c r="M47" s="324">
        <v>28</v>
      </c>
      <c r="N47" s="324">
        <v>31</v>
      </c>
    </row>
    <row r="48" spans="1:21" x14ac:dyDescent="0.3">
      <c r="J48" s="437" t="s">
        <v>31</v>
      </c>
      <c r="K48" s="324" t="s">
        <v>32</v>
      </c>
      <c r="L48" s="324" t="s">
        <v>33</v>
      </c>
      <c r="M48" s="324" t="s">
        <v>34</v>
      </c>
      <c r="N48" s="324" t="s">
        <v>35</v>
      </c>
    </row>
    <row r="49" spans="10:15" x14ac:dyDescent="0.3">
      <c r="J49" s="453">
        <f>+M22+M40</f>
        <v>438983.4928176211</v>
      </c>
      <c r="K49" s="454">
        <f>+M23+M41</f>
        <v>758279.47414179565</v>
      </c>
      <c r="L49" s="454">
        <f>+M12+M30</f>
        <v>908875.94346475764</v>
      </c>
      <c r="M49" s="454">
        <f>+M13+M31</f>
        <v>722219.92381979048</v>
      </c>
      <c r="N49" s="454">
        <f>+M14+M32</f>
        <v>521686.54351855081</v>
      </c>
      <c r="O49" s="454">
        <f>SUM(J49:N49)</f>
        <v>3350045.377762516</v>
      </c>
    </row>
    <row r="50" spans="10:15" x14ac:dyDescent="0.3">
      <c r="J50" s="455">
        <f>ROUND(J49/J47,0)</f>
        <v>14633</v>
      </c>
      <c r="K50" s="455">
        <f t="shared" ref="K50:N50" si="0">ROUND(K49/K47,0)</f>
        <v>24461</v>
      </c>
      <c r="L50" s="455">
        <f t="shared" si="0"/>
        <v>29319</v>
      </c>
      <c r="M50" s="455">
        <f t="shared" si="0"/>
        <v>25794</v>
      </c>
      <c r="N50" s="455">
        <f t="shared" si="0"/>
        <v>16829</v>
      </c>
    </row>
  </sheetData>
  <mergeCells count="27">
    <mergeCell ref="A1:J1"/>
    <mergeCell ref="K1:U1"/>
    <mergeCell ref="A2:J2"/>
    <mergeCell ref="K2:U2"/>
    <mergeCell ref="D3:F3"/>
    <mergeCell ref="N3:Q3"/>
    <mergeCell ref="F4:J4"/>
    <mergeCell ref="B5:C5"/>
    <mergeCell ref="L5:M5"/>
    <mergeCell ref="P5:U7"/>
    <mergeCell ref="B6:C6"/>
    <mergeCell ref="L6:M6"/>
    <mergeCell ref="B7:C7"/>
    <mergeCell ref="L7:M7"/>
    <mergeCell ref="B34:D34"/>
    <mergeCell ref="F34:J34"/>
    <mergeCell ref="B8:C8"/>
    <mergeCell ref="B9:C9"/>
    <mergeCell ref="K9:U9"/>
    <mergeCell ref="B10:C10"/>
    <mergeCell ref="A11:C16"/>
    <mergeCell ref="F14:J16"/>
    <mergeCell ref="A18:J18"/>
    <mergeCell ref="B19:D19"/>
    <mergeCell ref="F19:J19"/>
    <mergeCell ref="K27:U27"/>
    <mergeCell ref="A33:J33"/>
  </mergeCells>
  <conditionalFormatting sqref="J9">
    <cfRule type="cellIs" dxfId="27" priority="4" stopIfTrue="1" operator="greaterThanOrEqual">
      <formula>#REF!</formula>
    </cfRule>
  </conditionalFormatting>
  <conditionalFormatting sqref="J10">
    <cfRule type="cellIs" dxfId="26" priority="3" stopIfTrue="1" operator="greaterThanOrEqual">
      <formula>#REF!</formula>
    </cfRule>
  </conditionalFormatting>
  <conditionalFormatting sqref="H9">
    <cfRule type="cellIs" dxfId="25" priority="2" stopIfTrue="1" operator="greaterThanOrEqual">
      <formula>#REF!</formula>
    </cfRule>
  </conditionalFormatting>
  <conditionalFormatting sqref="F4:J4">
    <cfRule type="containsText" dxfId="24" priority="1" stopIfTrue="1" operator="containsText" text="PEAK DAY">
      <formula>NOT(ISERROR(SEARCH("PEAK DAY",F4)))</formula>
    </cfRule>
  </conditionalFormatting>
  <pageMargins left="0.7" right="0.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zoomScale="70" zoomScaleNormal="70" workbookViewId="0">
      <selection activeCell="J50" sqref="J50"/>
    </sheetView>
  </sheetViews>
  <sheetFormatPr defaultRowHeight="14.4" x14ac:dyDescent="0.3"/>
  <cols>
    <col min="1" max="1" width="26.6640625" style="437" customWidth="1"/>
    <col min="2" max="3" width="18.6640625" style="437" customWidth="1"/>
    <col min="4" max="4" width="27.6640625" style="437" customWidth="1"/>
    <col min="5" max="5" width="15.6640625" style="437" customWidth="1"/>
    <col min="6" max="7" width="12.6640625" style="437" customWidth="1"/>
    <col min="8" max="8" width="17.6640625" style="437" customWidth="1"/>
    <col min="9" max="10" width="15.6640625" style="437" customWidth="1"/>
    <col min="11" max="13" width="18.6640625" style="324" customWidth="1"/>
    <col min="14" max="21" width="15.88671875" style="324" customWidth="1"/>
    <col min="22" max="256" width="9.109375" style="324"/>
    <col min="257" max="257" width="26.6640625" style="324" customWidth="1"/>
    <col min="258" max="259" width="18.6640625" style="324" customWidth="1"/>
    <col min="260" max="260" width="27.6640625" style="324" customWidth="1"/>
    <col min="261" max="261" width="15.6640625" style="324" customWidth="1"/>
    <col min="262" max="263" width="12.6640625" style="324" customWidth="1"/>
    <col min="264" max="264" width="17.6640625" style="324" customWidth="1"/>
    <col min="265" max="266" width="15.6640625" style="324" customWidth="1"/>
    <col min="267" max="269" width="18.6640625" style="324" customWidth="1"/>
    <col min="270" max="277" width="15.88671875" style="324" customWidth="1"/>
    <col min="278" max="512" width="9.109375" style="324"/>
    <col min="513" max="513" width="26.6640625" style="324" customWidth="1"/>
    <col min="514" max="515" width="18.6640625" style="324" customWidth="1"/>
    <col min="516" max="516" width="27.6640625" style="324" customWidth="1"/>
    <col min="517" max="517" width="15.6640625" style="324" customWidth="1"/>
    <col min="518" max="519" width="12.6640625" style="324" customWidth="1"/>
    <col min="520" max="520" width="17.6640625" style="324" customWidth="1"/>
    <col min="521" max="522" width="15.6640625" style="324" customWidth="1"/>
    <col min="523" max="525" width="18.6640625" style="324" customWidth="1"/>
    <col min="526" max="533" width="15.88671875" style="324" customWidth="1"/>
    <col min="534" max="768" width="9.109375" style="324"/>
    <col min="769" max="769" width="26.6640625" style="324" customWidth="1"/>
    <col min="770" max="771" width="18.6640625" style="324" customWidth="1"/>
    <col min="772" max="772" width="27.6640625" style="324" customWidth="1"/>
    <col min="773" max="773" width="15.6640625" style="324" customWidth="1"/>
    <col min="774" max="775" width="12.6640625" style="324" customWidth="1"/>
    <col min="776" max="776" width="17.6640625" style="324" customWidth="1"/>
    <col min="777" max="778" width="15.6640625" style="324" customWidth="1"/>
    <col min="779" max="781" width="18.6640625" style="324" customWidth="1"/>
    <col min="782" max="789" width="15.88671875" style="324" customWidth="1"/>
    <col min="790" max="1024" width="9.109375" style="324"/>
    <col min="1025" max="1025" width="26.6640625" style="324" customWidth="1"/>
    <col min="1026" max="1027" width="18.6640625" style="324" customWidth="1"/>
    <col min="1028" max="1028" width="27.6640625" style="324" customWidth="1"/>
    <col min="1029" max="1029" width="15.6640625" style="324" customWidth="1"/>
    <col min="1030" max="1031" width="12.6640625" style="324" customWidth="1"/>
    <col min="1032" max="1032" width="17.6640625" style="324" customWidth="1"/>
    <col min="1033" max="1034" width="15.6640625" style="324" customWidth="1"/>
    <col min="1035" max="1037" width="18.6640625" style="324" customWidth="1"/>
    <col min="1038" max="1045" width="15.88671875" style="324" customWidth="1"/>
    <col min="1046" max="1280" width="9.109375" style="324"/>
    <col min="1281" max="1281" width="26.6640625" style="324" customWidth="1"/>
    <col min="1282" max="1283" width="18.6640625" style="324" customWidth="1"/>
    <col min="1284" max="1284" width="27.6640625" style="324" customWidth="1"/>
    <col min="1285" max="1285" width="15.6640625" style="324" customWidth="1"/>
    <col min="1286" max="1287" width="12.6640625" style="324" customWidth="1"/>
    <col min="1288" max="1288" width="17.6640625" style="324" customWidth="1"/>
    <col min="1289" max="1290" width="15.6640625" style="324" customWidth="1"/>
    <col min="1291" max="1293" width="18.6640625" style="324" customWidth="1"/>
    <col min="1294" max="1301" width="15.88671875" style="324" customWidth="1"/>
    <col min="1302" max="1536" width="9.109375" style="324"/>
    <col min="1537" max="1537" width="26.6640625" style="324" customWidth="1"/>
    <col min="1538" max="1539" width="18.6640625" style="324" customWidth="1"/>
    <col min="1540" max="1540" width="27.6640625" style="324" customWidth="1"/>
    <col min="1541" max="1541" width="15.6640625" style="324" customWidth="1"/>
    <col min="1542" max="1543" width="12.6640625" style="324" customWidth="1"/>
    <col min="1544" max="1544" width="17.6640625" style="324" customWidth="1"/>
    <col min="1545" max="1546" width="15.6640625" style="324" customWidth="1"/>
    <col min="1547" max="1549" width="18.6640625" style="324" customWidth="1"/>
    <col min="1550" max="1557" width="15.88671875" style="324" customWidth="1"/>
    <col min="1558" max="1792" width="9.109375" style="324"/>
    <col min="1793" max="1793" width="26.6640625" style="324" customWidth="1"/>
    <col min="1794" max="1795" width="18.6640625" style="324" customWidth="1"/>
    <col min="1796" max="1796" width="27.6640625" style="324" customWidth="1"/>
    <col min="1797" max="1797" width="15.6640625" style="324" customWidth="1"/>
    <col min="1798" max="1799" width="12.6640625" style="324" customWidth="1"/>
    <col min="1800" max="1800" width="17.6640625" style="324" customWidth="1"/>
    <col min="1801" max="1802" width="15.6640625" style="324" customWidth="1"/>
    <col min="1803" max="1805" width="18.6640625" style="324" customWidth="1"/>
    <col min="1806" max="1813" width="15.88671875" style="324" customWidth="1"/>
    <col min="1814" max="2048" width="9.109375" style="324"/>
    <col min="2049" max="2049" width="26.6640625" style="324" customWidth="1"/>
    <col min="2050" max="2051" width="18.6640625" style="324" customWidth="1"/>
    <col min="2052" max="2052" width="27.6640625" style="324" customWidth="1"/>
    <col min="2053" max="2053" width="15.6640625" style="324" customWidth="1"/>
    <col min="2054" max="2055" width="12.6640625" style="324" customWidth="1"/>
    <col min="2056" max="2056" width="17.6640625" style="324" customWidth="1"/>
    <col min="2057" max="2058" width="15.6640625" style="324" customWidth="1"/>
    <col min="2059" max="2061" width="18.6640625" style="324" customWidth="1"/>
    <col min="2062" max="2069" width="15.88671875" style="324" customWidth="1"/>
    <col min="2070" max="2304" width="9.109375" style="324"/>
    <col min="2305" max="2305" width="26.6640625" style="324" customWidth="1"/>
    <col min="2306" max="2307" width="18.6640625" style="324" customWidth="1"/>
    <col min="2308" max="2308" width="27.6640625" style="324" customWidth="1"/>
    <col min="2309" max="2309" width="15.6640625" style="324" customWidth="1"/>
    <col min="2310" max="2311" width="12.6640625" style="324" customWidth="1"/>
    <col min="2312" max="2312" width="17.6640625" style="324" customWidth="1"/>
    <col min="2313" max="2314" width="15.6640625" style="324" customWidth="1"/>
    <col min="2315" max="2317" width="18.6640625" style="324" customWidth="1"/>
    <col min="2318" max="2325" width="15.88671875" style="324" customWidth="1"/>
    <col min="2326" max="2560" width="9.109375" style="324"/>
    <col min="2561" max="2561" width="26.6640625" style="324" customWidth="1"/>
    <col min="2562" max="2563" width="18.6640625" style="324" customWidth="1"/>
    <col min="2564" max="2564" width="27.6640625" style="324" customWidth="1"/>
    <col min="2565" max="2565" width="15.6640625" style="324" customWidth="1"/>
    <col min="2566" max="2567" width="12.6640625" style="324" customWidth="1"/>
    <col min="2568" max="2568" width="17.6640625" style="324" customWidth="1"/>
    <col min="2569" max="2570" width="15.6640625" style="324" customWidth="1"/>
    <col min="2571" max="2573" width="18.6640625" style="324" customWidth="1"/>
    <col min="2574" max="2581" width="15.88671875" style="324" customWidth="1"/>
    <col min="2582" max="2816" width="9.109375" style="324"/>
    <col min="2817" max="2817" width="26.6640625" style="324" customWidth="1"/>
    <col min="2818" max="2819" width="18.6640625" style="324" customWidth="1"/>
    <col min="2820" max="2820" width="27.6640625" style="324" customWidth="1"/>
    <col min="2821" max="2821" width="15.6640625" style="324" customWidth="1"/>
    <col min="2822" max="2823" width="12.6640625" style="324" customWidth="1"/>
    <col min="2824" max="2824" width="17.6640625" style="324" customWidth="1"/>
    <col min="2825" max="2826" width="15.6640625" style="324" customWidth="1"/>
    <col min="2827" max="2829" width="18.6640625" style="324" customWidth="1"/>
    <col min="2830" max="2837" width="15.88671875" style="324" customWidth="1"/>
    <col min="2838" max="3072" width="9.109375" style="324"/>
    <col min="3073" max="3073" width="26.6640625" style="324" customWidth="1"/>
    <col min="3074" max="3075" width="18.6640625" style="324" customWidth="1"/>
    <col min="3076" max="3076" width="27.6640625" style="324" customWidth="1"/>
    <col min="3077" max="3077" width="15.6640625" style="324" customWidth="1"/>
    <col min="3078" max="3079" width="12.6640625" style="324" customWidth="1"/>
    <col min="3080" max="3080" width="17.6640625" style="324" customWidth="1"/>
    <col min="3081" max="3082" width="15.6640625" style="324" customWidth="1"/>
    <col min="3083" max="3085" width="18.6640625" style="324" customWidth="1"/>
    <col min="3086" max="3093" width="15.88671875" style="324" customWidth="1"/>
    <col min="3094" max="3328" width="9.109375" style="324"/>
    <col min="3329" max="3329" width="26.6640625" style="324" customWidth="1"/>
    <col min="3330" max="3331" width="18.6640625" style="324" customWidth="1"/>
    <col min="3332" max="3332" width="27.6640625" style="324" customWidth="1"/>
    <col min="3333" max="3333" width="15.6640625" style="324" customWidth="1"/>
    <col min="3334" max="3335" width="12.6640625" style="324" customWidth="1"/>
    <col min="3336" max="3336" width="17.6640625" style="324" customWidth="1"/>
    <col min="3337" max="3338" width="15.6640625" style="324" customWidth="1"/>
    <col min="3339" max="3341" width="18.6640625" style="324" customWidth="1"/>
    <col min="3342" max="3349" width="15.88671875" style="324" customWidth="1"/>
    <col min="3350" max="3584" width="9.109375" style="324"/>
    <col min="3585" max="3585" width="26.6640625" style="324" customWidth="1"/>
    <col min="3586" max="3587" width="18.6640625" style="324" customWidth="1"/>
    <col min="3588" max="3588" width="27.6640625" style="324" customWidth="1"/>
    <col min="3589" max="3589" width="15.6640625" style="324" customWidth="1"/>
    <col min="3590" max="3591" width="12.6640625" style="324" customWidth="1"/>
    <col min="3592" max="3592" width="17.6640625" style="324" customWidth="1"/>
    <col min="3593" max="3594" width="15.6640625" style="324" customWidth="1"/>
    <col min="3595" max="3597" width="18.6640625" style="324" customWidth="1"/>
    <col min="3598" max="3605" width="15.88671875" style="324" customWidth="1"/>
    <col min="3606" max="3840" width="9.109375" style="324"/>
    <col min="3841" max="3841" width="26.6640625" style="324" customWidth="1"/>
    <col min="3842" max="3843" width="18.6640625" style="324" customWidth="1"/>
    <col min="3844" max="3844" width="27.6640625" style="324" customWidth="1"/>
    <col min="3845" max="3845" width="15.6640625" style="324" customWidth="1"/>
    <col min="3846" max="3847" width="12.6640625" style="324" customWidth="1"/>
    <col min="3848" max="3848" width="17.6640625" style="324" customWidth="1"/>
    <col min="3849" max="3850" width="15.6640625" style="324" customWidth="1"/>
    <col min="3851" max="3853" width="18.6640625" style="324" customWidth="1"/>
    <col min="3854" max="3861" width="15.88671875" style="324" customWidth="1"/>
    <col min="3862" max="4096" width="9.109375" style="324"/>
    <col min="4097" max="4097" width="26.6640625" style="324" customWidth="1"/>
    <col min="4098" max="4099" width="18.6640625" style="324" customWidth="1"/>
    <col min="4100" max="4100" width="27.6640625" style="324" customWidth="1"/>
    <col min="4101" max="4101" width="15.6640625" style="324" customWidth="1"/>
    <col min="4102" max="4103" width="12.6640625" style="324" customWidth="1"/>
    <col min="4104" max="4104" width="17.6640625" style="324" customWidth="1"/>
    <col min="4105" max="4106" width="15.6640625" style="324" customWidth="1"/>
    <col min="4107" max="4109" width="18.6640625" style="324" customWidth="1"/>
    <col min="4110" max="4117" width="15.88671875" style="324" customWidth="1"/>
    <col min="4118" max="4352" width="9.109375" style="324"/>
    <col min="4353" max="4353" width="26.6640625" style="324" customWidth="1"/>
    <col min="4354" max="4355" width="18.6640625" style="324" customWidth="1"/>
    <col min="4356" max="4356" width="27.6640625" style="324" customWidth="1"/>
    <col min="4357" max="4357" width="15.6640625" style="324" customWidth="1"/>
    <col min="4358" max="4359" width="12.6640625" style="324" customWidth="1"/>
    <col min="4360" max="4360" width="17.6640625" style="324" customWidth="1"/>
    <col min="4361" max="4362" width="15.6640625" style="324" customWidth="1"/>
    <col min="4363" max="4365" width="18.6640625" style="324" customWidth="1"/>
    <col min="4366" max="4373" width="15.88671875" style="324" customWidth="1"/>
    <col min="4374" max="4608" width="9.109375" style="324"/>
    <col min="4609" max="4609" width="26.6640625" style="324" customWidth="1"/>
    <col min="4610" max="4611" width="18.6640625" style="324" customWidth="1"/>
    <col min="4612" max="4612" width="27.6640625" style="324" customWidth="1"/>
    <col min="4613" max="4613" width="15.6640625" style="324" customWidth="1"/>
    <col min="4614" max="4615" width="12.6640625" style="324" customWidth="1"/>
    <col min="4616" max="4616" width="17.6640625" style="324" customWidth="1"/>
    <col min="4617" max="4618" width="15.6640625" style="324" customWidth="1"/>
    <col min="4619" max="4621" width="18.6640625" style="324" customWidth="1"/>
    <col min="4622" max="4629" width="15.88671875" style="324" customWidth="1"/>
    <col min="4630" max="4864" width="9.109375" style="324"/>
    <col min="4865" max="4865" width="26.6640625" style="324" customWidth="1"/>
    <col min="4866" max="4867" width="18.6640625" style="324" customWidth="1"/>
    <col min="4868" max="4868" width="27.6640625" style="324" customWidth="1"/>
    <col min="4869" max="4869" width="15.6640625" style="324" customWidth="1"/>
    <col min="4870" max="4871" width="12.6640625" style="324" customWidth="1"/>
    <col min="4872" max="4872" width="17.6640625" style="324" customWidth="1"/>
    <col min="4873" max="4874" width="15.6640625" style="324" customWidth="1"/>
    <col min="4875" max="4877" width="18.6640625" style="324" customWidth="1"/>
    <col min="4878" max="4885" width="15.88671875" style="324" customWidth="1"/>
    <col min="4886" max="5120" width="9.109375" style="324"/>
    <col min="5121" max="5121" width="26.6640625" style="324" customWidth="1"/>
    <col min="5122" max="5123" width="18.6640625" style="324" customWidth="1"/>
    <col min="5124" max="5124" width="27.6640625" style="324" customWidth="1"/>
    <col min="5125" max="5125" width="15.6640625" style="324" customWidth="1"/>
    <col min="5126" max="5127" width="12.6640625" style="324" customWidth="1"/>
    <col min="5128" max="5128" width="17.6640625" style="324" customWidth="1"/>
    <col min="5129" max="5130" width="15.6640625" style="324" customWidth="1"/>
    <col min="5131" max="5133" width="18.6640625" style="324" customWidth="1"/>
    <col min="5134" max="5141" width="15.88671875" style="324" customWidth="1"/>
    <col min="5142" max="5376" width="9.109375" style="324"/>
    <col min="5377" max="5377" width="26.6640625" style="324" customWidth="1"/>
    <col min="5378" max="5379" width="18.6640625" style="324" customWidth="1"/>
    <col min="5380" max="5380" width="27.6640625" style="324" customWidth="1"/>
    <col min="5381" max="5381" width="15.6640625" style="324" customWidth="1"/>
    <col min="5382" max="5383" width="12.6640625" style="324" customWidth="1"/>
    <col min="5384" max="5384" width="17.6640625" style="324" customWidth="1"/>
    <col min="5385" max="5386" width="15.6640625" style="324" customWidth="1"/>
    <col min="5387" max="5389" width="18.6640625" style="324" customWidth="1"/>
    <col min="5390" max="5397" width="15.88671875" style="324" customWidth="1"/>
    <col min="5398" max="5632" width="9.109375" style="324"/>
    <col min="5633" max="5633" width="26.6640625" style="324" customWidth="1"/>
    <col min="5634" max="5635" width="18.6640625" style="324" customWidth="1"/>
    <col min="5636" max="5636" width="27.6640625" style="324" customWidth="1"/>
    <col min="5637" max="5637" width="15.6640625" style="324" customWidth="1"/>
    <col min="5638" max="5639" width="12.6640625" style="324" customWidth="1"/>
    <col min="5640" max="5640" width="17.6640625" style="324" customWidth="1"/>
    <col min="5641" max="5642" width="15.6640625" style="324" customWidth="1"/>
    <col min="5643" max="5645" width="18.6640625" style="324" customWidth="1"/>
    <col min="5646" max="5653" width="15.88671875" style="324" customWidth="1"/>
    <col min="5654" max="5888" width="9.109375" style="324"/>
    <col min="5889" max="5889" width="26.6640625" style="324" customWidth="1"/>
    <col min="5890" max="5891" width="18.6640625" style="324" customWidth="1"/>
    <col min="5892" max="5892" width="27.6640625" style="324" customWidth="1"/>
    <col min="5893" max="5893" width="15.6640625" style="324" customWidth="1"/>
    <col min="5894" max="5895" width="12.6640625" style="324" customWidth="1"/>
    <col min="5896" max="5896" width="17.6640625" style="324" customWidth="1"/>
    <col min="5897" max="5898" width="15.6640625" style="324" customWidth="1"/>
    <col min="5899" max="5901" width="18.6640625" style="324" customWidth="1"/>
    <col min="5902" max="5909" width="15.88671875" style="324" customWidth="1"/>
    <col min="5910" max="6144" width="9.109375" style="324"/>
    <col min="6145" max="6145" width="26.6640625" style="324" customWidth="1"/>
    <col min="6146" max="6147" width="18.6640625" style="324" customWidth="1"/>
    <col min="6148" max="6148" width="27.6640625" style="324" customWidth="1"/>
    <col min="6149" max="6149" width="15.6640625" style="324" customWidth="1"/>
    <col min="6150" max="6151" width="12.6640625" style="324" customWidth="1"/>
    <col min="6152" max="6152" width="17.6640625" style="324" customWidth="1"/>
    <col min="6153" max="6154" width="15.6640625" style="324" customWidth="1"/>
    <col min="6155" max="6157" width="18.6640625" style="324" customWidth="1"/>
    <col min="6158" max="6165" width="15.88671875" style="324" customWidth="1"/>
    <col min="6166" max="6400" width="9.109375" style="324"/>
    <col min="6401" max="6401" width="26.6640625" style="324" customWidth="1"/>
    <col min="6402" max="6403" width="18.6640625" style="324" customWidth="1"/>
    <col min="6404" max="6404" width="27.6640625" style="324" customWidth="1"/>
    <col min="6405" max="6405" width="15.6640625" style="324" customWidth="1"/>
    <col min="6406" max="6407" width="12.6640625" style="324" customWidth="1"/>
    <col min="6408" max="6408" width="17.6640625" style="324" customWidth="1"/>
    <col min="6409" max="6410" width="15.6640625" style="324" customWidth="1"/>
    <col min="6411" max="6413" width="18.6640625" style="324" customWidth="1"/>
    <col min="6414" max="6421" width="15.88671875" style="324" customWidth="1"/>
    <col min="6422" max="6656" width="9.109375" style="324"/>
    <col min="6657" max="6657" width="26.6640625" style="324" customWidth="1"/>
    <col min="6658" max="6659" width="18.6640625" style="324" customWidth="1"/>
    <col min="6660" max="6660" width="27.6640625" style="324" customWidth="1"/>
    <col min="6661" max="6661" width="15.6640625" style="324" customWidth="1"/>
    <col min="6662" max="6663" width="12.6640625" style="324" customWidth="1"/>
    <col min="6664" max="6664" width="17.6640625" style="324" customWidth="1"/>
    <col min="6665" max="6666" width="15.6640625" style="324" customWidth="1"/>
    <col min="6667" max="6669" width="18.6640625" style="324" customWidth="1"/>
    <col min="6670" max="6677" width="15.88671875" style="324" customWidth="1"/>
    <col min="6678" max="6912" width="9.109375" style="324"/>
    <col min="6913" max="6913" width="26.6640625" style="324" customWidth="1"/>
    <col min="6914" max="6915" width="18.6640625" style="324" customWidth="1"/>
    <col min="6916" max="6916" width="27.6640625" style="324" customWidth="1"/>
    <col min="6917" max="6917" width="15.6640625" style="324" customWidth="1"/>
    <col min="6918" max="6919" width="12.6640625" style="324" customWidth="1"/>
    <col min="6920" max="6920" width="17.6640625" style="324" customWidth="1"/>
    <col min="6921" max="6922" width="15.6640625" style="324" customWidth="1"/>
    <col min="6923" max="6925" width="18.6640625" style="324" customWidth="1"/>
    <col min="6926" max="6933" width="15.88671875" style="324" customWidth="1"/>
    <col min="6934" max="7168" width="9.109375" style="324"/>
    <col min="7169" max="7169" width="26.6640625" style="324" customWidth="1"/>
    <col min="7170" max="7171" width="18.6640625" style="324" customWidth="1"/>
    <col min="7172" max="7172" width="27.6640625" style="324" customWidth="1"/>
    <col min="7173" max="7173" width="15.6640625" style="324" customWidth="1"/>
    <col min="7174" max="7175" width="12.6640625" style="324" customWidth="1"/>
    <col min="7176" max="7176" width="17.6640625" style="324" customWidth="1"/>
    <col min="7177" max="7178" width="15.6640625" style="324" customWidth="1"/>
    <col min="7179" max="7181" width="18.6640625" style="324" customWidth="1"/>
    <col min="7182" max="7189" width="15.88671875" style="324" customWidth="1"/>
    <col min="7190" max="7424" width="9.109375" style="324"/>
    <col min="7425" max="7425" width="26.6640625" style="324" customWidth="1"/>
    <col min="7426" max="7427" width="18.6640625" style="324" customWidth="1"/>
    <col min="7428" max="7428" width="27.6640625" style="324" customWidth="1"/>
    <col min="7429" max="7429" width="15.6640625" style="324" customWidth="1"/>
    <col min="7430" max="7431" width="12.6640625" style="324" customWidth="1"/>
    <col min="7432" max="7432" width="17.6640625" style="324" customWidth="1"/>
    <col min="7433" max="7434" width="15.6640625" style="324" customWidth="1"/>
    <col min="7435" max="7437" width="18.6640625" style="324" customWidth="1"/>
    <col min="7438" max="7445" width="15.88671875" style="324" customWidth="1"/>
    <col min="7446" max="7680" width="9.109375" style="324"/>
    <col min="7681" max="7681" width="26.6640625" style="324" customWidth="1"/>
    <col min="7682" max="7683" width="18.6640625" style="324" customWidth="1"/>
    <col min="7684" max="7684" width="27.6640625" style="324" customWidth="1"/>
    <col min="7685" max="7685" width="15.6640625" style="324" customWidth="1"/>
    <col min="7686" max="7687" width="12.6640625" style="324" customWidth="1"/>
    <col min="7688" max="7688" width="17.6640625" style="324" customWidth="1"/>
    <col min="7689" max="7690" width="15.6640625" style="324" customWidth="1"/>
    <col min="7691" max="7693" width="18.6640625" style="324" customWidth="1"/>
    <col min="7694" max="7701" width="15.88671875" style="324" customWidth="1"/>
    <col min="7702" max="7936" width="9.109375" style="324"/>
    <col min="7937" max="7937" width="26.6640625" style="324" customWidth="1"/>
    <col min="7938" max="7939" width="18.6640625" style="324" customWidth="1"/>
    <col min="7940" max="7940" width="27.6640625" style="324" customWidth="1"/>
    <col min="7941" max="7941" width="15.6640625" style="324" customWidth="1"/>
    <col min="7942" max="7943" width="12.6640625" style="324" customWidth="1"/>
    <col min="7944" max="7944" width="17.6640625" style="324" customWidth="1"/>
    <col min="7945" max="7946" width="15.6640625" style="324" customWidth="1"/>
    <col min="7947" max="7949" width="18.6640625" style="324" customWidth="1"/>
    <col min="7950" max="7957" width="15.88671875" style="324" customWidth="1"/>
    <col min="7958" max="8192" width="9.109375" style="324"/>
    <col min="8193" max="8193" width="26.6640625" style="324" customWidth="1"/>
    <col min="8194" max="8195" width="18.6640625" style="324" customWidth="1"/>
    <col min="8196" max="8196" width="27.6640625" style="324" customWidth="1"/>
    <col min="8197" max="8197" width="15.6640625" style="324" customWidth="1"/>
    <col min="8198" max="8199" width="12.6640625" style="324" customWidth="1"/>
    <col min="8200" max="8200" width="17.6640625" style="324" customWidth="1"/>
    <col min="8201" max="8202" width="15.6640625" style="324" customWidth="1"/>
    <col min="8203" max="8205" width="18.6640625" style="324" customWidth="1"/>
    <col min="8206" max="8213" width="15.88671875" style="324" customWidth="1"/>
    <col min="8214" max="8448" width="9.109375" style="324"/>
    <col min="8449" max="8449" width="26.6640625" style="324" customWidth="1"/>
    <col min="8450" max="8451" width="18.6640625" style="324" customWidth="1"/>
    <col min="8452" max="8452" width="27.6640625" style="324" customWidth="1"/>
    <col min="8453" max="8453" width="15.6640625" style="324" customWidth="1"/>
    <col min="8454" max="8455" width="12.6640625" style="324" customWidth="1"/>
    <col min="8456" max="8456" width="17.6640625" style="324" customWidth="1"/>
    <col min="8457" max="8458" width="15.6640625" style="324" customWidth="1"/>
    <col min="8459" max="8461" width="18.6640625" style="324" customWidth="1"/>
    <col min="8462" max="8469" width="15.88671875" style="324" customWidth="1"/>
    <col min="8470" max="8704" width="9.109375" style="324"/>
    <col min="8705" max="8705" width="26.6640625" style="324" customWidth="1"/>
    <col min="8706" max="8707" width="18.6640625" style="324" customWidth="1"/>
    <col min="8708" max="8708" width="27.6640625" style="324" customWidth="1"/>
    <col min="8709" max="8709" width="15.6640625" style="324" customWidth="1"/>
    <col min="8710" max="8711" width="12.6640625" style="324" customWidth="1"/>
    <col min="8712" max="8712" width="17.6640625" style="324" customWidth="1"/>
    <col min="8713" max="8714" width="15.6640625" style="324" customWidth="1"/>
    <col min="8715" max="8717" width="18.6640625" style="324" customWidth="1"/>
    <col min="8718" max="8725" width="15.88671875" style="324" customWidth="1"/>
    <col min="8726" max="8960" width="9.109375" style="324"/>
    <col min="8961" max="8961" width="26.6640625" style="324" customWidth="1"/>
    <col min="8962" max="8963" width="18.6640625" style="324" customWidth="1"/>
    <col min="8964" max="8964" width="27.6640625" style="324" customWidth="1"/>
    <col min="8965" max="8965" width="15.6640625" style="324" customWidth="1"/>
    <col min="8966" max="8967" width="12.6640625" style="324" customWidth="1"/>
    <col min="8968" max="8968" width="17.6640625" style="324" customWidth="1"/>
    <col min="8969" max="8970" width="15.6640625" style="324" customWidth="1"/>
    <col min="8971" max="8973" width="18.6640625" style="324" customWidth="1"/>
    <col min="8974" max="8981" width="15.88671875" style="324" customWidth="1"/>
    <col min="8982" max="9216" width="9.109375" style="324"/>
    <col min="9217" max="9217" width="26.6640625" style="324" customWidth="1"/>
    <col min="9218" max="9219" width="18.6640625" style="324" customWidth="1"/>
    <col min="9220" max="9220" width="27.6640625" style="324" customWidth="1"/>
    <col min="9221" max="9221" width="15.6640625" style="324" customWidth="1"/>
    <col min="9222" max="9223" width="12.6640625" style="324" customWidth="1"/>
    <col min="9224" max="9224" width="17.6640625" style="324" customWidth="1"/>
    <col min="9225" max="9226" width="15.6640625" style="324" customWidth="1"/>
    <col min="9227" max="9229" width="18.6640625" style="324" customWidth="1"/>
    <col min="9230" max="9237" width="15.88671875" style="324" customWidth="1"/>
    <col min="9238" max="9472" width="9.109375" style="324"/>
    <col min="9473" max="9473" width="26.6640625" style="324" customWidth="1"/>
    <col min="9474" max="9475" width="18.6640625" style="324" customWidth="1"/>
    <col min="9476" max="9476" width="27.6640625" style="324" customWidth="1"/>
    <col min="9477" max="9477" width="15.6640625" style="324" customWidth="1"/>
    <col min="9478" max="9479" width="12.6640625" style="324" customWidth="1"/>
    <col min="9480" max="9480" width="17.6640625" style="324" customWidth="1"/>
    <col min="9481" max="9482" width="15.6640625" style="324" customWidth="1"/>
    <col min="9483" max="9485" width="18.6640625" style="324" customWidth="1"/>
    <col min="9486" max="9493" width="15.88671875" style="324" customWidth="1"/>
    <col min="9494" max="9728" width="9.109375" style="324"/>
    <col min="9729" max="9729" width="26.6640625" style="324" customWidth="1"/>
    <col min="9730" max="9731" width="18.6640625" style="324" customWidth="1"/>
    <col min="9732" max="9732" width="27.6640625" style="324" customWidth="1"/>
    <col min="9733" max="9733" width="15.6640625" style="324" customWidth="1"/>
    <col min="9734" max="9735" width="12.6640625" style="324" customWidth="1"/>
    <col min="9736" max="9736" width="17.6640625" style="324" customWidth="1"/>
    <col min="9737" max="9738" width="15.6640625" style="324" customWidth="1"/>
    <col min="9739" max="9741" width="18.6640625" style="324" customWidth="1"/>
    <col min="9742" max="9749" width="15.88671875" style="324" customWidth="1"/>
    <col min="9750" max="9984" width="9.109375" style="324"/>
    <col min="9985" max="9985" width="26.6640625" style="324" customWidth="1"/>
    <col min="9986" max="9987" width="18.6640625" style="324" customWidth="1"/>
    <col min="9988" max="9988" width="27.6640625" style="324" customWidth="1"/>
    <col min="9989" max="9989" width="15.6640625" style="324" customWidth="1"/>
    <col min="9990" max="9991" width="12.6640625" style="324" customWidth="1"/>
    <col min="9992" max="9992" width="17.6640625" style="324" customWidth="1"/>
    <col min="9993" max="9994" width="15.6640625" style="324" customWidth="1"/>
    <col min="9995" max="9997" width="18.6640625" style="324" customWidth="1"/>
    <col min="9998" max="10005" width="15.88671875" style="324" customWidth="1"/>
    <col min="10006" max="10240" width="9.109375" style="324"/>
    <col min="10241" max="10241" width="26.6640625" style="324" customWidth="1"/>
    <col min="10242" max="10243" width="18.6640625" style="324" customWidth="1"/>
    <col min="10244" max="10244" width="27.6640625" style="324" customWidth="1"/>
    <col min="10245" max="10245" width="15.6640625" style="324" customWidth="1"/>
    <col min="10246" max="10247" width="12.6640625" style="324" customWidth="1"/>
    <col min="10248" max="10248" width="17.6640625" style="324" customWidth="1"/>
    <col min="10249" max="10250" width="15.6640625" style="324" customWidth="1"/>
    <col min="10251" max="10253" width="18.6640625" style="324" customWidth="1"/>
    <col min="10254" max="10261" width="15.88671875" style="324" customWidth="1"/>
    <col min="10262" max="10496" width="9.109375" style="324"/>
    <col min="10497" max="10497" width="26.6640625" style="324" customWidth="1"/>
    <col min="10498" max="10499" width="18.6640625" style="324" customWidth="1"/>
    <col min="10500" max="10500" width="27.6640625" style="324" customWidth="1"/>
    <col min="10501" max="10501" width="15.6640625" style="324" customWidth="1"/>
    <col min="10502" max="10503" width="12.6640625" style="324" customWidth="1"/>
    <col min="10504" max="10504" width="17.6640625" style="324" customWidth="1"/>
    <col min="10505" max="10506" width="15.6640625" style="324" customWidth="1"/>
    <col min="10507" max="10509" width="18.6640625" style="324" customWidth="1"/>
    <col min="10510" max="10517" width="15.88671875" style="324" customWidth="1"/>
    <col min="10518" max="10752" width="9.109375" style="324"/>
    <col min="10753" max="10753" width="26.6640625" style="324" customWidth="1"/>
    <col min="10754" max="10755" width="18.6640625" style="324" customWidth="1"/>
    <col min="10756" max="10756" width="27.6640625" style="324" customWidth="1"/>
    <col min="10757" max="10757" width="15.6640625" style="324" customWidth="1"/>
    <col min="10758" max="10759" width="12.6640625" style="324" customWidth="1"/>
    <col min="10760" max="10760" width="17.6640625" style="324" customWidth="1"/>
    <col min="10761" max="10762" width="15.6640625" style="324" customWidth="1"/>
    <col min="10763" max="10765" width="18.6640625" style="324" customWidth="1"/>
    <col min="10766" max="10773" width="15.88671875" style="324" customWidth="1"/>
    <col min="10774" max="11008" width="9.109375" style="324"/>
    <col min="11009" max="11009" width="26.6640625" style="324" customWidth="1"/>
    <col min="11010" max="11011" width="18.6640625" style="324" customWidth="1"/>
    <col min="11012" max="11012" width="27.6640625" style="324" customWidth="1"/>
    <col min="11013" max="11013" width="15.6640625" style="324" customWidth="1"/>
    <col min="11014" max="11015" width="12.6640625" style="324" customWidth="1"/>
    <col min="11016" max="11016" width="17.6640625" style="324" customWidth="1"/>
    <col min="11017" max="11018" width="15.6640625" style="324" customWidth="1"/>
    <col min="11019" max="11021" width="18.6640625" style="324" customWidth="1"/>
    <col min="11022" max="11029" width="15.88671875" style="324" customWidth="1"/>
    <col min="11030" max="11264" width="9.109375" style="324"/>
    <col min="11265" max="11265" width="26.6640625" style="324" customWidth="1"/>
    <col min="11266" max="11267" width="18.6640625" style="324" customWidth="1"/>
    <col min="11268" max="11268" width="27.6640625" style="324" customWidth="1"/>
    <col min="11269" max="11269" width="15.6640625" style="324" customWidth="1"/>
    <col min="11270" max="11271" width="12.6640625" style="324" customWidth="1"/>
    <col min="11272" max="11272" width="17.6640625" style="324" customWidth="1"/>
    <col min="11273" max="11274" width="15.6640625" style="324" customWidth="1"/>
    <col min="11275" max="11277" width="18.6640625" style="324" customWidth="1"/>
    <col min="11278" max="11285" width="15.88671875" style="324" customWidth="1"/>
    <col min="11286" max="11520" width="9.109375" style="324"/>
    <col min="11521" max="11521" width="26.6640625" style="324" customWidth="1"/>
    <col min="11522" max="11523" width="18.6640625" style="324" customWidth="1"/>
    <col min="11524" max="11524" width="27.6640625" style="324" customWidth="1"/>
    <col min="11525" max="11525" width="15.6640625" style="324" customWidth="1"/>
    <col min="11526" max="11527" width="12.6640625" style="324" customWidth="1"/>
    <col min="11528" max="11528" width="17.6640625" style="324" customWidth="1"/>
    <col min="11529" max="11530" width="15.6640625" style="324" customWidth="1"/>
    <col min="11531" max="11533" width="18.6640625" style="324" customWidth="1"/>
    <col min="11534" max="11541" width="15.88671875" style="324" customWidth="1"/>
    <col min="11542" max="11776" width="9.109375" style="324"/>
    <col min="11777" max="11777" width="26.6640625" style="324" customWidth="1"/>
    <col min="11778" max="11779" width="18.6640625" style="324" customWidth="1"/>
    <col min="11780" max="11780" width="27.6640625" style="324" customWidth="1"/>
    <col min="11781" max="11781" width="15.6640625" style="324" customWidth="1"/>
    <col min="11782" max="11783" width="12.6640625" style="324" customWidth="1"/>
    <col min="11784" max="11784" width="17.6640625" style="324" customWidth="1"/>
    <col min="11785" max="11786" width="15.6640625" style="324" customWidth="1"/>
    <col min="11787" max="11789" width="18.6640625" style="324" customWidth="1"/>
    <col min="11790" max="11797" width="15.88671875" style="324" customWidth="1"/>
    <col min="11798" max="12032" width="9.109375" style="324"/>
    <col min="12033" max="12033" width="26.6640625" style="324" customWidth="1"/>
    <col min="12034" max="12035" width="18.6640625" style="324" customWidth="1"/>
    <col min="12036" max="12036" width="27.6640625" style="324" customWidth="1"/>
    <col min="12037" max="12037" width="15.6640625" style="324" customWidth="1"/>
    <col min="12038" max="12039" width="12.6640625" style="324" customWidth="1"/>
    <col min="12040" max="12040" width="17.6640625" style="324" customWidth="1"/>
    <col min="12041" max="12042" width="15.6640625" style="324" customWidth="1"/>
    <col min="12043" max="12045" width="18.6640625" style="324" customWidth="1"/>
    <col min="12046" max="12053" width="15.88671875" style="324" customWidth="1"/>
    <col min="12054" max="12288" width="9.109375" style="324"/>
    <col min="12289" max="12289" width="26.6640625" style="324" customWidth="1"/>
    <col min="12290" max="12291" width="18.6640625" style="324" customWidth="1"/>
    <col min="12292" max="12292" width="27.6640625" style="324" customWidth="1"/>
    <col min="12293" max="12293" width="15.6640625" style="324" customWidth="1"/>
    <col min="12294" max="12295" width="12.6640625" style="324" customWidth="1"/>
    <col min="12296" max="12296" width="17.6640625" style="324" customWidth="1"/>
    <col min="12297" max="12298" width="15.6640625" style="324" customWidth="1"/>
    <col min="12299" max="12301" width="18.6640625" style="324" customWidth="1"/>
    <col min="12302" max="12309" width="15.88671875" style="324" customWidth="1"/>
    <col min="12310" max="12544" width="9.109375" style="324"/>
    <col min="12545" max="12545" width="26.6640625" style="324" customWidth="1"/>
    <col min="12546" max="12547" width="18.6640625" style="324" customWidth="1"/>
    <col min="12548" max="12548" width="27.6640625" style="324" customWidth="1"/>
    <col min="12549" max="12549" width="15.6640625" style="324" customWidth="1"/>
    <col min="12550" max="12551" width="12.6640625" style="324" customWidth="1"/>
    <col min="12552" max="12552" width="17.6640625" style="324" customWidth="1"/>
    <col min="12553" max="12554" width="15.6640625" style="324" customWidth="1"/>
    <col min="12555" max="12557" width="18.6640625" style="324" customWidth="1"/>
    <col min="12558" max="12565" width="15.88671875" style="324" customWidth="1"/>
    <col min="12566" max="12800" width="9.109375" style="324"/>
    <col min="12801" max="12801" width="26.6640625" style="324" customWidth="1"/>
    <col min="12802" max="12803" width="18.6640625" style="324" customWidth="1"/>
    <col min="12804" max="12804" width="27.6640625" style="324" customWidth="1"/>
    <col min="12805" max="12805" width="15.6640625" style="324" customWidth="1"/>
    <col min="12806" max="12807" width="12.6640625" style="324" customWidth="1"/>
    <col min="12808" max="12808" width="17.6640625" style="324" customWidth="1"/>
    <col min="12809" max="12810" width="15.6640625" style="324" customWidth="1"/>
    <col min="12811" max="12813" width="18.6640625" style="324" customWidth="1"/>
    <col min="12814" max="12821" width="15.88671875" style="324" customWidth="1"/>
    <col min="12822" max="13056" width="9.109375" style="324"/>
    <col min="13057" max="13057" width="26.6640625" style="324" customWidth="1"/>
    <col min="13058" max="13059" width="18.6640625" style="324" customWidth="1"/>
    <col min="13060" max="13060" width="27.6640625" style="324" customWidth="1"/>
    <col min="13061" max="13061" width="15.6640625" style="324" customWidth="1"/>
    <col min="13062" max="13063" width="12.6640625" style="324" customWidth="1"/>
    <col min="13064" max="13064" width="17.6640625" style="324" customWidth="1"/>
    <col min="13065" max="13066" width="15.6640625" style="324" customWidth="1"/>
    <col min="13067" max="13069" width="18.6640625" style="324" customWidth="1"/>
    <col min="13070" max="13077" width="15.88671875" style="324" customWidth="1"/>
    <col min="13078" max="13312" width="9.109375" style="324"/>
    <col min="13313" max="13313" width="26.6640625" style="324" customWidth="1"/>
    <col min="13314" max="13315" width="18.6640625" style="324" customWidth="1"/>
    <col min="13316" max="13316" width="27.6640625" style="324" customWidth="1"/>
    <col min="13317" max="13317" width="15.6640625" style="324" customWidth="1"/>
    <col min="13318" max="13319" width="12.6640625" style="324" customWidth="1"/>
    <col min="13320" max="13320" width="17.6640625" style="324" customWidth="1"/>
    <col min="13321" max="13322" width="15.6640625" style="324" customWidth="1"/>
    <col min="13323" max="13325" width="18.6640625" style="324" customWidth="1"/>
    <col min="13326" max="13333" width="15.88671875" style="324" customWidth="1"/>
    <col min="13334" max="13568" width="9.109375" style="324"/>
    <col min="13569" max="13569" width="26.6640625" style="324" customWidth="1"/>
    <col min="13570" max="13571" width="18.6640625" style="324" customWidth="1"/>
    <col min="13572" max="13572" width="27.6640625" style="324" customWidth="1"/>
    <col min="13573" max="13573" width="15.6640625" style="324" customWidth="1"/>
    <col min="13574" max="13575" width="12.6640625" style="324" customWidth="1"/>
    <col min="13576" max="13576" width="17.6640625" style="324" customWidth="1"/>
    <col min="13577" max="13578" width="15.6640625" style="324" customWidth="1"/>
    <col min="13579" max="13581" width="18.6640625" style="324" customWidth="1"/>
    <col min="13582" max="13589" width="15.88671875" style="324" customWidth="1"/>
    <col min="13590" max="13824" width="9.109375" style="324"/>
    <col min="13825" max="13825" width="26.6640625" style="324" customWidth="1"/>
    <col min="13826" max="13827" width="18.6640625" style="324" customWidth="1"/>
    <col min="13828" max="13828" width="27.6640625" style="324" customWidth="1"/>
    <col min="13829" max="13829" width="15.6640625" style="324" customWidth="1"/>
    <col min="13830" max="13831" width="12.6640625" style="324" customWidth="1"/>
    <col min="13832" max="13832" width="17.6640625" style="324" customWidth="1"/>
    <col min="13833" max="13834" width="15.6640625" style="324" customWidth="1"/>
    <col min="13835" max="13837" width="18.6640625" style="324" customWidth="1"/>
    <col min="13838" max="13845" width="15.88671875" style="324" customWidth="1"/>
    <col min="13846" max="14080" width="9.109375" style="324"/>
    <col min="14081" max="14081" width="26.6640625" style="324" customWidth="1"/>
    <col min="14082" max="14083" width="18.6640625" style="324" customWidth="1"/>
    <col min="14084" max="14084" width="27.6640625" style="324" customWidth="1"/>
    <col min="14085" max="14085" width="15.6640625" style="324" customWidth="1"/>
    <col min="14086" max="14087" width="12.6640625" style="324" customWidth="1"/>
    <col min="14088" max="14088" width="17.6640625" style="324" customWidth="1"/>
    <col min="14089" max="14090" width="15.6640625" style="324" customWidth="1"/>
    <col min="14091" max="14093" width="18.6640625" style="324" customWidth="1"/>
    <col min="14094" max="14101" width="15.88671875" style="324" customWidth="1"/>
    <col min="14102" max="14336" width="9.109375" style="324"/>
    <col min="14337" max="14337" width="26.6640625" style="324" customWidth="1"/>
    <col min="14338" max="14339" width="18.6640625" style="324" customWidth="1"/>
    <col min="14340" max="14340" width="27.6640625" style="324" customWidth="1"/>
    <col min="14341" max="14341" width="15.6640625" style="324" customWidth="1"/>
    <col min="14342" max="14343" width="12.6640625" style="324" customWidth="1"/>
    <col min="14344" max="14344" width="17.6640625" style="324" customWidth="1"/>
    <col min="14345" max="14346" width="15.6640625" style="324" customWidth="1"/>
    <col min="14347" max="14349" width="18.6640625" style="324" customWidth="1"/>
    <col min="14350" max="14357" width="15.88671875" style="324" customWidth="1"/>
    <col min="14358" max="14592" width="9.109375" style="324"/>
    <col min="14593" max="14593" width="26.6640625" style="324" customWidth="1"/>
    <col min="14594" max="14595" width="18.6640625" style="324" customWidth="1"/>
    <col min="14596" max="14596" width="27.6640625" style="324" customWidth="1"/>
    <col min="14597" max="14597" width="15.6640625" style="324" customWidth="1"/>
    <col min="14598" max="14599" width="12.6640625" style="324" customWidth="1"/>
    <col min="14600" max="14600" width="17.6640625" style="324" customWidth="1"/>
    <col min="14601" max="14602" width="15.6640625" style="324" customWidth="1"/>
    <col min="14603" max="14605" width="18.6640625" style="324" customWidth="1"/>
    <col min="14606" max="14613" width="15.88671875" style="324" customWidth="1"/>
    <col min="14614" max="14848" width="9.109375" style="324"/>
    <col min="14849" max="14849" width="26.6640625" style="324" customWidth="1"/>
    <col min="14850" max="14851" width="18.6640625" style="324" customWidth="1"/>
    <col min="14852" max="14852" width="27.6640625" style="324" customWidth="1"/>
    <col min="14853" max="14853" width="15.6640625" style="324" customWidth="1"/>
    <col min="14854" max="14855" width="12.6640625" style="324" customWidth="1"/>
    <col min="14856" max="14856" width="17.6640625" style="324" customWidth="1"/>
    <col min="14857" max="14858" width="15.6640625" style="324" customWidth="1"/>
    <col min="14859" max="14861" width="18.6640625" style="324" customWidth="1"/>
    <col min="14862" max="14869" width="15.88671875" style="324" customWidth="1"/>
    <col min="14870" max="15104" width="9.109375" style="324"/>
    <col min="15105" max="15105" width="26.6640625" style="324" customWidth="1"/>
    <col min="15106" max="15107" width="18.6640625" style="324" customWidth="1"/>
    <col min="15108" max="15108" width="27.6640625" style="324" customWidth="1"/>
    <col min="15109" max="15109" width="15.6640625" style="324" customWidth="1"/>
    <col min="15110" max="15111" width="12.6640625" style="324" customWidth="1"/>
    <col min="15112" max="15112" width="17.6640625" style="324" customWidth="1"/>
    <col min="15113" max="15114" width="15.6640625" style="324" customWidth="1"/>
    <col min="15115" max="15117" width="18.6640625" style="324" customWidth="1"/>
    <col min="15118" max="15125" width="15.88671875" style="324" customWidth="1"/>
    <col min="15126" max="15360" width="9.109375" style="324"/>
    <col min="15361" max="15361" width="26.6640625" style="324" customWidth="1"/>
    <col min="15362" max="15363" width="18.6640625" style="324" customWidth="1"/>
    <col min="15364" max="15364" width="27.6640625" style="324" customWidth="1"/>
    <col min="15365" max="15365" width="15.6640625" style="324" customWidth="1"/>
    <col min="15366" max="15367" width="12.6640625" style="324" customWidth="1"/>
    <col min="15368" max="15368" width="17.6640625" style="324" customWidth="1"/>
    <col min="15369" max="15370" width="15.6640625" style="324" customWidth="1"/>
    <col min="15371" max="15373" width="18.6640625" style="324" customWidth="1"/>
    <col min="15374" max="15381" width="15.88671875" style="324" customWidth="1"/>
    <col min="15382" max="15616" width="9.109375" style="324"/>
    <col min="15617" max="15617" width="26.6640625" style="324" customWidth="1"/>
    <col min="15618" max="15619" width="18.6640625" style="324" customWidth="1"/>
    <col min="15620" max="15620" width="27.6640625" style="324" customWidth="1"/>
    <col min="15621" max="15621" width="15.6640625" style="324" customWidth="1"/>
    <col min="15622" max="15623" width="12.6640625" style="324" customWidth="1"/>
    <col min="15624" max="15624" width="17.6640625" style="324" customWidth="1"/>
    <col min="15625" max="15626" width="15.6640625" style="324" customWidth="1"/>
    <col min="15627" max="15629" width="18.6640625" style="324" customWidth="1"/>
    <col min="15630" max="15637" width="15.88671875" style="324" customWidth="1"/>
    <col min="15638" max="15872" width="9.109375" style="324"/>
    <col min="15873" max="15873" width="26.6640625" style="324" customWidth="1"/>
    <col min="15874" max="15875" width="18.6640625" style="324" customWidth="1"/>
    <col min="15876" max="15876" width="27.6640625" style="324" customWidth="1"/>
    <col min="15877" max="15877" width="15.6640625" style="324" customWidth="1"/>
    <col min="15878" max="15879" width="12.6640625" style="324" customWidth="1"/>
    <col min="15880" max="15880" width="17.6640625" style="324" customWidth="1"/>
    <col min="15881" max="15882" width="15.6640625" style="324" customWidth="1"/>
    <col min="15883" max="15885" width="18.6640625" style="324" customWidth="1"/>
    <col min="15886" max="15893" width="15.88671875" style="324" customWidth="1"/>
    <col min="15894" max="16128" width="9.109375" style="324"/>
    <col min="16129" max="16129" width="26.6640625" style="324" customWidth="1"/>
    <col min="16130" max="16131" width="18.6640625" style="324" customWidth="1"/>
    <col min="16132" max="16132" width="27.6640625" style="324" customWidth="1"/>
    <col min="16133" max="16133" width="15.6640625" style="324" customWidth="1"/>
    <col min="16134" max="16135" width="12.6640625" style="324" customWidth="1"/>
    <col min="16136" max="16136" width="17.6640625" style="324" customWidth="1"/>
    <col min="16137" max="16138" width="15.6640625" style="324" customWidth="1"/>
    <col min="16139" max="16141" width="18.6640625" style="324" customWidth="1"/>
    <col min="16142" max="16149" width="15.88671875" style="324" customWidth="1"/>
    <col min="16150" max="16384" width="9.109375" style="324"/>
  </cols>
  <sheetData>
    <row r="1" spans="1:21" ht="17.399999999999999" x14ac:dyDescent="0.3">
      <c r="A1" s="508" t="s">
        <v>18</v>
      </c>
      <c r="B1" s="509"/>
      <c r="C1" s="509"/>
      <c r="D1" s="509"/>
      <c r="E1" s="509"/>
      <c r="F1" s="509"/>
      <c r="G1" s="509"/>
      <c r="H1" s="509"/>
      <c r="I1" s="509"/>
      <c r="J1" s="510"/>
      <c r="K1" s="508" t="s">
        <v>18</v>
      </c>
      <c r="L1" s="509"/>
      <c r="M1" s="509"/>
      <c r="N1" s="509"/>
      <c r="O1" s="509"/>
      <c r="P1" s="509"/>
      <c r="Q1" s="509"/>
      <c r="R1" s="509"/>
      <c r="S1" s="509"/>
      <c r="T1" s="509"/>
      <c r="U1" s="510"/>
    </row>
    <row r="2" spans="1:21" ht="17.399999999999999" x14ac:dyDescent="0.3">
      <c r="A2" s="511" t="s">
        <v>253</v>
      </c>
      <c r="B2" s="512"/>
      <c r="C2" s="512"/>
      <c r="D2" s="512"/>
      <c r="E2" s="512"/>
      <c r="F2" s="512"/>
      <c r="G2" s="512"/>
      <c r="H2" s="512"/>
      <c r="I2" s="512"/>
      <c r="J2" s="513"/>
      <c r="K2" s="511" t="s">
        <v>254</v>
      </c>
      <c r="L2" s="512"/>
      <c r="M2" s="512"/>
      <c r="N2" s="512"/>
      <c r="O2" s="512"/>
      <c r="P2" s="512"/>
      <c r="Q2" s="512"/>
      <c r="R2" s="512"/>
      <c r="S2" s="512"/>
      <c r="T2" s="512"/>
      <c r="U2" s="513"/>
    </row>
    <row r="3" spans="1:21" x14ac:dyDescent="0.3">
      <c r="A3" s="325"/>
      <c r="B3" s="326"/>
      <c r="C3" s="327"/>
      <c r="D3" s="514" t="s">
        <v>268</v>
      </c>
      <c r="E3" s="514"/>
      <c r="F3" s="514"/>
      <c r="G3" s="327"/>
      <c r="H3" s="326"/>
      <c r="I3" s="326"/>
      <c r="J3" s="328"/>
      <c r="K3" s="325"/>
      <c r="L3" s="326"/>
      <c r="M3" s="327"/>
      <c r="N3" s="514" t="s">
        <v>268</v>
      </c>
      <c r="O3" s="514"/>
      <c r="P3" s="514"/>
      <c r="Q3" s="514"/>
      <c r="R3" s="327"/>
      <c r="S3" s="327"/>
      <c r="T3" s="326"/>
      <c r="U3" s="328"/>
    </row>
    <row r="4" spans="1:21" x14ac:dyDescent="0.3">
      <c r="A4" s="329"/>
      <c r="B4" s="330"/>
      <c r="C4" s="330"/>
      <c r="D4" s="330"/>
      <c r="E4" s="330"/>
      <c r="F4" s="488" t="s">
        <v>154</v>
      </c>
      <c r="G4" s="488"/>
      <c r="H4" s="488"/>
      <c r="I4" s="488"/>
      <c r="J4" s="489"/>
      <c r="K4" s="331"/>
      <c r="L4" s="332"/>
      <c r="M4" s="332"/>
      <c r="N4" s="332"/>
      <c r="O4" s="332"/>
      <c r="P4" s="332"/>
      <c r="Q4" s="332"/>
      <c r="R4" s="332"/>
      <c r="S4" s="332"/>
      <c r="T4" s="332"/>
      <c r="U4" s="333"/>
    </row>
    <row r="5" spans="1:21" ht="15" customHeight="1" x14ac:dyDescent="0.3">
      <c r="A5" s="334" t="s">
        <v>67</v>
      </c>
      <c r="B5" s="490" t="s">
        <v>65</v>
      </c>
      <c r="C5" s="491"/>
      <c r="D5" s="335" t="s">
        <v>68</v>
      </c>
      <c r="E5" s="336"/>
      <c r="F5" s="335" t="s">
        <v>69</v>
      </c>
      <c r="G5" s="337"/>
      <c r="H5" s="338" t="s">
        <v>70</v>
      </c>
      <c r="I5" s="339" t="s">
        <v>154</v>
      </c>
      <c r="J5" s="339"/>
      <c r="K5" s="334" t="s">
        <v>67</v>
      </c>
      <c r="L5" s="492" t="s">
        <v>65</v>
      </c>
      <c r="M5" s="493"/>
      <c r="N5" s="335" t="s">
        <v>71</v>
      </c>
      <c r="O5" s="337"/>
      <c r="P5" s="494" t="s">
        <v>256</v>
      </c>
      <c r="Q5" s="495"/>
      <c r="R5" s="495"/>
      <c r="S5" s="495"/>
      <c r="T5" s="495"/>
      <c r="U5" s="496"/>
    </row>
    <row r="6" spans="1:21" x14ac:dyDescent="0.3">
      <c r="A6" s="340" t="s">
        <v>72</v>
      </c>
      <c r="B6" s="503" t="s">
        <v>145</v>
      </c>
      <c r="C6" s="504"/>
      <c r="D6" s="341" t="s">
        <v>74</v>
      </c>
      <c r="E6" s="342">
        <v>0.98448999999999998</v>
      </c>
      <c r="F6" s="343" t="s">
        <v>222</v>
      </c>
      <c r="G6" s="344"/>
      <c r="H6" s="345">
        <v>72.512766847926514</v>
      </c>
      <c r="I6" s="346" t="s">
        <v>154</v>
      </c>
      <c r="J6" s="347"/>
      <c r="K6" s="340" t="s">
        <v>72</v>
      </c>
      <c r="L6" s="505" t="s">
        <v>145</v>
      </c>
      <c r="M6" s="474"/>
      <c r="N6" s="348">
        <v>19919.070631275921</v>
      </c>
      <c r="O6" s="349"/>
      <c r="P6" s="497"/>
      <c r="Q6" s="498"/>
      <c r="R6" s="498"/>
      <c r="S6" s="498"/>
      <c r="T6" s="498"/>
      <c r="U6" s="499"/>
    </row>
    <row r="7" spans="1:21" x14ac:dyDescent="0.3">
      <c r="A7" s="340" t="s">
        <v>77</v>
      </c>
      <c r="B7" s="473" t="s">
        <v>146</v>
      </c>
      <c r="C7" s="474"/>
      <c r="D7" s="350" t="s">
        <v>79</v>
      </c>
      <c r="E7" s="351">
        <v>396.87270000000001</v>
      </c>
      <c r="F7" s="343" t="s">
        <v>223</v>
      </c>
      <c r="G7" s="344"/>
      <c r="H7" s="352">
        <v>56.969415056174647</v>
      </c>
      <c r="I7" s="353" t="s">
        <v>154</v>
      </c>
      <c r="J7" s="354"/>
      <c r="K7" s="355" t="s">
        <v>77</v>
      </c>
      <c r="L7" s="506" t="s">
        <v>146</v>
      </c>
      <c r="M7" s="507"/>
      <c r="N7" s="335"/>
      <c r="O7" s="337"/>
      <c r="P7" s="500"/>
      <c r="Q7" s="501"/>
      <c r="R7" s="501"/>
      <c r="S7" s="501"/>
      <c r="T7" s="501"/>
      <c r="U7" s="502"/>
    </row>
    <row r="8" spans="1:21" ht="15.6" x14ac:dyDescent="0.3">
      <c r="A8" s="340" t="s">
        <v>81</v>
      </c>
      <c r="B8" s="468" t="s">
        <v>224</v>
      </c>
      <c r="C8" s="469"/>
      <c r="D8" s="350" t="s">
        <v>82</v>
      </c>
      <c r="E8" s="351">
        <v>777.87049200000001</v>
      </c>
      <c r="F8" s="343"/>
      <c r="G8" s="344"/>
      <c r="H8" s="339" t="s">
        <v>83</v>
      </c>
      <c r="I8" s="356" t="s">
        <v>154</v>
      </c>
      <c r="J8" s="339" t="s">
        <v>85</v>
      </c>
      <c r="K8" s="357"/>
      <c r="L8" s="358"/>
      <c r="M8" s="358"/>
      <c r="N8" s="358"/>
      <c r="O8" s="358"/>
      <c r="P8" s="358"/>
      <c r="Q8" s="358"/>
      <c r="R8" s="358"/>
      <c r="S8" s="358"/>
      <c r="T8" s="358"/>
      <c r="U8" s="359"/>
    </row>
    <row r="9" spans="1:21" ht="15.6" x14ac:dyDescent="0.3">
      <c r="A9" s="340" t="s">
        <v>86</v>
      </c>
      <c r="B9" s="468" t="s">
        <v>76</v>
      </c>
      <c r="C9" s="469"/>
      <c r="D9" s="350" t="s">
        <v>87</v>
      </c>
      <c r="E9" s="360">
        <v>19919.070631275921</v>
      </c>
      <c r="F9" s="343" t="s">
        <v>88</v>
      </c>
      <c r="G9" s="344"/>
      <c r="H9" s="352">
        <v>65.239999999999995</v>
      </c>
      <c r="I9" s="361">
        <v>41645</v>
      </c>
      <c r="J9" s="362">
        <v>17430</v>
      </c>
      <c r="K9" s="470" t="s">
        <v>89</v>
      </c>
      <c r="L9" s="471"/>
      <c r="M9" s="471"/>
      <c r="N9" s="471"/>
      <c r="O9" s="471"/>
      <c r="P9" s="471"/>
      <c r="Q9" s="471"/>
      <c r="R9" s="471"/>
      <c r="S9" s="471"/>
      <c r="T9" s="471"/>
      <c r="U9" s="472"/>
    </row>
    <row r="10" spans="1:21" x14ac:dyDescent="0.3">
      <c r="A10" s="340" t="s">
        <v>90</v>
      </c>
      <c r="B10" s="473" t="s">
        <v>91</v>
      </c>
      <c r="C10" s="474"/>
      <c r="D10" s="350" t="s">
        <v>92</v>
      </c>
      <c r="E10" s="351">
        <v>0</v>
      </c>
      <c r="F10" s="363" t="s">
        <v>93</v>
      </c>
      <c r="G10" s="364"/>
      <c r="H10" s="365">
        <v>61.96</v>
      </c>
      <c r="I10" s="366">
        <v>42054</v>
      </c>
      <c r="J10" s="367">
        <v>15982</v>
      </c>
      <c r="K10" s="368"/>
      <c r="L10" s="369" t="s">
        <v>94</v>
      </c>
      <c r="M10" s="370"/>
      <c r="N10" s="369" t="s">
        <v>95</v>
      </c>
      <c r="O10" s="370"/>
      <c r="P10" s="369" t="s">
        <v>96</v>
      </c>
      <c r="Q10" s="370"/>
      <c r="R10" s="369" t="s">
        <v>97</v>
      </c>
      <c r="S10" s="370"/>
      <c r="T10" s="369" t="s">
        <v>98</v>
      </c>
      <c r="U10" s="371"/>
    </row>
    <row r="11" spans="1:21" ht="15" customHeight="1" x14ac:dyDescent="0.3">
      <c r="A11" s="475" t="s">
        <v>257</v>
      </c>
      <c r="B11" s="476"/>
      <c r="C11" s="477"/>
      <c r="D11" s="372" t="s">
        <v>99</v>
      </c>
      <c r="E11" s="373">
        <v>19919.070631275921</v>
      </c>
      <c r="F11" s="335" t="s">
        <v>100</v>
      </c>
      <c r="G11" s="337"/>
      <c r="H11" s="338" t="s">
        <v>101</v>
      </c>
      <c r="I11" s="339" t="s">
        <v>102</v>
      </c>
      <c r="J11" s="339" t="s">
        <v>103</v>
      </c>
      <c r="K11" s="374" t="s">
        <v>104</v>
      </c>
      <c r="L11" s="338" t="s">
        <v>105</v>
      </c>
      <c r="M11" s="338" t="s">
        <v>37</v>
      </c>
      <c r="N11" s="338" t="s">
        <v>105</v>
      </c>
      <c r="O11" s="338" t="s">
        <v>37</v>
      </c>
      <c r="P11" s="338" t="s">
        <v>105</v>
      </c>
      <c r="Q11" s="338" t="s">
        <v>37</v>
      </c>
      <c r="R11" s="338" t="s">
        <v>105</v>
      </c>
      <c r="S11" s="338" t="s">
        <v>37</v>
      </c>
      <c r="T11" s="338" t="s">
        <v>105</v>
      </c>
      <c r="U11" s="338" t="s">
        <v>37</v>
      </c>
    </row>
    <row r="12" spans="1:21" x14ac:dyDescent="0.3">
      <c r="A12" s="478"/>
      <c r="B12" s="479"/>
      <c r="C12" s="480"/>
      <c r="D12" s="336" t="s">
        <v>106</v>
      </c>
      <c r="E12" s="375"/>
      <c r="F12" s="334" t="s">
        <v>107</v>
      </c>
      <c r="G12" s="334"/>
      <c r="H12" s="376">
        <v>1212653.4524825681</v>
      </c>
      <c r="I12" s="376">
        <v>7673.0786799929228</v>
      </c>
      <c r="J12" s="376">
        <v>1220326.5311625609</v>
      </c>
      <c r="K12" s="340" t="s">
        <v>40</v>
      </c>
      <c r="L12" s="377">
        <v>932.99999999999966</v>
      </c>
      <c r="M12" s="378">
        <v>257606.64976586623</v>
      </c>
      <c r="N12" s="377">
        <v>1026.2999999999993</v>
      </c>
      <c r="O12" s="378">
        <v>280051.54846554162</v>
      </c>
      <c r="P12" s="377">
        <v>1119.6000000000004</v>
      </c>
      <c r="Q12" s="378">
        <v>302496.44716521708</v>
      </c>
      <c r="R12" s="377">
        <v>839.70000000000016</v>
      </c>
      <c r="S12" s="378">
        <v>235161.75106619077</v>
      </c>
      <c r="T12" s="377">
        <v>746.40000000000032</v>
      </c>
      <c r="U12" s="378">
        <v>212716.85236651517</v>
      </c>
    </row>
    <row r="13" spans="1:21" x14ac:dyDescent="0.3">
      <c r="A13" s="478"/>
      <c r="B13" s="479"/>
      <c r="C13" s="480"/>
      <c r="D13" s="379" t="s">
        <v>108</v>
      </c>
      <c r="E13" s="378">
        <v>20000</v>
      </c>
      <c r="F13" s="344" t="s">
        <v>109</v>
      </c>
      <c r="G13" s="340"/>
      <c r="H13" s="380">
        <v>943279.88420361117</v>
      </c>
      <c r="I13" s="380">
        <v>6019.9119838985389</v>
      </c>
      <c r="J13" s="380">
        <v>949299.79618750967</v>
      </c>
      <c r="K13" s="340" t="s">
        <v>41</v>
      </c>
      <c r="L13" s="360">
        <v>732.00000000000023</v>
      </c>
      <c r="M13" s="351">
        <v>202218.53095302114</v>
      </c>
      <c r="N13" s="360">
        <v>805.20000000000039</v>
      </c>
      <c r="O13" s="351">
        <v>219884.35964563515</v>
      </c>
      <c r="P13" s="360">
        <v>878.4000000000002</v>
      </c>
      <c r="Q13" s="351">
        <v>237550.18833824917</v>
      </c>
      <c r="R13" s="360">
        <v>658.80000000000018</v>
      </c>
      <c r="S13" s="351">
        <v>184552.70226040715</v>
      </c>
      <c r="T13" s="360">
        <v>585.59999999999991</v>
      </c>
      <c r="U13" s="351">
        <v>166886.87356779311</v>
      </c>
    </row>
    <row r="14" spans="1:21" ht="15" customHeight="1" x14ac:dyDescent="0.3">
      <c r="A14" s="478"/>
      <c r="B14" s="479"/>
      <c r="C14" s="480"/>
      <c r="D14" s="381" t="s">
        <v>110</v>
      </c>
      <c r="E14" s="351">
        <v>81</v>
      </c>
      <c r="F14" s="484" t="s">
        <v>269</v>
      </c>
      <c r="G14" s="476"/>
      <c r="H14" s="476"/>
      <c r="I14" s="476"/>
      <c r="J14" s="477"/>
      <c r="K14" s="340" t="s">
        <v>42</v>
      </c>
      <c r="L14" s="360">
        <v>538</v>
      </c>
      <c r="M14" s="351">
        <v>148799.78460592989</v>
      </c>
      <c r="N14" s="360">
        <v>591.79999999999984</v>
      </c>
      <c r="O14" s="351">
        <v>161823.06757774405</v>
      </c>
      <c r="P14" s="360">
        <v>645.59999999999991</v>
      </c>
      <c r="Q14" s="351">
        <v>174846.35054955806</v>
      </c>
      <c r="R14" s="360">
        <v>484.2</v>
      </c>
      <c r="S14" s="351">
        <v>135776.50163411579</v>
      </c>
      <c r="T14" s="360">
        <v>430.39999999999992</v>
      </c>
      <c r="U14" s="351">
        <v>122753.21866230173</v>
      </c>
    </row>
    <row r="15" spans="1:21" x14ac:dyDescent="0.3">
      <c r="A15" s="478"/>
      <c r="B15" s="479"/>
      <c r="C15" s="480"/>
      <c r="D15" s="381" t="s">
        <v>111</v>
      </c>
      <c r="E15" s="382">
        <v>4.0664547809182361E-3</v>
      </c>
      <c r="F15" s="478"/>
      <c r="G15" s="479"/>
      <c r="H15" s="479"/>
      <c r="I15" s="479"/>
      <c r="J15" s="480"/>
      <c r="K15" s="340" t="s">
        <v>112</v>
      </c>
      <c r="L15" s="360">
        <v>246</v>
      </c>
      <c r="M15" s="351">
        <v>76085.363850392183</v>
      </c>
      <c r="N15" s="360">
        <v>270.60000000000014</v>
      </c>
      <c r="O15" s="351">
        <v>82497.497260963748</v>
      </c>
      <c r="P15" s="360">
        <v>295.20000000000005</v>
      </c>
      <c r="Q15" s="351">
        <v>88909.630671535313</v>
      </c>
      <c r="R15" s="360">
        <v>221.40000000000006</v>
      </c>
      <c r="S15" s="351">
        <v>69673.230439820632</v>
      </c>
      <c r="T15" s="360">
        <v>196.79999999999998</v>
      </c>
      <c r="U15" s="351">
        <v>63261.097029249024</v>
      </c>
    </row>
    <row r="16" spans="1:21" x14ac:dyDescent="0.3">
      <c r="A16" s="481"/>
      <c r="B16" s="482"/>
      <c r="C16" s="483"/>
      <c r="D16" s="383"/>
      <c r="E16" s="384"/>
      <c r="F16" s="481"/>
      <c r="G16" s="482"/>
      <c r="H16" s="482"/>
      <c r="I16" s="482"/>
      <c r="J16" s="483"/>
      <c r="K16" s="340" t="s">
        <v>113</v>
      </c>
      <c r="L16" s="360">
        <v>66.999999999999972</v>
      </c>
      <c r="M16" s="351">
        <v>36479.135859812508</v>
      </c>
      <c r="N16" s="360">
        <v>73.699999999999918</v>
      </c>
      <c r="O16" s="351">
        <v>38245.57600687183</v>
      </c>
      <c r="P16" s="360">
        <v>80.400000000000048</v>
      </c>
      <c r="Q16" s="351">
        <v>40012.016153931159</v>
      </c>
      <c r="R16" s="360">
        <v>60.30000000000004</v>
      </c>
      <c r="S16" s="351">
        <v>34712.6957127532</v>
      </c>
      <c r="T16" s="360">
        <v>53.600000000000009</v>
      </c>
      <c r="U16" s="351">
        <v>32946.255565693878</v>
      </c>
    </row>
    <row r="17" spans="1:21" x14ac:dyDescent="0.3">
      <c r="A17" s="385"/>
      <c r="B17" s="386"/>
      <c r="C17" s="386"/>
      <c r="D17" s="386"/>
      <c r="E17" s="387"/>
      <c r="F17" s="388"/>
      <c r="G17" s="386"/>
      <c r="H17" s="386"/>
      <c r="I17" s="386"/>
      <c r="J17" s="389"/>
      <c r="K17" s="340" t="s">
        <v>114</v>
      </c>
      <c r="L17" s="360">
        <v>4.9999999999999956</v>
      </c>
      <c r="M17" s="351">
        <v>24445.087913293308</v>
      </c>
      <c r="N17" s="360">
        <v>5.4999999999999929</v>
      </c>
      <c r="O17" s="351">
        <v>24584.535291704906</v>
      </c>
      <c r="P17" s="360">
        <v>6.0000000000000018</v>
      </c>
      <c r="Q17" s="351">
        <v>24723.982670116518</v>
      </c>
      <c r="R17" s="360">
        <v>4.4999999999999982</v>
      </c>
      <c r="S17" s="351">
        <v>24305.640534881706</v>
      </c>
      <c r="T17" s="360">
        <v>3.9999999999999996</v>
      </c>
      <c r="U17" s="351">
        <v>24166.193156470101</v>
      </c>
    </row>
    <row r="18" spans="1:21" ht="15.6" x14ac:dyDescent="0.3">
      <c r="A18" s="485" t="s">
        <v>115</v>
      </c>
      <c r="B18" s="486"/>
      <c r="C18" s="486"/>
      <c r="D18" s="486"/>
      <c r="E18" s="486"/>
      <c r="F18" s="486"/>
      <c r="G18" s="486"/>
      <c r="H18" s="486"/>
      <c r="I18" s="486"/>
      <c r="J18" s="487"/>
      <c r="K18" s="340" t="s">
        <v>116</v>
      </c>
      <c r="L18" s="360">
        <v>0</v>
      </c>
      <c r="M18" s="351">
        <v>23031.119613363011</v>
      </c>
      <c r="N18" s="360">
        <v>0</v>
      </c>
      <c r="O18" s="351">
        <v>23032.760419808739</v>
      </c>
      <c r="P18" s="360">
        <v>0</v>
      </c>
      <c r="Q18" s="351">
        <v>23034.40122625446</v>
      </c>
      <c r="R18" s="360">
        <v>0</v>
      </c>
      <c r="S18" s="351">
        <v>23029.478806917297</v>
      </c>
      <c r="T18" s="360">
        <v>0</v>
      </c>
      <c r="U18" s="351">
        <v>23027.838000471584</v>
      </c>
    </row>
    <row r="19" spans="1:21" x14ac:dyDescent="0.3">
      <c r="A19" s="339" t="s">
        <v>117</v>
      </c>
      <c r="B19" s="462" t="s">
        <v>118</v>
      </c>
      <c r="C19" s="463"/>
      <c r="D19" s="464"/>
      <c r="E19" s="339" t="s">
        <v>119</v>
      </c>
      <c r="F19" s="462" t="s">
        <v>120</v>
      </c>
      <c r="G19" s="465"/>
      <c r="H19" s="466"/>
      <c r="I19" s="466"/>
      <c r="J19" s="467"/>
      <c r="K19" s="340" t="s">
        <v>121</v>
      </c>
      <c r="L19" s="360">
        <v>0</v>
      </c>
      <c r="M19" s="351">
        <v>23028.021081049101</v>
      </c>
      <c r="N19" s="360">
        <v>0</v>
      </c>
      <c r="O19" s="351">
        <v>23028.021081049141</v>
      </c>
      <c r="P19" s="360">
        <v>0</v>
      </c>
      <c r="Q19" s="351">
        <v>23028.021081049184</v>
      </c>
      <c r="R19" s="360">
        <v>0</v>
      </c>
      <c r="S19" s="351">
        <v>23028.021081049057</v>
      </c>
      <c r="T19" s="360">
        <v>0</v>
      </c>
      <c r="U19" s="351">
        <v>23028.021081049017</v>
      </c>
    </row>
    <row r="20" spans="1:21" x14ac:dyDescent="0.3">
      <c r="A20" s="430" t="s">
        <v>125</v>
      </c>
      <c r="B20" s="431" t="s">
        <v>219</v>
      </c>
      <c r="C20" s="432"/>
      <c r="D20" s="438"/>
      <c r="E20" s="351">
        <v>5000</v>
      </c>
      <c r="F20" s="394" t="s">
        <v>220</v>
      </c>
      <c r="G20" s="394"/>
      <c r="H20" s="394"/>
      <c r="I20" s="394"/>
      <c r="J20" s="395"/>
      <c r="K20" s="340" t="s">
        <v>124</v>
      </c>
      <c r="L20" s="360">
        <v>29.999999999999993</v>
      </c>
      <c r="M20" s="351">
        <v>26896.820301155563</v>
      </c>
      <c r="N20" s="360">
        <v>33</v>
      </c>
      <c r="O20" s="351">
        <v>27630.322903035816</v>
      </c>
      <c r="P20" s="360">
        <v>36.000000000000007</v>
      </c>
      <c r="Q20" s="351">
        <v>28363.82550491608</v>
      </c>
      <c r="R20" s="360">
        <v>27.000000000000007</v>
      </c>
      <c r="S20" s="351">
        <v>26163.317699275292</v>
      </c>
      <c r="T20" s="360">
        <v>24.000000000000004</v>
      </c>
      <c r="U20" s="351">
        <v>25429.815097395032</v>
      </c>
    </row>
    <row r="21" spans="1:21" x14ac:dyDescent="0.3">
      <c r="A21" s="405" t="s">
        <v>125</v>
      </c>
      <c r="B21" s="406" t="s">
        <v>221</v>
      </c>
      <c r="C21" s="407"/>
      <c r="D21" s="408"/>
      <c r="E21" s="351">
        <v>13500</v>
      </c>
      <c r="F21" s="394" t="s">
        <v>216</v>
      </c>
      <c r="G21" s="394"/>
      <c r="H21" s="394"/>
      <c r="I21" s="394"/>
      <c r="J21" s="395"/>
      <c r="K21" s="340" t="s">
        <v>126</v>
      </c>
      <c r="L21" s="360">
        <v>212</v>
      </c>
      <c r="M21" s="351">
        <v>59408.019659891121</v>
      </c>
      <c r="N21" s="360">
        <v>233.20000000000005</v>
      </c>
      <c r="O21" s="351">
        <v>64757.942560573632</v>
      </c>
      <c r="P21" s="360">
        <v>254.40000000000003</v>
      </c>
      <c r="Q21" s="351">
        <v>70107.865461256122</v>
      </c>
      <c r="R21" s="360">
        <v>190.79999999999998</v>
      </c>
      <c r="S21" s="351">
        <v>54058.096759208594</v>
      </c>
      <c r="T21" s="360">
        <v>169.6</v>
      </c>
      <c r="U21" s="351">
        <v>48708.173858526112</v>
      </c>
    </row>
    <row r="22" spans="1:21" x14ac:dyDescent="0.3">
      <c r="A22" s="399" t="s">
        <v>125</v>
      </c>
      <c r="B22" s="400" t="s">
        <v>225</v>
      </c>
      <c r="C22" s="401"/>
      <c r="D22" s="402"/>
      <c r="E22" s="403">
        <v>1500</v>
      </c>
      <c r="F22" s="401" t="s">
        <v>270</v>
      </c>
      <c r="G22" s="401"/>
      <c r="H22" s="401"/>
      <c r="I22" s="401"/>
      <c r="J22" s="404"/>
      <c r="K22" s="340" t="s">
        <v>38</v>
      </c>
      <c r="L22" s="360">
        <v>493.00000000000023</v>
      </c>
      <c r="M22" s="351">
        <v>120934.40409909711</v>
      </c>
      <c r="N22" s="360">
        <v>542.29999999999995</v>
      </c>
      <c r="O22" s="351">
        <v>132698.38562995486</v>
      </c>
      <c r="P22" s="360">
        <v>591.60000000000014</v>
      </c>
      <c r="Q22" s="351">
        <v>144462.36716081257</v>
      </c>
      <c r="R22" s="360">
        <v>443.70000000000016</v>
      </c>
      <c r="S22" s="351">
        <v>109170.42256823939</v>
      </c>
      <c r="T22" s="360">
        <v>394.39999999999986</v>
      </c>
      <c r="U22" s="351">
        <v>97406.441037381679</v>
      </c>
    </row>
    <row r="23" spans="1:21" x14ac:dyDescent="0.3">
      <c r="A23" s="405"/>
      <c r="B23" s="406"/>
      <c r="C23" s="407"/>
      <c r="D23" s="408"/>
      <c r="E23" s="351"/>
      <c r="F23" s="394"/>
      <c r="G23" s="394"/>
      <c r="H23" s="394"/>
      <c r="I23" s="394"/>
      <c r="J23" s="395"/>
      <c r="K23" s="340" t="s">
        <v>39</v>
      </c>
      <c r="L23" s="360">
        <v>840.99999999999943</v>
      </c>
      <c r="M23" s="351">
        <v>213720.51477969688</v>
      </c>
      <c r="N23" s="360">
        <v>925.10000000000025</v>
      </c>
      <c r="O23" s="351">
        <v>233874.90134466439</v>
      </c>
      <c r="P23" s="360">
        <v>1009.1999999999994</v>
      </c>
      <c r="Q23" s="351">
        <v>254029.28790963185</v>
      </c>
      <c r="R23" s="360">
        <v>756.90000000000009</v>
      </c>
      <c r="S23" s="351">
        <v>193566.1282147294</v>
      </c>
      <c r="T23" s="360">
        <v>672.8</v>
      </c>
      <c r="U23" s="351">
        <v>173411.74164976188</v>
      </c>
    </row>
    <row r="24" spans="1:21" x14ac:dyDescent="0.3">
      <c r="A24" s="405"/>
      <c r="B24" s="406"/>
      <c r="C24" s="407"/>
      <c r="D24" s="408"/>
      <c r="E24" s="351"/>
      <c r="F24" s="394"/>
      <c r="G24" s="394"/>
      <c r="H24" s="394"/>
      <c r="I24" s="394"/>
      <c r="J24" s="395"/>
      <c r="K24" s="409" t="s">
        <v>127</v>
      </c>
      <c r="L24" s="410">
        <v>4096.9999999999991</v>
      </c>
      <c r="M24" s="410">
        <v>1212653.4524825681</v>
      </c>
      <c r="N24" s="410">
        <v>4506.7</v>
      </c>
      <c r="O24" s="410">
        <v>1312108.9181875479</v>
      </c>
      <c r="P24" s="410">
        <v>4916.3999999999996</v>
      </c>
      <c r="Q24" s="410">
        <v>1411564.3838925273</v>
      </c>
      <c r="R24" s="410">
        <v>3687.3000000000011</v>
      </c>
      <c r="S24" s="410">
        <v>1113197.9867775885</v>
      </c>
      <c r="T24" s="410">
        <v>3277.6000000000004</v>
      </c>
      <c r="U24" s="410">
        <v>1013742.5210726082</v>
      </c>
    </row>
    <row r="25" spans="1:21" x14ac:dyDescent="0.3">
      <c r="A25" s="405"/>
      <c r="B25" s="406"/>
      <c r="C25" s="407"/>
      <c r="D25" s="408"/>
      <c r="E25" s="351"/>
      <c r="F25" s="394"/>
      <c r="G25" s="394"/>
      <c r="H25" s="394"/>
      <c r="I25" s="394"/>
      <c r="J25" s="395"/>
      <c r="K25" s="409" t="s">
        <v>128</v>
      </c>
      <c r="L25" s="410">
        <v>3536.9999999999995</v>
      </c>
      <c r="M25" s="410">
        <v>943279.88420361117</v>
      </c>
      <c r="N25" s="410">
        <v>3890.7</v>
      </c>
      <c r="O25" s="410">
        <v>1028332.2626635401</v>
      </c>
      <c r="P25" s="410">
        <v>4244.3999999999996</v>
      </c>
      <c r="Q25" s="410">
        <v>1113384.6411234688</v>
      </c>
      <c r="R25" s="410">
        <v>3183.3000000000006</v>
      </c>
      <c r="S25" s="410">
        <v>858227.5057436825</v>
      </c>
      <c r="T25" s="410">
        <v>2829.6000000000004</v>
      </c>
      <c r="U25" s="410">
        <v>773175.12728375359</v>
      </c>
    </row>
    <row r="26" spans="1:21" x14ac:dyDescent="0.3">
      <c r="A26" s="405"/>
      <c r="B26" s="406"/>
      <c r="C26" s="407"/>
      <c r="D26" s="408"/>
      <c r="E26" s="351"/>
      <c r="F26" s="394"/>
      <c r="G26" s="394"/>
      <c r="H26" s="394"/>
      <c r="I26" s="394"/>
      <c r="J26" s="395"/>
      <c r="K26" s="411"/>
      <c r="L26" s="412"/>
      <c r="M26" s="412"/>
      <c r="N26" s="412"/>
      <c r="O26" s="412"/>
      <c r="P26" s="412"/>
      <c r="Q26" s="412"/>
      <c r="R26" s="412"/>
      <c r="S26" s="412"/>
      <c r="T26" s="412"/>
      <c r="U26" s="413"/>
    </row>
    <row r="27" spans="1:21" ht="15.6" x14ac:dyDescent="0.3">
      <c r="A27" s="405"/>
      <c r="B27" s="406"/>
      <c r="C27" s="407"/>
      <c r="D27" s="408"/>
      <c r="E27" s="351"/>
      <c r="F27" s="394"/>
      <c r="G27" s="394"/>
      <c r="H27" s="394"/>
      <c r="I27" s="394"/>
      <c r="J27" s="395"/>
      <c r="K27" s="470" t="s">
        <v>129</v>
      </c>
      <c r="L27" s="471"/>
      <c r="M27" s="471"/>
      <c r="N27" s="471"/>
      <c r="O27" s="471"/>
      <c r="P27" s="471"/>
      <c r="Q27" s="471"/>
      <c r="R27" s="471"/>
      <c r="S27" s="471"/>
      <c r="T27" s="471"/>
      <c r="U27" s="472"/>
    </row>
    <row r="28" spans="1:21" x14ac:dyDescent="0.3">
      <c r="A28" s="405"/>
      <c r="B28" s="406"/>
      <c r="C28" s="407"/>
      <c r="D28" s="408"/>
      <c r="E28" s="351"/>
      <c r="F28" s="394"/>
      <c r="G28" s="394"/>
      <c r="H28" s="394"/>
      <c r="I28" s="394"/>
      <c r="J28" s="395"/>
      <c r="K28" s="368"/>
      <c r="L28" s="369" t="s">
        <v>94</v>
      </c>
      <c r="M28" s="370"/>
      <c r="N28" s="369" t="s">
        <v>95</v>
      </c>
      <c r="O28" s="370"/>
      <c r="P28" s="369" t="s">
        <v>96</v>
      </c>
      <c r="Q28" s="370"/>
      <c r="R28" s="369" t="s">
        <v>97</v>
      </c>
      <c r="S28" s="370"/>
      <c r="T28" s="369" t="s">
        <v>98</v>
      </c>
      <c r="U28" s="371"/>
    </row>
    <row r="29" spans="1:21" x14ac:dyDescent="0.3">
      <c r="A29" s="405"/>
      <c r="B29" s="406"/>
      <c r="C29" s="407"/>
      <c r="D29" s="408"/>
      <c r="E29" s="351"/>
      <c r="F29" s="394"/>
      <c r="G29" s="394"/>
      <c r="H29" s="394"/>
      <c r="I29" s="394"/>
      <c r="J29" s="395"/>
      <c r="K29" s="374" t="s">
        <v>104</v>
      </c>
      <c r="L29" s="338" t="s">
        <v>105</v>
      </c>
      <c r="M29" s="338" t="s">
        <v>37</v>
      </c>
      <c r="N29" s="338" t="s">
        <v>105</v>
      </c>
      <c r="O29" s="338" t="s">
        <v>37</v>
      </c>
      <c r="P29" s="338" t="s">
        <v>105</v>
      </c>
      <c r="Q29" s="338" t="s">
        <v>37</v>
      </c>
      <c r="R29" s="338" t="s">
        <v>105</v>
      </c>
      <c r="S29" s="338" t="s">
        <v>37</v>
      </c>
      <c r="T29" s="338" t="s">
        <v>105</v>
      </c>
      <c r="U29" s="338" t="s">
        <v>37</v>
      </c>
    </row>
    <row r="30" spans="1:21" x14ac:dyDescent="0.3">
      <c r="A30" s="414"/>
      <c r="B30" s="415"/>
      <c r="C30" s="416"/>
      <c r="D30" s="417"/>
      <c r="E30" s="418"/>
      <c r="F30" s="394"/>
      <c r="G30" s="394"/>
      <c r="H30" s="394"/>
      <c r="I30" s="394"/>
      <c r="J30" s="395"/>
      <c r="K30" s="340" t="s">
        <v>40</v>
      </c>
      <c r="L30" s="377">
        <v>932.99999999999966</v>
      </c>
      <c r="M30" s="378">
        <v>1523.9619433333601</v>
      </c>
      <c r="N30" s="377">
        <v>1026.2999999999993</v>
      </c>
      <c r="O30" s="378">
        <v>1345.3944158669333</v>
      </c>
      <c r="P30" s="377">
        <v>1119.6000000000004</v>
      </c>
      <c r="Q30" s="378">
        <v>1166.826888400507</v>
      </c>
      <c r="R30" s="377">
        <v>839.70000000000016</v>
      </c>
      <c r="S30" s="378">
        <v>1702.5294707997875</v>
      </c>
      <c r="T30" s="377">
        <v>746.40000000000032</v>
      </c>
      <c r="U30" s="378">
        <v>1881.0969982662134</v>
      </c>
    </row>
    <row r="31" spans="1:21" x14ac:dyDescent="0.3">
      <c r="A31" s="419"/>
      <c r="B31" s="420"/>
      <c r="C31" s="420"/>
      <c r="D31" s="420" t="s">
        <v>130</v>
      </c>
      <c r="E31" s="421">
        <v>20000</v>
      </c>
      <c r="F31" s="422"/>
      <c r="G31" s="422"/>
      <c r="H31" s="422"/>
      <c r="I31" s="422"/>
      <c r="J31" s="423"/>
      <c r="K31" s="340" t="s">
        <v>41</v>
      </c>
      <c r="L31" s="360">
        <v>732.00000000000023</v>
      </c>
      <c r="M31" s="351">
        <v>1495.3109498122349</v>
      </c>
      <c r="N31" s="360">
        <v>805.20000000000039</v>
      </c>
      <c r="O31" s="351">
        <v>1349.2157513030761</v>
      </c>
      <c r="P31" s="360">
        <v>878.4000000000002</v>
      </c>
      <c r="Q31" s="351">
        <v>1203.1205527939167</v>
      </c>
      <c r="R31" s="360">
        <v>658.80000000000018</v>
      </c>
      <c r="S31" s="351">
        <v>1641.4061483213936</v>
      </c>
      <c r="T31" s="360">
        <v>585.59999999999991</v>
      </c>
      <c r="U31" s="351">
        <v>1787.5013468305538</v>
      </c>
    </row>
    <row r="32" spans="1:21" x14ac:dyDescent="0.3">
      <c r="A32" s="424"/>
      <c r="B32" s="425"/>
      <c r="C32" s="425"/>
      <c r="D32" s="426"/>
      <c r="E32" s="427"/>
      <c r="F32" s="428"/>
      <c r="G32" s="428"/>
      <c r="H32" s="428"/>
      <c r="I32" s="428"/>
      <c r="J32" s="429"/>
      <c r="K32" s="340" t="s">
        <v>42</v>
      </c>
      <c r="L32" s="360">
        <v>538</v>
      </c>
      <c r="M32" s="351">
        <v>1155.5023345435386</v>
      </c>
      <c r="N32" s="360">
        <v>591.79999999999984</v>
      </c>
      <c r="O32" s="351">
        <v>1042.9642242861285</v>
      </c>
      <c r="P32" s="360">
        <v>645.59999999999991</v>
      </c>
      <c r="Q32" s="351">
        <v>930.42611402871898</v>
      </c>
      <c r="R32" s="360">
        <v>484.2</v>
      </c>
      <c r="S32" s="351">
        <v>1268.0404448009479</v>
      </c>
      <c r="T32" s="360">
        <v>430.39999999999992</v>
      </c>
      <c r="U32" s="351">
        <v>1380.5785550583569</v>
      </c>
    </row>
    <row r="33" spans="1:21" ht="15.6" x14ac:dyDescent="0.3">
      <c r="A33" s="485" t="s">
        <v>131</v>
      </c>
      <c r="B33" s="486"/>
      <c r="C33" s="486"/>
      <c r="D33" s="486"/>
      <c r="E33" s="486"/>
      <c r="F33" s="486"/>
      <c r="G33" s="486"/>
      <c r="H33" s="486"/>
      <c r="I33" s="486"/>
      <c r="J33" s="487"/>
      <c r="K33" s="340" t="s">
        <v>112</v>
      </c>
      <c r="L33" s="360">
        <v>246</v>
      </c>
      <c r="M33" s="351">
        <v>166.88224958406107</v>
      </c>
      <c r="N33" s="360">
        <v>270.60000000000014</v>
      </c>
      <c r="O33" s="351">
        <v>123.67871075853206</v>
      </c>
      <c r="P33" s="360">
        <v>295.20000000000005</v>
      </c>
      <c r="Q33" s="351">
        <v>80.475171933003224</v>
      </c>
      <c r="R33" s="360">
        <v>221.40000000000006</v>
      </c>
      <c r="S33" s="351">
        <v>210.08578840959007</v>
      </c>
      <c r="T33" s="360">
        <v>196.79999999999998</v>
      </c>
      <c r="U33" s="351">
        <v>253.28932723511872</v>
      </c>
    </row>
    <row r="34" spans="1:21" x14ac:dyDescent="0.3">
      <c r="A34" s="339" t="s">
        <v>117</v>
      </c>
      <c r="B34" s="462" t="s">
        <v>118</v>
      </c>
      <c r="C34" s="463"/>
      <c r="D34" s="464"/>
      <c r="E34" s="339" t="s">
        <v>119</v>
      </c>
      <c r="F34" s="462" t="s">
        <v>120</v>
      </c>
      <c r="G34" s="465"/>
      <c r="H34" s="466"/>
      <c r="I34" s="466"/>
      <c r="J34" s="467"/>
      <c r="K34" s="340" t="s">
        <v>113</v>
      </c>
      <c r="L34" s="360">
        <v>66.999999999999972</v>
      </c>
      <c r="M34" s="351">
        <v>27.308632483146994</v>
      </c>
      <c r="N34" s="360">
        <v>73.699999999999918</v>
      </c>
      <c r="O34" s="351">
        <v>15.245589245979041</v>
      </c>
      <c r="P34" s="360">
        <v>80.400000000000048</v>
      </c>
      <c r="Q34" s="351">
        <v>3.1825460088110971</v>
      </c>
      <c r="R34" s="360">
        <v>60.30000000000004</v>
      </c>
      <c r="S34" s="351">
        <v>39.371675720314968</v>
      </c>
      <c r="T34" s="360">
        <v>53.600000000000009</v>
      </c>
      <c r="U34" s="351">
        <v>51.4347189574829</v>
      </c>
    </row>
    <row r="35" spans="1:21" x14ac:dyDescent="0.3">
      <c r="A35" s="430"/>
      <c r="B35" s="431"/>
      <c r="C35" s="432"/>
      <c r="D35" s="433"/>
      <c r="E35" s="378"/>
      <c r="F35" s="392"/>
      <c r="G35" s="392"/>
      <c r="H35" s="392"/>
      <c r="I35" s="392"/>
      <c r="J35" s="434"/>
      <c r="K35" s="340" t="s">
        <v>114</v>
      </c>
      <c r="L35" s="360">
        <v>4.9999999999999956</v>
      </c>
      <c r="M35" s="351">
        <v>19.136335556225099</v>
      </c>
      <c r="N35" s="360">
        <v>5.4999999999999929</v>
      </c>
      <c r="O35" s="351">
        <v>17.755025473939874</v>
      </c>
      <c r="P35" s="360">
        <v>6.0000000000000018</v>
      </c>
      <c r="Q35" s="351">
        <v>16.373715391654642</v>
      </c>
      <c r="R35" s="360">
        <v>4.4999999999999982</v>
      </c>
      <c r="S35" s="351">
        <v>20.517645638510345</v>
      </c>
      <c r="T35" s="360">
        <v>3.9999999999999996</v>
      </c>
      <c r="U35" s="351">
        <v>21.898955720795634</v>
      </c>
    </row>
    <row r="36" spans="1:21" x14ac:dyDescent="0.3">
      <c r="A36" s="405"/>
      <c r="B36" s="406"/>
      <c r="C36" s="407"/>
      <c r="D36" s="435"/>
      <c r="E36" s="351"/>
      <c r="F36" s="394"/>
      <c r="G36" s="394"/>
      <c r="H36" s="394"/>
      <c r="I36" s="394"/>
      <c r="J36" s="395"/>
      <c r="K36" s="340" t="s">
        <v>116</v>
      </c>
      <c r="L36" s="360">
        <v>0</v>
      </c>
      <c r="M36" s="351">
        <v>197.05165310004796</v>
      </c>
      <c r="N36" s="360">
        <v>0</v>
      </c>
      <c r="O36" s="351">
        <v>196.96422219411301</v>
      </c>
      <c r="P36" s="360">
        <v>0</v>
      </c>
      <c r="Q36" s="351">
        <v>196.87679128817808</v>
      </c>
      <c r="R36" s="360">
        <v>0</v>
      </c>
      <c r="S36" s="351">
        <v>197.13908400598294</v>
      </c>
      <c r="T36" s="360">
        <v>0</v>
      </c>
      <c r="U36" s="351">
        <v>197.22651491191783</v>
      </c>
    </row>
    <row r="37" spans="1:21" x14ac:dyDescent="0.3">
      <c r="A37" s="405"/>
      <c r="B37" s="406"/>
      <c r="C37" s="407"/>
      <c r="D37" s="435"/>
      <c r="E37" s="351"/>
      <c r="F37" s="394"/>
      <c r="G37" s="394"/>
      <c r="H37" s="394"/>
      <c r="I37" s="394"/>
      <c r="J37" s="395"/>
      <c r="K37" s="340" t="s">
        <v>121</v>
      </c>
      <c r="L37" s="360">
        <v>0</v>
      </c>
      <c r="M37" s="351">
        <v>221.82814922759155</v>
      </c>
      <c r="N37" s="360">
        <v>0</v>
      </c>
      <c r="O37" s="351">
        <v>221.82770640273034</v>
      </c>
      <c r="P37" s="360">
        <v>0</v>
      </c>
      <c r="Q37" s="351">
        <v>221.82726357786927</v>
      </c>
      <c r="R37" s="360">
        <v>0</v>
      </c>
      <c r="S37" s="351">
        <v>221.82859205245262</v>
      </c>
      <c r="T37" s="360">
        <v>0</v>
      </c>
      <c r="U37" s="351">
        <v>221.82903487731372</v>
      </c>
    </row>
    <row r="38" spans="1:21" x14ac:dyDescent="0.3">
      <c r="A38" s="405"/>
      <c r="B38" s="406"/>
      <c r="C38" s="407"/>
      <c r="D38" s="435"/>
      <c r="E38" s="351"/>
      <c r="F38" s="394"/>
      <c r="G38" s="394"/>
      <c r="H38" s="394"/>
      <c r="I38" s="394"/>
      <c r="J38" s="395"/>
      <c r="K38" s="340" t="s">
        <v>124</v>
      </c>
      <c r="L38" s="360">
        <v>29.999999999999993</v>
      </c>
      <c r="M38" s="351">
        <v>479.14209850371861</v>
      </c>
      <c r="N38" s="360">
        <v>33</v>
      </c>
      <c r="O38" s="351">
        <v>476.47783554439633</v>
      </c>
      <c r="P38" s="360">
        <v>36.000000000000007</v>
      </c>
      <c r="Q38" s="351">
        <v>473.81357258507427</v>
      </c>
      <c r="R38" s="360">
        <v>27.000000000000007</v>
      </c>
      <c r="S38" s="351">
        <v>481.80636146304067</v>
      </c>
      <c r="T38" s="360">
        <v>24.000000000000004</v>
      </c>
      <c r="U38" s="351">
        <v>484.47062442236302</v>
      </c>
    </row>
    <row r="39" spans="1:21" x14ac:dyDescent="0.3">
      <c r="A39" s="405"/>
      <c r="B39" s="406"/>
      <c r="C39" s="407"/>
      <c r="D39" s="435"/>
      <c r="E39" s="351"/>
      <c r="F39" s="394"/>
      <c r="G39" s="394"/>
      <c r="H39" s="394"/>
      <c r="I39" s="394"/>
      <c r="J39" s="395"/>
      <c r="K39" s="340" t="s">
        <v>126</v>
      </c>
      <c r="L39" s="360">
        <v>212</v>
      </c>
      <c r="M39" s="351">
        <v>541.81757763959081</v>
      </c>
      <c r="N39" s="360">
        <v>233.20000000000005</v>
      </c>
      <c r="O39" s="351">
        <v>517.54097891768788</v>
      </c>
      <c r="P39" s="360">
        <v>254.40000000000003</v>
      </c>
      <c r="Q39" s="351">
        <v>493.26438019578507</v>
      </c>
      <c r="R39" s="360">
        <v>190.79999999999998</v>
      </c>
      <c r="S39" s="351">
        <v>566.09417636149362</v>
      </c>
      <c r="T39" s="360">
        <v>169.6</v>
      </c>
      <c r="U39" s="351">
        <v>590.37077508339644</v>
      </c>
    </row>
    <row r="40" spans="1:21" x14ac:dyDescent="0.3">
      <c r="A40" s="405"/>
      <c r="B40" s="406"/>
      <c r="C40" s="407"/>
      <c r="D40" s="435"/>
      <c r="E40" s="351"/>
      <c r="F40" s="394"/>
      <c r="G40" s="394"/>
      <c r="H40" s="394"/>
      <c r="I40" s="394"/>
      <c r="J40" s="395"/>
      <c r="K40" s="340" t="s">
        <v>38</v>
      </c>
      <c r="L40" s="360">
        <v>493.00000000000023</v>
      </c>
      <c r="M40" s="351">
        <v>859.44964574094251</v>
      </c>
      <c r="N40" s="360">
        <v>542.29999999999995</v>
      </c>
      <c r="O40" s="351">
        <v>777.87761443040893</v>
      </c>
      <c r="P40" s="360">
        <v>591.60000000000014</v>
      </c>
      <c r="Q40" s="351">
        <v>696.30558311987591</v>
      </c>
      <c r="R40" s="360">
        <v>443.70000000000016</v>
      </c>
      <c r="S40" s="351">
        <v>941.02167705147576</v>
      </c>
      <c r="T40" s="360">
        <v>394.39999999999986</v>
      </c>
      <c r="U40" s="351">
        <v>1022.593708362009</v>
      </c>
    </row>
    <row r="41" spans="1:21" x14ac:dyDescent="0.3">
      <c r="A41" s="405"/>
      <c r="B41" s="406"/>
      <c r="C41" s="407"/>
      <c r="D41" s="435"/>
      <c r="E41" s="351"/>
      <c r="F41" s="394"/>
      <c r="G41" s="394"/>
      <c r="H41" s="394"/>
      <c r="I41" s="394"/>
      <c r="J41" s="395"/>
      <c r="K41" s="340" t="s">
        <v>39</v>
      </c>
      <c r="L41" s="360">
        <v>840.99999999999943</v>
      </c>
      <c r="M41" s="351">
        <v>985.68711046846374</v>
      </c>
      <c r="N41" s="360">
        <v>925.10000000000025</v>
      </c>
      <c r="O41" s="351">
        <v>832.75792636137044</v>
      </c>
      <c r="P41" s="360">
        <v>1009.1999999999994</v>
      </c>
      <c r="Q41" s="351">
        <v>679.82874225427759</v>
      </c>
      <c r="R41" s="360">
        <v>756.90000000000009</v>
      </c>
      <c r="S41" s="351">
        <v>1138.6162945755564</v>
      </c>
      <c r="T41" s="360">
        <v>672.8</v>
      </c>
      <c r="U41" s="351">
        <v>1291.5454786826494</v>
      </c>
    </row>
    <row r="42" spans="1:21" x14ac:dyDescent="0.3">
      <c r="A42" s="405"/>
      <c r="B42" s="406"/>
      <c r="C42" s="407"/>
      <c r="D42" s="435"/>
      <c r="E42" s="351"/>
      <c r="F42" s="394"/>
      <c r="G42" s="394"/>
      <c r="H42" s="394"/>
      <c r="I42" s="394"/>
      <c r="J42" s="395"/>
      <c r="K42" s="409" t="s">
        <v>132</v>
      </c>
      <c r="L42" s="410">
        <v>4096.9999999999991</v>
      </c>
      <c r="M42" s="410">
        <v>7673.0786799929228</v>
      </c>
      <c r="N42" s="410">
        <v>4506.7</v>
      </c>
      <c r="O42" s="410">
        <v>6917.7000007852967</v>
      </c>
      <c r="P42" s="410">
        <v>4916.3999999999996</v>
      </c>
      <c r="Q42" s="410">
        <v>6162.3213215776723</v>
      </c>
      <c r="R42" s="410">
        <v>3687.3000000000011</v>
      </c>
      <c r="S42" s="410">
        <v>8428.4573592005472</v>
      </c>
      <c r="T42" s="410">
        <v>3277.6000000000004</v>
      </c>
      <c r="U42" s="410">
        <v>9183.8360384081698</v>
      </c>
    </row>
    <row r="43" spans="1:21" x14ac:dyDescent="0.3">
      <c r="A43" s="405"/>
      <c r="B43" s="406"/>
      <c r="C43" s="407"/>
      <c r="D43" s="435"/>
      <c r="E43" s="351"/>
      <c r="F43" s="394"/>
      <c r="G43" s="394"/>
      <c r="H43" s="394"/>
      <c r="I43" s="394"/>
      <c r="J43" s="395"/>
      <c r="K43" s="409" t="s">
        <v>133</v>
      </c>
      <c r="L43" s="410">
        <v>3536.9999999999995</v>
      </c>
      <c r="M43" s="410">
        <v>6019.9119838985389</v>
      </c>
      <c r="N43" s="410">
        <v>3890.7</v>
      </c>
      <c r="O43" s="410">
        <v>5348.209932247918</v>
      </c>
      <c r="P43" s="410">
        <v>4244.3999999999996</v>
      </c>
      <c r="Q43" s="410">
        <v>4676.5078805972962</v>
      </c>
      <c r="R43" s="410">
        <v>3183.3000000000006</v>
      </c>
      <c r="S43" s="410">
        <v>6691.6140355491607</v>
      </c>
      <c r="T43" s="410">
        <v>2829.6000000000004</v>
      </c>
      <c r="U43" s="410">
        <v>7363.3160871997825</v>
      </c>
    </row>
    <row r="44" spans="1:21" x14ac:dyDescent="0.3">
      <c r="A44" s="405"/>
      <c r="B44" s="415"/>
      <c r="C44" s="416"/>
      <c r="D44" s="436"/>
      <c r="E44" s="418"/>
      <c r="F44" s="394"/>
      <c r="G44" s="394"/>
      <c r="H44" s="394"/>
      <c r="I44" s="394"/>
      <c r="J44" s="395"/>
      <c r="K44" s="409" t="s">
        <v>134</v>
      </c>
      <c r="L44" s="410">
        <v>4096.9999999999991</v>
      </c>
      <c r="M44" s="410">
        <v>1220326.5311625609</v>
      </c>
      <c r="N44" s="410">
        <v>4506.7</v>
      </c>
      <c r="O44" s="410">
        <v>1319026.6181883332</v>
      </c>
      <c r="P44" s="410">
        <v>4916.3999999999996</v>
      </c>
      <c r="Q44" s="410">
        <v>1417726.7052141051</v>
      </c>
      <c r="R44" s="410">
        <v>3687.3000000000011</v>
      </c>
      <c r="S44" s="410">
        <v>1121626.4441367891</v>
      </c>
      <c r="T44" s="410">
        <v>3277.6000000000004</v>
      </c>
      <c r="U44" s="410">
        <v>1022926.3571110164</v>
      </c>
    </row>
    <row r="45" spans="1:21" x14ac:dyDescent="0.3">
      <c r="A45" s="419"/>
      <c r="B45" s="420"/>
      <c r="C45" s="420"/>
      <c r="D45" s="420" t="s">
        <v>135</v>
      </c>
      <c r="E45" s="421">
        <v>0</v>
      </c>
      <c r="F45" s="422"/>
      <c r="G45" s="422"/>
      <c r="H45" s="422"/>
      <c r="I45" s="422"/>
      <c r="J45" s="423"/>
      <c r="K45" s="409" t="s">
        <v>136</v>
      </c>
      <c r="L45" s="410">
        <v>3536.9999999999995</v>
      </c>
      <c r="M45" s="410">
        <v>949299.79618750967</v>
      </c>
      <c r="N45" s="410">
        <v>3890.7</v>
      </c>
      <c r="O45" s="410">
        <v>1033680.472595788</v>
      </c>
      <c r="P45" s="410">
        <v>4244.3999999999996</v>
      </c>
      <c r="Q45" s="410">
        <v>1118061.1490040661</v>
      </c>
      <c r="R45" s="410">
        <v>3183.3000000000006</v>
      </c>
      <c r="S45" s="410">
        <v>864919.11977923161</v>
      </c>
      <c r="T45" s="410">
        <v>2829.6000000000004</v>
      </c>
      <c r="U45" s="410">
        <v>780538.44337095344</v>
      </c>
    </row>
    <row r="47" spans="1:21" x14ac:dyDescent="0.3">
      <c r="J47" s="437">
        <v>30</v>
      </c>
      <c r="K47" s="324">
        <v>31</v>
      </c>
      <c r="L47" s="324">
        <v>31</v>
      </c>
      <c r="M47" s="324">
        <v>28</v>
      </c>
      <c r="N47" s="324">
        <v>31</v>
      </c>
    </row>
    <row r="48" spans="1:21" x14ac:dyDescent="0.3">
      <c r="J48" s="437" t="s">
        <v>31</v>
      </c>
      <c r="K48" s="324" t="s">
        <v>32</v>
      </c>
      <c r="L48" s="324" t="s">
        <v>33</v>
      </c>
      <c r="M48" s="324" t="s">
        <v>34</v>
      </c>
      <c r="N48" s="324" t="s">
        <v>35</v>
      </c>
    </row>
    <row r="49" spans="10:15" x14ac:dyDescent="0.3">
      <c r="J49" s="453">
        <f>+M22+M40</f>
        <v>121793.85374483805</v>
      </c>
      <c r="K49" s="454">
        <f>+M23+M41</f>
        <v>214706.20189016534</v>
      </c>
      <c r="L49" s="454">
        <f>+M12+M30</f>
        <v>259130.61170919958</v>
      </c>
      <c r="M49" s="454">
        <f>+M13+M31</f>
        <v>203713.84190283337</v>
      </c>
      <c r="N49" s="454">
        <f>+M14+M32</f>
        <v>149955.28694047342</v>
      </c>
      <c r="O49" s="454">
        <f>SUM(J49:N49)</f>
        <v>949299.79618750978</v>
      </c>
    </row>
    <row r="50" spans="10:15" x14ac:dyDescent="0.3">
      <c r="J50" s="455">
        <f>ROUND(J49/J47,0)</f>
        <v>4060</v>
      </c>
      <c r="K50" s="455">
        <f t="shared" ref="K50:N50" si="0">ROUND(K49/K47,0)</f>
        <v>6926</v>
      </c>
      <c r="L50" s="455">
        <f t="shared" si="0"/>
        <v>8359</v>
      </c>
      <c r="M50" s="455">
        <f t="shared" si="0"/>
        <v>7275</v>
      </c>
      <c r="N50" s="455">
        <f t="shared" si="0"/>
        <v>4837</v>
      </c>
    </row>
  </sheetData>
  <mergeCells count="27">
    <mergeCell ref="A1:J1"/>
    <mergeCell ref="K1:U1"/>
    <mergeCell ref="A2:J2"/>
    <mergeCell ref="K2:U2"/>
    <mergeCell ref="D3:F3"/>
    <mergeCell ref="N3:Q3"/>
    <mergeCell ref="F4:J4"/>
    <mergeCell ref="B5:C5"/>
    <mergeCell ref="L5:M5"/>
    <mergeCell ref="P5:U7"/>
    <mergeCell ref="B6:C6"/>
    <mergeCell ref="L6:M6"/>
    <mergeCell ref="B7:C7"/>
    <mergeCell ref="L7:M7"/>
    <mergeCell ref="B34:D34"/>
    <mergeCell ref="F34:J34"/>
    <mergeCell ref="B8:C8"/>
    <mergeCell ref="B9:C9"/>
    <mergeCell ref="K9:U9"/>
    <mergeCell ref="B10:C10"/>
    <mergeCell ref="A11:C16"/>
    <mergeCell ref="F14:J16"/>
    <mergeCell ref="A18:J18"/>
    <mergeCell ref="B19:D19"/>
    <mergeCell ref="F19:J19"/>
    <mergeCell ref="K27:U27"/>
    <mergeCell ref="A33:J33"/>
  </mergeCells>
  <conditionalFormatting sqref="F4:J4">
    <cfRule type="containsText" dxfId="23" priority="1" stopIfTrue="1" operator="containsText" text="PEAK DAY">
      <formula>NOT(ISERROR(SEARCH("PEAK DAY",F4)))</formula>
    </cfRule>
  </conditionalFormatting>
  <conditionalFormatting sqref="J9">
    <cfRule type="cellIs" dxfId="22" priority="4" stopIfTrue="1" operator="greaterThanOrEqual">
      <formula>#REF!</formula>
    </cfRule>
  </conditionalFormatting>
  <conditionalFormatting sqref="J10">
    <cfRule type="cellIs" dxfId="21" priority="3" stopIfTrue="1" operator="greaterThanOrEqual">
      <formula>#REF!</formula>
    </cfRule>
  </conditionalFormatting>
  <conditionalFormatting sqref="H9">
    <cfRule type="cellIs" dxfId="20" priority="2" stopIfTrue="1" operator="greaterThanOrEqual">
      <formula>#REF!</formula>
    </cfRule>
  </conditionalFormatting>
  <pageMargins left="0.7" right="0.7" top="0.75" bottom="0.75" header="0.3" footer="0.3"/>
  <pageSetup scale="66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30"/>
  <sheetViews>
    <sheetView zoomScaleNormal="100" workbookViewId="0">
      <selection activeCell="B10" sqref="B10"/>
    </sheetView>
  </sheetViews>
  <sheetFormatPr defaultRowHeight="13.2" x14ac:dyDescent="0.25"/>
  <cols>
    <col min="2" max="7" width="12.88671875" bestFit="1" customWidth="1"/>
    <col min="8" max="8" width="11.33203125" bestFit="1" customWidth="1"/>
  </cols>
  <sheetData>
    <row r="6" spans="1:8" x14ac:dyDescent="0.25">
      <c r="B6" t="s">
        <v>24</v>
      </c>
    </row>
    <row r="8" spans="1:8" x14ac:dyDescent="0.25">
      <c r="B8" s="40" t="s">
        <v>25</v>
      </c>
      <c r="C8" s="97">
        <v>0.9</v>
      </c>
      <c r="D8" s="32">
        <v>0.9</v>
      </c>
      <c r="E8" s="32">
        <v>0.85</v>
      </c>
      <c r="F8" s="32">
        <v>0.8</v>
      </c>
      <c r="G8" s="32">
        <v>0.75</v>
      </c>
    </row>
    <row r="9" spans="1:8" x14ac:dyDescent="0.25">
      <c r="B9" s="40"/>
      <c r="C9" s="40" t="s">
        <v>147</v>
      </c>
      <c r="D9" s="32"/>
      <c r="E9" s="32"/>
      <c r="F9" s="32"/>
      <c r="G9" s="32"/>
    </row>
    <row r="10" spans="1:8" x14ac:dyDescent="0.25">
      <c r="A10" t="s">
        <v>26</v>
      </c>
      <c r="B10" s="22">
        <v>1335000</v>
      </c>
      <c r="C10" s="24">
        <f>+B10*C8</f>
        <v>1201500</v>
      </c>
      <c r="D10" s="41">
        <f>+B10*D8</f>
        <v>1201500</v>
      </c>
      <c r="E10" s="41">
        <f>+B10*E8</f>
        <v>1134750</v>
      </c>
      <c r="F10" s="41">
        <f>+B10*F8</f>
        <v>1068000</v>
      </c>
      <c r="G10" s="41">
        <f>+B10*G8</f>
        <v>1001250</v>
      </c>
    </row>
    <row r="11" spans="1:8" x14ac:dyDescent="0.25">
      <c r="A11" t="s">
        <v>27</v>
      </c>
      <c r="B11" s="22">
        <v>2130000</v>
      </c>
      <c r="C11" s="24">
        <f>+B11*C8</f>
        <v>1917000</v>
      </c>
      <c r="D11" s="41">
        <f>+B11*D8</f>
        <v>1917000</v>
      </c>
      <c r="E11" s="41">
        <f>+B11*E8</f>
        <v>1810500</v>
      </c>
      <c r="F11" s="41">
        <f>+B11*F8</f>
        <v>1704000</v>
      </c>
      <c r="G11" s="41">
        <f>+B11*G8</f>
        <v>1597500</v>
      </c>
    </row>
    <row r="12" spans="1:8" x14ac:dyDescent="0.25">
      <c r="A12" t="s">
        <v>28</v>
      </c>
      <c r="B12" s="41">
        <v>376150</v>
      </c>
      <c r="C12" s="24">
        <f>+B12*C8</f>
        <v>338535</v>
      </c>
      <c r="D12" s="41">
        <f>+B12*D8</f>
        <v>338535</v>
      </c>
      <c r="E12" s="41">
        <f>+B12*E8</f>
        <v>319727.5</v>
      </c>
      <c r="F12" s="41">
        <f>+B12*F8</f>
        <v>300920</v>
      </c>
      <c r="G12" s="41">
        <f>+B12*G8</f>
        <v>282112.5</v>
      </c>
    </row>
    <row r="13" spans="1:8" x14ac:dyDescent="0.25">
      <c r="B13" s="41"/>
      <c r="D13" s="41"/>
      <c r="E13" s="41"/>
      <c r="F13" s="41"/>
      <c r="G13" s="41"/>
    </row>
    <row r="14" spans="1:8" x14ac:dyDescent="0.25">
      <c r="B14" s="42" t="s">
        <v>29</v>
      </c>
      <c r="D14" s="41"/>
      <c r="E14" s="41"/>
      <c r="F14" s="41"/>
      <c r="G14" s="41"/>
    </row>
    <row r="15" spans="1:8" x14ac:dyDescent="0.25">
      <c r="A15" t="s">
        <v>26</v>
      </c>
      <c r="B15" s="41"/>
      <c r="D15" s="41">
        <f t="shared" ref="D15:G17" si="0">+$B10-D10</f>
        <v>133500</v>
      </c>
      <c r="E15" s="41">
        <f t="shared" si="0"/>
        <v>200250</v>
      </c>
      <c r="F15" s="41">
        <f t="shared" si="0"/>
        <v>267000</v>
      </c>
      <c r="G15" s="41">
        <f t="shared" si="0"/>
        <v>333750</v>
      </c>
      <c r="H15" s="43"/>
    </row>
    <row r="16" spans="1:8" x14ac:dyDescent="0.25">
      <c r="A16" t="s">
        <v>27</v>
      </c>
      <c r="B16" s="41"/>
      <c r="D16" s="41">
        <f t="shared" si="0"/>
        <v>213000</v>
      </c>
      <c r="E16" s="41">
        <f t="shared" si="0"/>
        <v>319500</v>
      </c>
      <c r="F16" s="41">
        <f t="shared" si="0"/>
        <v>426000</v>
      </c>
      <c r="G16" s="41">
        <f t="shared" si="0"/>
        <v>532500</v>
      </c>
    </row>
    <row r="17" spans="1:8" x14ac:dyDescent="0.25">
      <c r="A17" t="s">
        <v>28</v>
      </c>
      <c r="B17" s="41"/>
      <c r="D17" s="41">
        <f t="shared" si="0"/>
        <v>37615</v>
      </c>
      <c r="E17" s="41">
        <f t="shared" si="0"/>
        <v>56422.5</v>
      </c>
      <c r="F17" s="41">
        <f t="shared" si="0"/>
        <v>75230</v>
      </c>
      <c r="G17" s="41">
        <f t="shared" si="0"/>
        <v>94037.5</v>
      </c>
    </row>
    <row r="18" spans="1:8" x14ac:dyDescent="0.25">
      <c r="B18" s="41"/>
      <c r="D18" s="41"/>
      <c r="E18" s="41"/>
      <c r="F18" s="41"/>
      <c r="G18" s="41"/>
    </row>
    <row r="19" spans="1:8" x14ac:dyDescent="0.25">
      <c r="B19" s="41"/>
      <c r="D19" s="41"/>
      <c r="E19" s="41"/>
      <c r="F19" s="41"/>
      <c r="G19" s="41"/>
    </row>
    <row r="22" spans="1:8" x14ac:dyDescent="0.25">
      <c r="B22" s="40" t="s">
        <v>30</v>
      </c>
      <c r="D22" s="32">
        <v>0.75</v>
      </c>
      <c r="E22" s="32">
        <v>0.8</v>
      </c>
      <c r="F22" s="32">
        <v>0.85</v>
      </c>
      <c r="G22" s="32">
        <v>0.9</v>
      </c>
    </row>
    <row r="24" spans="1:8" x14ac:dyDescent="0.25">
      <c r="A24" t="s">
        <v>26</v>
      </c>
      <c r="B24" s="22">
        <v>18631</v>
      </c>
      <c r="D24" s="41">
        <f t="shared" ref="D24:G26" si="1">+$B24*D$22</f>
        <v>13973.25</v>
      </c>
      <c r="E24" s="41">
        <f t="shared" si="1"/>
        <v>14904.800000000001</v>
      </c>
      <c r="F24" s="41">
        <f t="shared" si="1"/>
        <v>15836.35</v>
      </c>
      <c r="G24" s="41">
        <f t="shared" si="1"/>
        <v>16767.900000000001</v>
      </c>
    </row>
    <row r="25" spans="1:8" x14ac:dyDescent="0.25">
      <c r="A25" t="s">
        <v>27</v>
      </c>
      <c r="B25" s="22">
        <v>16702</v>
      </c>
      <c r="D25" s="41">
        <f t="shared" si="1"/>
        <v>12526.5</v>
      </c>
      <c r="E25" s="41">
        <f t="shared" si="1"/>
        <v>13361.6</v>
      </c>
      <c r="F25" s="41">
        <f t="shared" si="1"/>
        <v>14196.699999999999</v>
      </c>
      <c r="G25" s="41">
        <f t="shared" si="1"/>
        <v>15031.800000000001</v>
      </c>
    </row>
    <row r="26" spans="1:8" x14ac:dyDescent="0.25">
      <c r="A26" t="s">
        <v>28</v>
      </c>
      <c r="B26" s="41">
        <v>5727</v>
      </c>
      <c r="D26" s="41">
        <f t="shared" si="1"/>
        <v>4295.25</v>
      </c>
      <c r="E26" s="41">
        <f t="shared" si="1"/>
        <v>4581.6000000000004</v>
      </c>
      <c r="F26" s="41">
        <f t="shared" si="1"/>
        <v>4867.95</v>
      </c>
      <c r="G26" s="41">
        <f t="shared" si="1"/>
        <v>5154.3</v>
      </c>
    </row>
    <row r="27" spans="1:8" x14ac:dyDescent="0.25">
      <c r="B27" s="41"/>
      <c r="D27" s="41"/>
      <c r="E27" s="41"/>
      <c r="F27" s="41"/>
      <c r="G27" s="41"/>
    </row>
    <row r="28" spans="1:8" x14ac:dyDescent="0.25">
      <c r="B28" s="41"/>
      <c r="D28" s="42" t="s">
        <v>31</v>
      </c>
      <c r="E28" s="42" t="s">
        <v>32</v>
      </c>
      <c r="F28" s="42" t="s">
        <v>33</v>
      </c>
      <c r="G28" s="42" t="s">
        <v>34</v>
      </c>
      <c r="H28" s="42" t="s">
        <v>35</v>
      </c>
    </row>
    <row r="30" spans="1:8" x14ac:dyDescent="0.25">
      <c r="A30" t="s">
        <v>13</v>
      </c>
      <c r="D30" s="41">
        <f>+B11*0.95</f>
        <v>2023500</v>
      </c>
      <c r="E30" s="41">
        <f>+D30-(8820*30)</f>
        <v>1758900</v>
      </c>
      <c r="F30" s="41">
        <f>+E30-(15242*31)</f>
        <v>1286398</v>
      </c>
      <c r="G30" s="41">
        <f>+F30-(15242*31)</f>
        <v>813896</v>
      </c>
      <c r="H30" s="41">
        <f>+G30-(13500*28)</f>
        <v>435896</v>
      </c>
    </row>
  </sheetData>
  <phoneticPr fontId="14" type="noConversion"/>
  <pageMargins left="0.75" right="0.75" top="1" bottom="1" header="0.5" footer="0.5"/>
  <pageSetup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79"/>
  <sheetViews>
    <sheetView zoomScaleNormal="100" workbookViewId="0">
      <selection activeCell="G8" sqref="G8"/>
    </sheetView>
  </sheetViews>
  <sheetFormatPr defaultRowHeight="13.2" x14ac:dyDescent="0.25"/>
  <cols>
    <col min="1" max="1" width="10.33203125" bestFit="1" customWidth="1"/>
    <col min="2" max="2" width="13.109375" bestFit="1" customWidth="1"/>
    <col min="3" max="3" width="11.6640625" bestFit="1" customWidth="1"/>
    <col min="4" max="4" width="11.88671875" bestFit="1" customWidth="1"/>
    <col min="5" max="5" width="14.6640625" bestFit="1" customWidth="1"/>
    <col min="6" max="6" width="13.88671875" bestFit="1" customWidth="1"/>
    <col min="7" max="7" width="14.6640625" bestFit="1" customWidth="1"/>
    <col min="8" max="8" width="14.5546875" bestFit="1" customWidth="1"/>
    <col min="9" max="9" width="14.6640625" bestFit="1" customWidth="1"/>
    <col min="10" max="10" width="14.33203125" bestFit="1" customWidth="1"/>
    <col min="11" max="11" width="14.6640625" bestFit="1" customWidth="1"/>
    <col min="12" max="12" width="13.6640625" bestFit="1" customWidth="1"/>
    <col min="13" max="13" width="12.88671875" bestFit="1" customWidth="1"/>
    <col min="14" max="14" width="11.88671875" bestFit="1" customWidth="1"/>
  </cols>
  <sheetData>
    <row r="3" spans="1:14" ht="13.8" thickBot="1" x14ac:dyDescent="0.3">
      <c r="B3" t="s">
        <v>36</v>
      </c>
    </row>
    <row r="4" spans="1:14" x14ac:dyDescent="0.25">
      <c r="B4" t="s">
        <v>37</v>
      </c>
      <c r="E4" s="44">
        <v>30</v>
      </c>
      <c r="F4" s="45"/>
      <c r="G4" s="44">
        <v>31</v>
      </c>
      <c r="H4" s="45"/>
      <c r="I4" s="44">
        <v>31</v>
      </c>
      <c r="J4" s="45"/>
      <c r="K4" s="225">
        <v>29</v>
      </c>
      <c r="L4" s="45"/>
      <c r="M4" s="44">
        <v>31</v>
      </c>
      <c r="N4" s="46"/>
    </row>
    <row r="5" spans="1:14" x14ac:dyDescent="0.25">
      <c r="C5" s="43"/>
      <c r="E5" s="47" t="s">
        <v>38</v>
      </c>
      <c r="F5" s="48" t="s">
        <v>31</v>
      </c>
      <c r="G5" s="47" t="s">
        <v>39</v>
      </c>
      <c r="H5" s="48" t="s">
        <v>32</v>
      </c>
      <c r="I5" s="49" t="s">
        <v>40</v>
      </c>
      <c r="J5" s="48" t="s">
        <v>33</v>
      </c>
      <c r="K5" s="49" t="s">
        <v>41</v>
      </c>
      <c r="L5" s="50" t="s">
        <v>34</v>
      </c>
      <c r="M5" s="49" t="s">
        <v>42</v>
      </c>
      <c r="N5" s="48" t="s">
        <v>35</v>
      </c>
    </row>
    <row r="6" spans="1:14" x14ac:dyDescent="0.25">
      <c r="C6" s="43"/>
      <c r="E6" s="47" t="s">
        <v>43</v>
      </c>
      <c r="F6" s="48" t="s">
        <v>44</v>
      </c>
      <c r="G6" s="47" t="s">
        <v>43</v>
      </c>
      <c r="H6" s="48" t="s">
        <v>44</v>
      </c>
      <c r="I6" s="49" t="s">
        <v>43</v>
      </c>
      <c r="J6" s="48" t="s">
        <v>44</v>
      </c>
      <c r="K6" s="49" t="s">
        <v>43</v>
      </c>
      <c r="L6" s="50" t="s">
        <v>44</v>
      </c>
      <c r="M6" s="49" t="s">
        <v>43</v>
      </c>
      <c r="N6" s="48" t="s">
        <v>44</v>
      </c>
    </row>
    <row r="7" spans="1:14" x14ac:dyDescent="0.25">
      <c r="C7" s="51" t="s">
        <v>45</v>
      </c>
      <c r="D7" s="51" t="s">
        <v>46</v>
      </c>
      <c r="E7" s="47" t="s">
        <v>47</v>
      </c>
      <c r="F7" s="52" t="s">
        <v>48</v>
      </c>
      <c r="G7" s="47" t="s">
        <v>47</v>
      </c>
      <c r="H7" s="52" t="s">
        <v>48</v>
      </c>
      <c r="I7" s="49" t="s">
        <v>47</v>
      </c>
      <c r="J7" s="52" t="s">
        <v>48</v>
      </c>
      <c r="K7" s="49" t="s">
        <v>47</v>
      </c>
      <c r="L7" s="52" t="s">
        <v>48</v>
      </c>
      <c r="M7" s="49" t="s">
        <v>47</v>
      </c>
      <c r="N7" s="52" t="s">
        <v>48</v>
      </c>
    </row>
    <row r="8" spans="1:14" x14ac:dyDescent="0.25">
      <c r="B8" s="40" t="s">
        <v>25</v>
      </c>
      <c r="C8" s="53">
        <v>0.95</v>
      </c>
      <c r="D8" s="53">
        <v>0.05</v>
      </c>
      <c r="E8" s="47"/>
      <c r="F8" s="48"/>
      <c r="G8" s="47"/>
      <c r="H8" s="48"/>
      <c r="I8" s="47"/>
      <c r="J8" s="48"/>
      <c r="K8" s="47"/>
      <c r="L8" s="48"/>
      <c r="M8" s="47"/>
      <c r="N8" s="48"/>
    </row>
    <row r="9" spans="1:14" x14ac:dyDescent="0.25">
      <c r="B9" s="40"/>
      <c r="E9" s="47"/>
      <c r="F9" s="48"/>
      <c r="G9" s="47"/>
      <c r="H9" s="48"/>
      <c r="I9" s="47"/>
      <c r="J9" s="48"/>
      <c r="K9" s="47"/>
      <c r="L9" s="48"/>
      <c r="M9" s="47"/>
      <c r="N9" s="48"/>
    </row>
    <row r="10" spans="1:14" x14ac:dyDescent="0.25">
      <c r="A10" t="s">
        <v>49</v>
      </c>
      <c r="B10" s="54">
        <v>798065</v>
      </c>
      <c r="C10" s="41">
        <f t="shared" ref="C10:C15" si="0">+B10*C$8</f>
        <v>758161.75</v>
      </c>
      <c r="D10" s="41">
        <f t="shared" ref="D10:D15" si="1">+B10*D$8</f>
        <v>39903.25</v>
      </c>
      <c r="E10" s="47"/>
      <c r="F10" s="48"/>
      <c r="G10" s="47"/>
      <c r="H10" s="48"/>
      <c r="I10" s="47"/>
      <c r="J10" s="48"/>
      <c r="K10" s="47"/>
      <c r="L10" s="48"/>
      <c r="M10" s="47"/>
      <c r="N10" s="48"/>
    </row>
    <row r="11" spans="1:14" x14ac:dyDescent="0.25">
      <c r="A11" t="s">
        <v>50</v>
      </c>
      <c r="B11" s="54">
        <v>313035</v>
      </c>
      <c r="C11" s="41">
        <f t="shared" si="0"/>
        <v>297383.25</v>
      </c>
      <c r="D11" s="41">
        <f t="shared" si="1"/>
        <v>15651.75</v>
      </c>
      <c r="E11" s="47"/>
      <c r="F11" s="48"/>
      <c r="G11" s="47"/>
      <c r="H11" s="48"/>
      <c r="I11" s="47"/>
      <c r="J11" s="48"/>
      <c r="K11" s="47"/>
      <c r="L11" s="48"/>
      <c r="M11" s="47"/>
      <c r="N11" s="48"/>
    </row>
    <row r="12" spans="1:14" x14ac:dyDescent="0.25">
      <c r="A12" t="s">
        <v>51</v>
      </c>
      <c r="B12" s="54">
        <v>462890</v>
      </c>
      <c r="C12" s="41">
        <f t="shared" si="0"/>
        <v>439745.5</v>
      </c>
      <c r="D12" s="41">
        <f t="shared" si="1"/>
        <v>23144.5</v>
      </c>
      <c r="E12" s="47"/>
      <c r="F12" s="48"/>
      <c r="G12" s="47"/>
      <c r="H12" s="48"/>
      <c r="I12" s="47"/>
      <c r="J12" s="48"/>
      <c r="K12" s="47"/>
      <c r="L12" s="48"/>
      <c r="M12" s="47"/>
      <c r="N12" s="48"/>
    </row>
    <row r="13" spans="1:14" x14ac:dyDescent="0.25">
      <c r="A13" t="s">
        <v>52</v>
      </c>
      <c r="B13" s="54">
        <v>227448</v>
      </c>
      <c r="C13" s="41">
        <f t="shared" si="0"/>
        <v>216075.59999999998</v>
      </c>
      <c r="D13" s="41">
        <f t="shared" si="1"/>
        <v>11372.400000000001</v>
      </c>
      <c r="E13" s="55"/>
      <c r="F13" s="56"/>
      <c r="G13" s="55"/>
      <c r="H13" s="56"/>
      <c r="I13" s="55"/>
      <c r="J13" s="56"/>
      <c r="K13" s="55"/>
      <c r="L13" s="56"/>
      <c r="M13" s="47"/>
      <c r="N13" s="48"/>
    </row>
    <row r="14" spans="1:14" x14ac:dyDescent="0.25">
      <c r="A14" t="s">
        <v>53</v>
      </c>
      <c r="B14" s="54">
        <v>2752325</v>
      </c>
      <c r="C14" s="41">
        <f t="shared" si="0"/>
        <v>2614708.75</v>
      </c>
      <c r="D14" s="41">
        <f t="shared" si="1"/>
        <v>137616.25</v>
      </c>
      <c r="E14" s="55"/>
      <c r="F14" s="56"/>
      <c r="G14" s="55"/>
      <c r="H14" s="56"/>
      <c r="I14" s="55"/>
      <c r="J14" s="56"/>
      <c r="K14" s="55"/>
      <c r="L14" s="56"/>
      <c r="M14" s="47"/>
      <c r="N14" s="48"/>
    </row>
    <row r="15" spans="1:14" ht="15" x14ac:dyDescent="0.4">
      <c r="A15" t="s">
        <v>54</v>
      </c>
      <c r="B15" s="57">
        <v>1793750</v>
      </c>
      <c r="C15" s="58">
        <f t="shared" si="0"/>
        <v>1704062.5</v>
      </c>
      <c r="D15" s="59">
        <f t="shared" si="1"/>
        <v>89687.5</v>
      </c>
      <c r="E15" s="55"/>
      <c r="F15" s="56"/>
      <c r="G15" s="55"/>
      <c r="H15" s="56"/>
      <c r="I15" s="55"/>
      <c r="J15" s="56"/>
      <c r="K15" s="55"/>
      <c r="L15" s="56"/>
      <c r="M15" s="47"/>
      <c r="N15" s="48"/>
    </row>
    <row r="16" spans="1:14" x14ac:dyDescent="0.25">
      <c r="B16" s="41"/>
      <c r="E16" s="55"/>
      <c r="F16" s="56"/>
      <c r="G16" s="55"/>
      <c r="H16" s="56"/>
      <c r="I16" s="55"/>
      <c r="J16" s="56"/>
      <c r="K16" s="60">
        <f>+E76</f>
        <v>1211666.5447878861</v>
      </c>
      <c r="L16" s="56">
        <f>J17-K16</f>
        <v>1219470.8052121135</v>
      </c>
      <c r="M16" s="61">
        <f>+L16-D17</f>
        <v>902095.15521211352</v>
      </c>
      <c r="N16" s="62">
        <f>+L16-M16</f>
        <v>317375.65000000002</v>
      </c>
    </row>
    <row r="17" spans="1:15" x14ac:dyDescent="0.25">
      <c r="B17" s="42">
        <f>SUM(B10:B15)</f>
        <v>6347513</v>
      </c>
      <c r="C17" s="43">
        <f>SUM(C10:C15)</f>
        <v>6030137.3499999996</v>
      </c>
      <c r="D17" s="43">
        <f>SUM(D10:D15)</f>
        <v>317375.65000000002</v>
      </c>
      <c r="E17" s="60">
        <v>857000</v>
      </c>
      <c r="F17" s="63">
        <f>+C17-E17</f>
        <v>5173137.3499999996</v>
      </c>
      <c r="G17" s="60">
        <v>1314000</v>
      </c>
      <c r="H17" s="63">
        <f>+F17-G17</f>
        <v>3859137.3499999996</v>
      </c>
      <c r="I17" s="60">
        <v>1428000</v>
      </c>
      <c r="J17" s="63">
        <f>+H17-I17</f>
        <v>2431137.3499999996</v>
      </c>
      <c r="K17" s="64">
        <v>1211666.5447878861</v>
      </c>
      <c r="L17" s="63">
        <f>+J17-K17</f>
        <v>1219470.8052121135</v>
      </c>
      <c r="M17" s="65">
        <v>902095.15521211352</v>
      </c>
      <c r="N17" s="66">
        <f>+L17-M17</f>
        <v>317375.65000000002</v>
      </c>
      <c r="O17" s="43"/>
    </row>
    <row r="18" spans="1:15" x14ac:dyDescent="0.25">
      <c r="B18" s="41"/>
      <c r="E18" s="55"/>
      <c r="F18" s="67">
        <f>+F17/$B17</f>
        <v>0.81498649155976521</v>
      </c>
      <c r="G18" s="55"/>
      <c r="H18" s="67">
        <f>+H17/$B17</f>
        <v>0.60797628141919513</v>
      </c>
      <c r="I18" s="55"/>
      <c r="J18" s="67">
        <f>+J17/$B17</f>
        <v>0.38300628135775378</v>
      </c>
      <c r="K18" s="55"/>
      <c r="L18" s="67">
        <f>+L17/$B17</f>
        <v>0.19211789014250361</v>
      </c>
      <c r="M18" s="68"/>
      <c r="N18" s="67">
        <f>+N17/$B17</f>
        <v>0.05</v>
      </c>
    </row>
    <row r="19" spans="1:15" x14ac:dyDescent="0.25">
      <c r="B19" s="41" t="s">
        <v>55</v>
      </c>
      <c r="E19" s="69">
        <f>+C42*E4</f>
        <v>3551640</v>
      </c>
      <c r="F19" s="70">
        <v>0.95</v>
      </c>
      <c r="G19" s="69">
        <f>+E20</f>
        <v>2721390</v>
      </c>
      <c r="H19" s="71">
        <v>0.8</v>
      </c>
      <c r="I19" s="69">
        <f>+G20</f>
        <v>1572878</v>
      </c>
      <c r="J19" s="71">
        <v>0.6</v>
      </c>
      <c r="K19" s="69">
        <f>+I20</f>
        <v>1506022.398974414</v>
      </c>
      <c r="L19" s="71">
        <v>0.38</v>
      </c>
      <c r="M19" s="69">
        <f>+K20</f>
        <v>1126904.1124999998</v>
      </c>
      <c r="N19" s="70">
        <v>0.18</v>
      </c>
    </row>
    <row r="20" spans="1:15" ht="13.8" thickBot="1" x14ac:dyDescent="0.3">
      <c r="B20" s="41" t="s">
        <v>56</v>
      </c>
      <c r="E20" s="72">
        <f>+F42*E4</f>
        <v>2721390</v>
      </c>
      <c r="F20" s="73">
        <v>0.8</v>
      </c>
      <c r="G20" s="72">
        <f>+I42*G4</f>
        <v>1572878</v>
      </c>
      <c r="H20" s="74">
        <v>0.6</v>
      </c>
      <c r="I20" s="72">
        <f>+K42*I4</f>
        <v>1506022.398974414</v>
      </c>
      <c r="J20" s="74">
        <v>0.38</v>
      </c>
      <c r="K20" s="75">
        <f>+L42*K4</f>
        <v>1126904.1124999998</v>
      </c>
      <c r="L20" s="74">
        <v>0.18</v>
      </c>
      <c r="M20" s="72">
        <f>+M42*M4</f>
        <v>1011612.34375</v>
      </c>
      <c r="N20" s="73">
        <v>0.05</v>
      </c>
    </row>
    <row r="21" spans="1:15" x14ac:dyDescent="0.25">
      <c r="B21" s="41"/>
      <c r="E21" s="41"/>
      <c r="F21" s="32"/>
      <c r="G21" s="32"/>
      <c r="H21" s="32"/>
      <c r="I21" s="32"/>
      <c r="J21" s="32"/>
      <c r="K21" s="32"/>
      <c r="L21" s="32"/>
    </row>
    <row r="22" spans="1:15" x14ac:dyDescent="0.25">
      <c r="B22" s="41"/>
      <c r="E22" s="41"/>
      <c r="F22" s="32"/>
      <c r="G22" s="32"/>
      <c r="H22" s="32"/>
      <c r="I22" s="32"/>
      <c r="J22" s="32"/>
      <c r="K22" s="32"/>
      <c r="L22" s="32"/>
    </row>
    <row r="23" spans="1:15" x14ac:dyDescent="0.25">
      <c r="B23" s="40" t="s">
        <v>25</v>
      </c>
      <c r="C23" s="53">
        <v>0.95</v>
      </c>
      <c r="D23" s="53">
        <v>0.9</v>
      </c>
      <c r="E23" s="53">
        <v>0.85</v>
      </c>
      <c r="F23" s="53">
        <v>0.8</v>
      </c>
      <c r="G23" s="76">
        <v>0.75</v>
      </c>
      <c r="H23" s="76">
        <v>0.7</v>
      </c>
      <c r="I23" s="76">
        <v>0.6</v>
      </c>
      <c r="J23" s="77">
        <f>750000/1750000</f>
        <v>0.42857142857142855</v>
      </c>
      <c r="K23" s="76">
        <f>+J18</f>
        <v>0.38300628135775378</v>
      </c>
      <c r="L23" s="76">
        <v>0.18</v>
      </c>
      <c r="M23" s="53">
        <v>0.05</v>
      </c>
    </row>
    <row r="24" spans="1:15" x14ac:dyDescent="0.25">
      <c r="B24" s="40"/>
      <c r="E24" s="41"/>
      <c r="F24" s="41"/>
      <c r="G24" s="41"/>
      <c r="H24" s="41"/>
      <c r="I24" s="41"/>
      <c r="J24" s="41"/>
      <c r="K24" s="41"/>
      <c r="L24" s="41"/>
    </row>
    <row r="25" spans="1:15" x14ac:dyDescent="0.25">
      <c r="A25" t="s">
        <v>49</v>
      </c>
      <c r="B25" s="41">
        <f t="shared" ref="B25:B30" si="2">+B10</f>
        <v>798065</v>
      </c>
      <c r="C25" s="41">
        <f t="shared" ref="C25:M25" si="3">+$B25*C$23</f>
        <v>758161.75</v>
      </c>
      <c r="D25" s="41">
        <f t="shared" si="3"/>
        <v>718258.5</v>
      </c>
      <c r="E25" s="41">
        <f t="shared" si="3"/>
        <v>678355.25</v>
      </c>
      <c r="F25" s="41">
        <f t="shared" si="3"/>
        <v>638452</v>
      </c>
      <c r="G25" s="41">
        <f t="shared" si="3"/>
        <v>598548.75</v>
      </c>
      <c r="H25" s="41">
        <f t="shared" si="3"/>
        <v>558645.5</v>
      </c>
      <c r="I25" s="41">
        <f t="shared" si="3"/>
        <v>478839</v>
      </c>
      <c r="J25" s="41">
        <f t="shared" si="3"/>
        <v>342027.8571428571</v>
      </c>
      <c r="K25" s="41">
        <f t="shared" si="3"/>
        <v>305663.90793177579</v>
      </c>
      <c r="L25" s="41">
        <f t="shared" si="3"/>
        <v>143651.69999999998</v>
      </c>
      <c r="M25" s="41">
        <f t="shared" si="3"/>
        <v>39903.25</v>
      </c>
    </row>
    <row r="26" spans="1:15" x14ac:dyDescent="0.25">
      <c r="A26" t="s">
        <v>50</v>
      </c>
      <c r="B26" s="41">
        <f t="shared" si="2"/>
        <v>313035</v>
      </c>
      <c r="C26" s="41">
        <f>+B26*C$8</f>
        <v>297383.25</v>
      </c>
      <c r="D26" s="41">
        <f t="shared" ref="D26:M30" si="4">+$B26*D$23</f>
        <v>281731.5</v>
      </c>
      <c r="E26" s="41">
        <f t="shared" si="4"/>
        <v>266079.75</v>
      </c>
      <c r="F26" s="41">
        <f t="shared" si="4"/>
        <v>250428</v>
      </c>
      <c r="G26" s="41">
        <f t="shared" si="4"/>
        <v>234776.25</v>
      </c>
      <c r="H26" s="41">
        <f t="shared" si="4"/>
        <v>219124.5</v>
      </c>
      <c r="I26" s="41">
        <f t="shared" si="4"/>
        <v>187821</v>
      </c>
      <c r="J26" s="41">
        <f t="shared" si="4"/>
        <v>134157.85714285713</v>
      </c>
      <c r="K26" s="41">
        <f t="shared" si="4"/>
        <v>119894.37128482445</v>
      </c>
      <c r="L26" s="41">
        <f t="shared" si="4"/>
        <v>56346.299999999996</v>
      </c>
      <c r="M26" s="41">
        <f t="shared" si="4"/>
        <v>15651.75</v>
      </c>
    </row>
    <row r="27" spans="1:15" x14ac:dyDescent="0.25">
      <c r="A27" t="s">
        <v>51</v>
      </c>
      <c r="B27" s="41">
        <f t="shared" si="2"/>
        <v>462890</v>
      </c>
      <c r="C27" s="41">
        <f>+B27*C$8</f>
        <v>439745.5</v>
      </c>
      <c r="D27" s="41">
        <f t="shared" si="4"/>
        <v>416601</v>
      </c>
      <c r="E27" s="41">
        <f t="shared" si="4"/>
        <v>393456.5</v>
      </c>
      <c r="F27" s="41">
        <f t="shared" si="4"/>
        <v>370312</v>
      </c>
      <c r="G27" s="41">
        <f t="shared" si="4"/>
        <v>347167.5</v>
      </c>
      <c r="H27" s="41">
        <f t="shared" si="4"/>
        <v>324023</v>
      </c>
      <c r="I27" s="41">
        <f t="shared" si="4"/>
        <v>277734</v>
      </c>
      <c r="J27" s="41">
        <f t="shared" si="4"/>
        <v>198381.42857142855</v>
      </c>
      <c r="K27" s="41">
        <f t="shared" si="4"/>
        <v>177289.77757769063</v>
      </c>
      <c r="L27" s="41">
        <f t="shared" si="4"/>
        <v>83320.2</v>
      </c>
      <c r="M27" s="41">
        <f t="shared" si="4"/>
        <v>23144.5</v>
      </c>
    </row>
    <row r="28" spans="1:15" x14ac:dyDescent="0.25">
      <c r="A28" t="s">
        <v>52</v>
      </c>
      <c r="B28" s="41">
        <f t="shared" si="2"/>
        <v>227448</v>
      </c>
      <c r="C28" s="41">
        <f>+B28*C$8</f>
        <v>216075.59999999998</v>
      </c>
      <c r="D28" s="41">
        <f t="shared" si="4"/>
        <v>204703.2</v>
      </c>
      <c r="E28" s="41">
        <f t="shared" si="4"/>
        <v>193330.8</v>
      </c>
      <c r="F28" s="41">
        <f t="shared" si="4"/>
        <v>181958.40000000002</v>
      </c>
      <c r="G28" s="41">
        <f t="shared" si="4"/>
        <v>170586</v>
      </c>
      <c r="H28" s="41">
        <f t="shared" si="4"/>
        <v>159213.59999999998</v>
      </c>
      <c r="I28" s="41">
        <f t="shared" si="4"/>
        <v>136468.79999999999</v>
      </c>
      <c r="J28" s="41">
        <f t="shared" si="4"/>
        <v>97477.714285714275</v>
      </c>
      <c r="K28" s="41">
        <f t="shared" si="4"/>
        <v>87114.012682258384</v>
      </c>
      <c r="L28" s="41">
        <f t="shared" si="4"/>
        <v>40940.639999999999</v>
      </c>
      <c r="M28" s="41">
        <f t="shared" si="4"/>
        <v>11372.400000000001</v>
      </c>
    </row>
    <row r="29" spans="1:15" x14ac:dyDescent="0.25">
      <c r="A29" t="s">
        <v>53</v>
      </c>
      <c r="B29" s="41">
        <f t="shared" si="2"/>
        <v>2752325</v>
      </c>
      <c r="C29" s="41">
        <f>+B29*C$8</f>
        <v>2614708.75</v>
      </c>
      <c r="D29" s="41">
        <f t="shared" si="4"/>
        <v>2477092.5</v>
      </c>
      <c r="E29" s="41">
        <f t="shared" si="4"/>
        <v>2339476.25</v>
      </c>
      <c r="F29" s="41">
        <f t="shared" si="4"/>
        <v>2201860</v>
      </c>
      <c r="G29" s="41">
        <f t="shared" si="4"/>
        <v>2064243.75</v>
      </c>
      <c r="H29" s="41">
        <f t="shared" si="4"/>
        <v>1926627.4999999998</v>
      </c>
      <c r="I29" s="41">
        <f t="shared" si="4"/>
        <v>1651395</v>
      </c>
      <c r="J29" s="41">
        <f t="shared" si="4"/>
        <v>1179567.857142857</v>
      </c>
      <c r="K29" s="41">
        <f t="shared" si="4"/>
        <v>1054157.7633379796</v>
      </c>
      <c r="L29" s="41">
        <f t="shared" si="4"/>
        <v>495418.5</v>
      </c>
      <c r="M29" s="41">
        <f t="shared" si="4"/>
        <v>137616.25</v>
      </c>
    </row>
    <row r="30" spans="1:15" x14ac:dyDescent="0.25">
      <c r="A30" t="s">
        <v>54</v>
      </c>
      <c r="B30" s="41">
        <f t="shared" si="2"/>
        <v>1793750</v>
      </c>
      <c r="C30" s="58">
        <f>+B30*C$8</f>
        <v>1704062.5</v>
      </c>
      <c r="D30" s="58">
        <f t="shared" si="4"/>
        <v>1614375</v>
      </c>
      <c r="E30" s="58">
        <f t="shared" si="4"/>
        <v>1524687.5</v>
      </c>
      <c r="F30" s="58">
        <f t="shared" si="4"/>
        <v>1435000</v>
      </c>
      <c r="G30" s="58">
        <f t="shared" si="4"/>
        <v>1345312.5</v>
      </c>
      <c r="H30" s="58">
        <f t="shared" si="4"/>
        <v>1255625</v>
      </c>
      <c r="I30" s="58">
        <f t="shared" si="4"/>
        <v>1076250</v>
      </c>
      <c r="J30" s="58">
        <f t="shared" si="4"/>
        <v>768750</v>
      </c>
      <c r="K30" s="58">
        <f t="shared" si="4"/>
        <v>687017.51718547079</v>
      </c>
      <c r="L30" s="58">
        <f t="shared" si="4"/>
        <v>322875</v>
      </c>
      <c r="M30" s="58">
        <f t="shared" si="4"/>
        <v>89687.5</v>
      </c>
    </row>
    <row r="31" spans="1:15" x14ac:dyDescent="0.25">
      <c r="B31" s="41"/>
    </row>
    <row r="32" spans="1:15" x14ac:dyDescent="0.25">
      <c r="B32" s="42">
        <f>SUM(B25:B31)</f>
        <v>6347513</v>
      </c>
      <c r="C32" s="43">
        <f t="shared" ref="C32:M32" si="5">SUM(C25:C30)</f>
        <v>6030137.3499999996</v>
      </c>
      <c r="D32" s="43">
        <f t="shared" si="5"/>
        <v>5712761.7000000002</v>
      </c>
      <c r="E32" s="43">
        <f t="shared" si="5"/>
        <v>5395386.0499999998</v>
      </c>
      <c r="F32" s="43">
        <f t="shared" si="5"/>
        <v>5078010.4000000004</v>
      </c>
      <c r="G32" s="43">
        <f t="shared" si="5"/>
        <v>4760634.75</v>
      </c>
      <c r="H32" s="43">
        <f t="shared" si="5"/>
        <v>4443259.0999999996</v>
      </c>
      <c r="I32" s="43">
        <f t="shared" si="5"/>
        <v>3808507.8</v>
      </c>
      <c r="J32" s="43">
        <f t="shared" si="5"/>
        <v>2720362.7142857141</v>
      </c>
      <c r="K32" s="43">
        <f t="shared" si="5"/>
        <v>2431137.3499999996</v>
      </c>
      <c r="L32" s="43">
        <f t="shared" si="5"/>
        <v>1142552.3399999999</v>
      </c>
      <c r="M32" s="43">
        <f t="shared" si="5"/>
        <v>317375.65000000002</v>
      </c>
    </row>
    <row r="33" spans="1:14" x14ac:dyDescent="0.25">
      <c r="B33" s="41"/>
      <c r="E33" s="41"/>
      <c r="F33" s="41"/>
      <c r="G33" s="42"/>
      <c r="H33" s="42"/>
      <c r="I33" s="42"/>
      <c r="J33" s="42"/>
      <c r="K33" s="42"/>
      <c r="L33" s="42"/>
      <c r="M33" s="42"/>
      <c r="N33" s="42"/>
    </row>
    <row r="34" spans="1:14" x14ac:dyDescent="0.25">
      <c r="B34" s="40" t="s">
        <v>57</v>
      </c>
      <c r="C34" s="78">
        <f t="shared" ref="C34:M34" si="6">+C23</f>
        <v>0.95</v>
      </c>
      <c r="D34" s="78">
        <f t="shared" si="6"/>
        <v>0.9</v>
      </c>
      <c r="E34" s="78">
        <f t="shared" si="6"/>
        <v>0.85</v>
      </c>
      <c r="F34" s="78">
        <f t="shared" si="6"/>
        <v>0.8</v>
      </c>
      <c r="G34" s="78">
        <f t="shared" si="6"/>
        <v>0.75</v>
      </c>
      <c r="H34" s="78">
        <f t="shared" si="6"/>
        <v>0.7</v>
      </c>
      <c r="I34" s="78">
        <f t="shared" si="6"/>
        <v>0.6</v>
      </c>
      <c r="J34" s="78">
        <f t="shared" si="6"/>
        <v>0.42857142857142855</v>
      </c>
      <c r="K34" s="78">
        <f t="shared" si="6"/>
        <v>0.38300628135775378</v>
      </c>
      <c r="L34" s="78">
        <f t="shared" si="6"/>
        <v>0.18</v>
      </c>
      <c r="M34" s="78">
        <f t="shared" si="6"/>
        <v>0.05</v>
      </c>
    </row>
    <row r="35" spans="1:14" x14ac:dyDescent="0.25">
      <c r="A35" t="s">
        <v>49</v>
      </c>
      <c r="B35" s="54">
        <f>20000*1.025</f>
        <v>20500</v>
      </c>
      <c r="C35" s="54">
        <f>25625</f>
        <v>25625</v>
      </c>
      <c r="D35" s="54">
        <f>20500</f>
        <v>20500</v>
      </c>
      <c r="E35" s="54">
        <f>20500</f>
        <v>20500</v>
      </c>
      <c r="F35" s="54">
        <f>20500</f>
        <v>20500</v>
      </c>
      <c r="G35" s="54">
        <f>15375</f>
        <v>15375</v>
      </c>
      <c r="H35" s="54">
        <f>10250</f>
        <v>10250</v>
      </c>
      <c r="I35" s="54">
        <f>10250</f>
        <v>10250</v>
      </c>
      <c r="J35" s="54">
        <f>10250</f>
        <v>10250</v>
      </c>
      <c r="K35" s="54">
        <f>10250</f>
        <v>10250</v>
      </c>
      <c r="L35" s="54">
        <f>10250</f>
        <v>10250</v>
      </c>
      <c r="M35" s="54">
        <f>10250</f>
        <v>10250</v>
      </c>
    </row>
    <row r="36" spans="1:14" x14ac:dyDescent="0.25">
      <c r="A36" t="s">
        <v>50</v>
      </c>
      <c r="B36" s="54">
        <f>4000*1.025</f>
        <v>4100</v>
      </c>
      <c r="C36" s="54">
        <f>4613</f>
        <v>4613</v>
      </c>
      <c r="D36" s="54">
        <f>4100</f>
        <v>4100</v>
      </c>
      <c r="E36" s="54">
        <f>4100</f>
        <v>4100</v>
      </c>
      <c r="F36" s="54">
        <v>3588</v>
      </c>
      <c r="G36" s="54">
        <v>3588</v>
      </c>
      <c r="H36" s="54">
        <v>3075</v>
      </c>
      <c r="I36" s="54">
        <v>2050</v>
      </c>
      <c r="J36" s="54">
        <v>2050</v>
      </c>
      <c r="K36" s="54">
        <v>2050</v>
      </c>
      <c r="L36" s="54">
        <v>2050</v>
      </c>
      <c r="M36" s="54">
        <v>2050</v>
      </c>
    </row>
    <row r="37" spans="1:14" x14ac:dyDescent="0.25">
      <c r="A37" t="s">
        <v>51</v>
      </c>
      <c r="B37" s="54">
        <f>18000*1.025</f>
        <v>18450</v>
      </c>
      <c r="C37" s="54">
        <v>16400</v>
      </c>
      <c r="D37" s="54">
        <v>13000</v>
      </c>
      <c r="E37" s="54">
        <v>13000</v>
      </c>
      <c r="F37" s="54">
        <v>10250</v>
      </c>
      <c r="G37" s="54">
        <v>10250</v>
      </c>
      <c r="H37" s="54">
        <v>5125</v>
      </c>
      <c r="I37" s="54">
        <v>5125</v>
      </c>
      <c r="J37" s="54">
        <v>5125</v>
      </c>
      <c r="K37" s="54">
        <v>5125</v>
      </c>
      <c r="L37" s="54">
        <v>5125</v>
      </c>
      <c r="M37" s="54">
        <v>5125</v>
      </c>
    </row>
    <row r="38" spans="1:14" x14ac:dyDescent="0.25">
      <c r="A38" t="s">
        <v>52</v>
      </c>
      <c r="B38" s="54">
        <f>10000*1.025</f>
        <v>10250</v>
      </c>
      <c r="C38" s="54">
        <v>10250</v>
      </c>
      <c r="D38" s="54">
        <v>8200</v>
      </c>
      <c r="E38" s="54">
        <v>5125</v>
      </c>
      <c r="F38" s="54">
        <v>5125</v>
      </c>
      <c r="G38" s="54">
        <v>3075</v>
      </c>
      <c r="H38" s="54">
        <v>2563</v>
      </c>
      <c r="I38" s="54">
        <v>2563</v>
      </c>
      <c r="J38" s="54">
        <v>2563</v>
      </c>
      <c r="K38" s="54">
        <v>2563</v>
      </c>
      <c r="L38" s="54">
        <v>2563</v>
      </c>
      <c r="M38" s="54">
        <v>2563</v>
      </c>
    </row>
    <row r="39" spans="1:14" x14ac:dyDescent="0.25">
      <c r="A39" t="s">
        <v>53</v>
      </c>
      <c r="B39" s="54">
        <f>40000*1.025</f>
        <v>41000</v>
      </c>
      <c r="C39" s="54">
        <v>41000</v>
      </c>
      <c r="D39" s="54">
        <v>35875</v>
      </c>
      <c r="E39" s="54">
        <v>35875</v>
      </c>
      <c r="F39" s="54">
        <v>30750</v>
      </c>
      <c r="G39" s="54">
        <v>30750</v>
      </c>
      <c r="H39" s="54">
        <v>20500</v>
      </c>
      <c r="I39" s="54">
        <v>10250</v>
      </c>
      <c r="J39" s="54">
        <v>10250</v>
      </c>
      <c r="K39" s="54">
        <v>10250</v>
      </c>
      <c r="L39" s="54">
        <v>10250</v>
      </c>
      <c r="M39" s="54">
        <v>10250</v>
      </c>
    </row>
    <row r="40" spans="1:14" x14ac:dyDescent="0.25">
      <c r="A40" t="s">
        <v>54</v>
      </c>
      <c r="B40" s="79">
        <f t="shared" ref="B40:I40" si="7">20000*1.025</f>
        <v>20500</v>
      </c>
      <c r="C40" s="79">
        <f t="shared" si="7"/>
        <v>20500</v>
      </c>
      <c r="D40" s="79">
        <f t="shared" si="7"/>
        <v>20500</v>
      </c>
      <c r="E40" s="79">
        <f t="shared" si="7"/>
        <v>20500</v>
      </c>
      <c r="F40" s="79">
        <f t="shared" si="7"/>
        <v>20500</v>
      </c>
      <c r="G40" s="79">
        <f t="shared" si="7"/>
        <v>20500</v>
      </c>
      <c r="H40" s="79">
        <f t="shared" si="7"/>
        <v>20500</v>
      </c>
      <c r="I40" s="79">
        <f t="shared" si="7"/>
        <v>20500</v>
      </c>
      <c r="J40" s="80">
        <f>0.0267*1750000*1.025*J34</f>
        <v>20525.624999999996</v>
      </c>
      <c r="K40" s="80">
        <f>0.0267*1750000*1.025*K34</f>
        <v>18343.367708852067</v>
      </c>
      <c r="L40" s="80">
        <f>0.0267*1750000*1.025*L34</f>
        <v>8620.7624999999989</v>
      </c>
      <c r="M40" s="80">
        <f>0.0267*1750000*1.025*M34</f>
        <v>2394.6562499999995</v>
      </c>
    </row>
    <row r="41" spans="1:14" x14ac:dyDescent="0.25">
      <c r="B41" s="41"/>
      <c r="D41" s="41"/>
      <c r="E41" s="41"/>
      <c r="F41" s="41"/>
      <c r="G41" s="41"/>
      <c r="H41" s="41"/>
      <c r="I41" s="41"/>
    </row>
    <row r="42" spans="1:14" x14ac:dyDescent="0.25">
      <c r="A42" s="40" t="s">
        <v>58</v>
      </c>
      <c r="B42" s="43">
        <f>SUM(B35:B41)</f>
        <v>114800</v>
      </c>
      <c r="C42" s="41">
        <f t="shared" ref="C42:M42" si="8">SUM(C35:C40)</f>
        <v>118388</v>
      </c>
      <c r="D42" s="41">
        <f t="shared" si="8"/>
        <v>102175</v>
      </c>
      <c r="E42" s="41">
        <f t="shared" si="8"/>
        <v>99100</v>
      </c>
      <c r="F42" s="41">
        <f t="shared" si="8"/>
        <v>90713</v>
      </c>
      <c r="G42" s="41">
        <f t="shared" si="8"/>
        <v>83538</v>
      </c>
      <c r="H42" s="41">
        <f t="shared" si="8"/>
        <v>62013</v>
      </c>
      <c r="I42" s="41">
        <f t="shared" si="8"/>
        <v>50738</v>
      </c>
      <c r="J42" s="41">
        <f t="shared" si="8"/>
        <v>50763.625</v>
      </c>
      <c r="K42" s="41">
        <f t="shared" si="8"/>
        <v>48581.367708852064</v>
      </c>
      <c r="L42" s="41">
        <f t="shared" si="8"/>
        <v>38858.762499999997</v>
      </c>
      <c r="M42" s="41">
        <f t="shared" si="8"/>
        <v>32632.65625</v>
      </c>
    </row>
    <row r="43" spans="1:14" x14ac:dyDescent="0.25">
      <c r="M43" s="43"/>
    </row>
    <row r="45" spans="1:14" ht="13.8" thickBot="1" x14ac:dyDescent="0.3">
      <c r="A45" t="s">
        <v>59</v>
      </c>
      <c r="I45" s="40" t="s">
        <v>60</v>
      </c>
      <c r="J45" s="40" t="s">
        <v>60</v>
      </c>
    </row>
    <row r="46" spans="1:14" x14ac:dyDescent="0.25">
      <c r="B46" s="44" t="s">
        <v>61</v>
      </c>
      <c r="C46" s="81" t="s">
        <v>62</v>
      </c>
      <c r="D46" s="46"/>
      <c r="E46" s="44" t="s">
        <v>57</v>
      </c>
      <c r="F46" s="82"/>
      <c r="G46" s="46"/>
      <c r="I46" s="40" t="s">
        <v>57</v>
      </c>
      <c r="J46" s="40" t="s">
        <v>62</v>
      </c>
    </row>
    <row r="47" spans="1:14" ht="13.8" thickBot="1" x14ac:dyDescent="0.3">
      <c r="A47" t="s">
        <v>63</v>
      </c>
      <c r="B47" s="83"/>
      <c r="C47" s="84">
        <f>+J17</f>
        <v>2431137.3499999996</v>
      </c>
      <c r="D47" s="85">
        <f>+J18</f>
        <v>0.38300628135775378</v>
      </c>
      <c r="E47" s="86"/>
      <c r="F47" s="84">
        <f>+J17</f>
        <v>2431137.3499999996</v>
      </c>
      <c r="G47" s="87">
        <f>+F47/B17</f>
        <v>0.38300628135775378</v>
      </c>
      <c r="J47" s="88">
        <f>1750000*1.025*D47</f>
        <v>687017.51718547079</v>
      </c>
      <c r="K47" s="89">
        <f>+J18</f>
        <v>0.38300628135775378</v>
      </c>
    </row>
    <row r="48" spans="1:14" x14ac:dyDescent="0.25">
      <c r="A48" s="40">
        <v>1</v>
      </c>
      <c r="B48" s="55">
        <f t="shared" ref="B48:B75" si="9">+K$17/28</f>
        <v>43273.805170995933</v>
      </c>
      <c r="C48" s="31">
        <f t="shared" ref="C48:C75" si="10">+C47-B48</f>
        <v>2387863.5448290035</v>
      </c>
      <c r="D48" s="90">
        <f>+C48/$B$17</f>
        <v>0.37618883881435194</v>
      </c>
      <c r="E48" s="68">
        <f t="shared" ref="E48:E75" si="11">SUM(K$35:K$39)+I48</f>
        <v>48581.367708852071</v>
      </c>
      <c r="F48" s="31">
        <f t="shared" ref="F48:F75" si="12">+F47-E48</f>
        <v>2382555.9822911476</v>
      </c>
      <c r="G48" s="90">
        <f t="shared" ref="G48:G75" si="13">+F48/$B$17</f>
        <v>0.37535267470758193</v>
      </c>
      <c r="I48" s="43">
        <f t="shared" ref="I48:I75" si="14">0.0267*J47</f>
        <v>18343.367708852071</v>
      </c>
      <c r="J48" s="43">
        <f t="shared" ref="J48:J75" si="15">+J47-I48</f>
        <v>668674.14947661874</v>
      </c>
      <c r="K48" s="89">
        <f t="shared" ref="K48:K75" si="16">+J48/(1750000*1.025)</f>
        <v>0.37278001364550178</v>
      </c>
    </row>
    <row r="49" spans="1:11" x14ac:dyDescent="0.25">
      <c r="A49" s="40">
        <v>2</v>
      </c>
      <c r="B49" s="55">
        <f t="shared" si="9"/>
        <v>43273.805170995933</v>
      </c>
      <c r="C49" s="31">
        <f t="shared" si="10"/>
        <v>2344589.7396580074</v>
      </c>
      <c r="D49" s="90">
        <f t="shared" ref="D49:D75" si="17">+C49/B$17</f>
        <v>0.36937139627095011</v>
      </c>
      <c r="E49" s="68">
        <f t="shared" si="11"/>
        <v>48091.599791025721</v>
      </c>
      <c r="F49" s="31">
        <f t="shared" si="12"/>
        <v>2334464.3825001218</v>
      </c>
      <c r="G49" s="90">
        <f t="shared" si="13"/>
        <v>0.36777622708297281</v>
      </c>
      <c r="I49" s="43">
        <f t="shared" si="14"/>
        <v>17853.599791025721</v>
      </c>
      <c r="J49" s="43">
        <f t="shared" si="15"/>
        <v>650820.549685593</v>
      </c>
      <c r="K49" s="89">
        <f t="shared" si="16"/>
        <v>0.36282678728116685</v>
      </c>
    </row>
    <row r="50" spans="1:11" x14ac:dyDescent="0.25">
      <c r="A50" s="40">
        <v>3</v>
      </c>
      <c r="B50" s="55">
        <f t="shared" si="9"/>
        <v>43273.805170995933</v>
      </c>
      <c r="C50" s="31">
        <f t="shared" si="10"/>
        <v>2301315.9344870113</v>
      </c>
      <c r="D50" s="90">
        <f t="shared" si="17"/>
        <v>0.36255395372754828</v>
      </c>
      <c r="E50" s="68">
        <f t="shared" si="11"/>
        <v>47614.908676605337</v>
      </c>
      <c r="F50" s="31">
        <f t="shared" si="12"/>
        <v>2286849.4738235166</v>
      </c>
      <c r="G50" s="90">
        <f t="shared" si="13"/>
        <v>0.3602748783379438</v>
      </c>
      <c r="I50" s="43">
        <f t="shared" si="14"/>
        <v>17376.908676605333</v>
      </c>
      <c r="J50" s="43">
        <f t="shared" si="15"/>
        <v>633443.64100898767</v>
      </c>
      <c r="K50" s="89">
        <f t="shared" si="16"/>
        <v>0.35313931206075971</v>
      </c>
    </row>
    <row r="51" spans="1:11" x14ac:dyDescent="0.25">
      <c r="A51" s="40">
        <v>4</v>
      </c>
      <c r="B51" s="55">
        <f t="shared" si="9"/>
        <v>43273.805170995933</v>
      </c>
      <c r="C51" s="31">
        <f t="shared" si="10"/>
        <v>2258042.1293160152</v>
      </c>
      <c r="D51" s="90">
        <f t="shared" si="17"/>
        <v>0.35573651118414645</v>
      </c>
      <c r="E51" s="68">
        <f t="shared" si="11"/>
        <v>47150.945214939973</v>
      </c>
      <c r="F51" s="31">
        <f t="shared" si="12"/>
        <v>2239698.5286085769</v>
      </c>
      <c r="G51" s="90">
        <f t="shared" si="13"/>
        <v>0.35284662333241018</v>
      </c>
      <c r="I51" s="43">
        <f t="shared" si="14"/>
        <v>16912.945214939973</v>
      </c>
      <c r="J51" s="43">
        <f t="shared" si="15"/>
        <v>616530.69579404767</v>
      </c>
      <c r="K51" s="89">
        <f t="shared" si="16"/>
        <v>0.34371049242873741</v>
      </c>
    </row>
    <row r="52" spans="1:11" x14ac:dyDescent="0.25">
      <c r="A52" s="40">
        <v>5</v>
      </c>
      <c r="B52" s="55">
        <f t="shared" si="9"/>
        <v>43273.805170995933</v>
      </c>
      <c r="C52" s="31">
        <f t="shared" si="10"/>
        <v>2214768.3241450191</v>
      </c>
      <c r="D52" s="90">
        <f t="shared" si="17"/>
        <v>0.34891906864074468</v>
      </c>
      <c r="E52" s="68">
        <f t="shared" si="11"/>
        <v>46699.369577701073</v>
      </c>
      <c r="F52" s="31">
        <f t="shared" si="12"/>
        <v>2192999.1590308757</v>
      </c>
      <c r="G52" s="90">
        <f t="shared" si="13"/>
        <v>0.34548951046352733</v>
      </c>
      <c r="I52" s="43">
        <f t="shared" si="14"/>
        <v>16461.369577701073</v>
      </c>
      <c r="J52" s="43">
        <f t="shared" si="15"/>
        <v>600069.32621634658</v>
      </c>
      <c r="K52" s="89">
        <f t="shared" si="16"/>
        <v>0.33453342228089011</v>
      </c>
    </row>
    <row r="53" spans="1:11" x14ac:dyDescent="0.25">
      <c r="A53" s="40">
        <v>6</v>
      </c>
      <c r="B53" s="55">
        <f t="shared" si="9"/>
        <v>43273.805170995933</v>
      </c>
      <c r="C53" s="31">
        <f t="shared" si="10"/>
        <v>2171494.5189740229</v>
      </c>
      <c r="D53" s="90">
        <f t="shared" si="17"/>
        <v>0.34210162609734285</v>
      </c>
      <c r="E53" s="68">
        <f t="shared" si="11"/>
        <v>46259.851009976453</v>
      </c>
      <c r="F53" s="31">
        <f t="shared" si="12"/>
        <v>2146739.3080208991</v>
      </c>
      <c r="G53" s="90">
        <f t="shared" si="13"/>
        <v>0.33820164023624671</v>
      </c>
      <c r="I53" s="43">
        <f t="shared" si="14"/>
        <v>16021.851009976455</v>
      </c>
      <c r="J53" s="43">
        <f t="shared" si="15"/>
        <v>584047.47520637012</v>
      </c>
      <c r="K53" s="89">
        <f t="shared" si="16"/>
        <v>0.32560137990599036</v>
      </c>
    </row>
    <row r="54" spans="1:11" x14ac:dyDescent="0.25">
      <c r="A54" s="40">
        <v>7</v>
      </c>
      <c r="B54" s="55">
        <f t="shared" si="9"/>
        <v>43273.805170995933</v>
      </c>
      <c r="C54" s="31">
        <f t="shared" si="10"/>
        <v>2128220.7138030268</v>
      </c>
      <c r="D54" s="90">
        <f t="shared" si="17"/>
        <v>0.33528418355394102</v>
      </c>
      <c r="E54" s="68">
        <f t="shared" si="11"/>
        <v>45832.067588010083</v>
      </c>
      <c r="F54" s="31">
        <f t="shared" si="12"/>
        <v>2100907.2404328892</v>
      </c>
      <c r="G54" s="90">
        <f t="shared" si="13"/>
        <v>0.33098116387203763</v>
      </c>
      <c r="I54" s="43">
        <f t="shared" si="14"/>
        <v>15594.067588010083</v>
      </c>
      <c r="J54" s="43">
        <f t="shared" si="15"/>
        <v>568453.40761836001</v>
      </c>
      <c r="K54" s="89">
        <f t="shared" si="16"/>
        <v>0.31690782306250037</v>
      </c>
    </row>
    <row r="55" spans="1:11" x14ac:dyDescent="0.25">
      <c r="A55" s="40">
        <v>8</v>
      </c>
      <c r="B55" s="55">
        <f t="shared" si="9"/>
        <v>43273.805170995933</v>
      </c>
      <c r="C55" s="31">
        <f t="shared" si="10"/>
        <v>2084946.9086320309</v>
      </c>
      <c r="D55" s="90">
        <f t="shared" si="17"/>
        <v>0.32846674101053924</v>
      </c>
      <c r="E55" s="68">
        <f t="shared" si="11"/>
        <v>45415.705983410211</v>
      </c>
      <c r="F55" s="31">
        <f t="shared" si="12"/>
        <v>2055491.5344494791</v>
      </c>
      <c r="G55" s="90">
        <f t="shared" si="13"/>
        <v>0.32382628195475599</v>
      </c>
      <c r="I55" s="43">
        <f t="shared" si="14"/>
        <v>15177.705983410213</v>
      </c>
      <c r="J55" s="43">
        <f t="shared" si="15"/>
        <v>553275.70163494977</v>
      </c>
      <c r="K55" s="89">
        <f t="shared" si="16"/>
        <v>0.30844638418673159</v>
      </c>
    </row>
    <row r="56" spans="1:11" x14ac:dyDescent="0.25">
      <c r="A56" s="40">
        <v>9</v>
      </c>
      <c r="B56" s="55">
        <f t="shared" si="9"/>
        <v>43273.805170995933</v>
      </c>
      <c r="C56" s="31">
        <f t="shared" si="10"/>
        <v>2041673.1034610351</v>
      </c>
      <c r="D56" s="90">
        <f t="shared" si="17"/>
        <v>0.32164929846713747</v>
      </c>
      <c r="E56" s="68">
        <f t="shared" si="11"/>
        <v>45010.461233653157</v>
      </c>
      <c r="F56" s="31">
        <f t="shared" si="12"/>
        <v>2010481.0732158259</v>
      </c>
      <c r="G56" s="90">
        <f t="shared" si="13"/>
        <v>0.31673524311266882</v>
      </c>
      <c r="I56" s="43">
        <f t="shared" si="14"/>
        <v>14772.461233653159</v>
      </c>
      <c r="J56" s="43">
        <f t="shared" si="15"/>
        <v>538503.24040129664</v>
      </c>
      <c r="K56" s="89">
        <f t="shared" si="16"/>
        <v>0.3002108657289459</v>
      </c>
    </row>
    <row r="57" spans="1:11" x14ac:dyDescent="0.25">
      <c r="A57" s="40">
        <v>10</v>
      </c>
      <c r="B57" s="55">
        <f t="shared" si="9"/>
        <v>43273.805170995933</v>
      </c>
      <c r="C57" s="31">
        <f t="shared" si="10"/>
        <v>1998399.2982900392</v>
      </c>
      <c r="D57" s="90">
        <f t="shared" si="17"/>
        <v>0.31483185592373569</v>
      </c>
      <c r="E57" s="68">
        <f t="shared" si="11"/>
        <v>44616.036518714624</v>
      </c>
      <c r="F57" s="31">
        <f t="shared" si="12"/>
        <v>1965865.0366971113</v>
      </c>
      <c r="G57" s="90">
        <f t="shared" si="13"/>
        <v>0.30970634273566849</v>
      </c>
      <c r="I57" s="43">
        <f t="shared" si="14"/>
        <v>14378.036518714622</v>
      </c>
      <c r="J57" s="43">
        <f t="shared" si="15"/>
        <v>524125.20388258202</v>
      </c>
      <c r="K57" s="89">
        <f t="shared" si="16"/>
        <v>0.29219523561398303</v>
      </c>
    </row>
    <row r="58" spans="1:11" x14ac:dyDescent="0.25">
      <c r="A58" s="40">
        <v>11</v>
      </c>
      <c r="B58" s="55">
        <f t="shared" si="9"/>
        <v>43273.805170995933</v>
      </c>
      <c r="C58" s="31">
        <f t="shared" si="10"/>
        <v>1955125.4931190433</v>
      </c>
      <c r="D58" s="90">
        <f t="shared" si="17"/>
        <v>0.30801441338033386</v>
      </c>
      <c r="E58" s="68">
        <f t="shared" si="11"/>
        <v>44232.142943664941</v>
      </c>
      <c r="F58" s="31">
        <f t="shared" si="12"/>
        <v>1921632.8937534464</v>
      </c>
      <c r="G58" s="90">
        <f t="shared" si="13"/>
        <v>0.30273792172673714</v>
      </c>
      <c r="I58" s="43">
        <f t="shared" si="14"/>
        <v>13994.142943664941</v>
      </c>
      <c r="J58" s="43">
        <f t="shared" si="15"/>
        <v>510131.0609389171</v>
      </c>
      <c r="K58" s="89">
        <f t="shared" si="16"/>
        <v>0.28439362282308972</v>
      </c>
    </row>
    <row r="59" spans="1:11" x14ac:dyDescent="0.25">
      <c r="A59" s="40">
        <v>12</v>
      </c>
      <c r="B59" s="55">
        <f t="shared" si="9"/>
        <v>43273.805170995933</v>
      </c>
      <c r="C59" s="31">
        <f t="shared" si="10"/>
        <v>1911851.6879480474</v>
      </c>
      <c r="D59" s="90">
        <f t="shared" si="17"/>
        <v>0.30119697083693209</v>
      </c>
      <c r="E59" s="68">
        <f t="shared" si="11"/>
        <v>43858.49932706909</v>
      </c>
      <c r="F59" s="31">
        <f t="shared" si="12"/>
        <v>1877774.3944263773</v>
      </c>
      <c r="G59" s="90">
        <f t="shared" si="13"/>
        <v>0.29582836528674733</v>
      </c>
      <c r="I59" s="43">
        <f t="shared" si="14"/>
        <v>13620.499327069087</v>
      </c>
      <c r="J59" s="43">
        <f t="shared" si="15"/>
        <v>496510.56161184801</v>
      </c>
      <c r="K59" s="89">
        <f t="shared" si="16"/>
        <v>0.27680031309371322</v>
      </c>
    </row>
    <row r="60" spans="1:11" x14ac:dyDescent="0.25">
      <c r="A60" s="40">
        <v>13</v>
      </c>
      <c r="B60" s="55">
        <f t="shared" si="9"/>
        <v>43273.805170995933</v>
      </c>
      <c r="C60" s="31">
        <f t="shared" si="10"/>
        <v>1868577.8827770515</v>
      </c>
      <c r="D60" s="90">
        <f t="shared" si="17"/>
        <v>0.29437952829353031</v>
      </c>
      <c r="E60" s="68">
        <f t="shared" si="11"/>
        <v>43494.831995036344</v>
      </c>
      <c r="F60" s="31">
        <f t="shared" si="12"/>
        <v>1834279.5624313408</v>
      </c>
      <c r="G60" s="90">
        <f t="shared" si="13"/>
        <v>0.28897610173170829</v>
      </c>
      <c r="I60" s="43">
        <f t="shared" si="14"/>
        <v>13256.831995036342</v>
      </c>
      <c r="J60" s="43">
        <f t="shared" si="15"/>
        <v>483253.72961681167</v>
      </c>
      <c r="K60" s="89">
        <f t="shared" si="16"/>
        <v>0.26940974473411106</v>
      </c>
    </row>
    <row r="61" spans="1:11" x14ac:dyDescent="0.25">
      <c r="A61" s="40">
        <v>14</v>
      </c>
      <c r="B61" s="55">
        <f t="shared" si="9"/>
        <v>43273.805170995933</v>
      </c>
      <c r="C61" s="31">
        <f t="shared" si="10"/>
        <v>1825304.0776060557</v>
      </c>
      <c r="D61" s="90">
        <f t="shared" si="17"/>
        <v>0.28756208575012854</v>
      </c>
      <c r="E61" s="68">
        <f t="shared" si="11"/>
        <v>43140.874580768868</v>
      </c>
      <c r="F61" s="31">
        <f t="shared" si="12"/>
        <v>1791138.6878505719</v>
      </c>
      <c r="G61" s="90">
        <f t="shared" si="13"/>
        <v>0.28217960134159187</v>
      </c>
      <c r="I61" s="43">
        <f t="shared" si="14"/>
        <v>12902.874580768872</v>
      </c>
      <c r="J61" s="43">
        <f t="shared" si="15"/>
        <v>470350.85503604281</v>
      </c>
      <c r="K61" s="89">
        <f t="shared" si="16"/>
        <v>0.26221650454971029</v>
      </c>
    </row>
    <row r="62" spans="1:11" x14ac:dyDescent="0.25">
      <c r="A62" s="40">
        <v>15</v>
      </c>
      <c r="B62" s="55">
        <f t="shared" si="9"/>
        <v>43273.805170995933</v>
      </c>
      <c r="C62" s="31">
        <f t="shared" si="10"/>
        <v>1782030.2724350598</v>
      </c>
      <c r="D62" s="90">
        <f t="shared" si="17"/>
        <v>0.28074464320672676</v>
      </c>
      <c r="E62" s="68">
        <f t="shared" si="11"/>
        <v>42796.367829462346</v>
      </c>
      <c r="F62" s="31">
        <f t="shared" si="12"/>
        <v>1748342.3200211097</v>
      </c>
      <c r="G62" s="90">
        <f t="shared" si="13"/>
        <v>0.2754373752398947</v>
      </c>
      <c r="I62" s="43">
        <f t="shared" si="14"/>
        <v>12558.367829462344</v>
      </c>
      <c r="J62" s="43">
        <f t="shared" si="15"/>
        <v>457792.48720658047</v>
      </c>
      <c r="K62" s="89">
        <f t="shared" si="16"/>
        <v>0.25521532387823304</v>
      </c>
    </row>
    <row r="63" spans="1:11" x14ac:dyDescent="0.25">
      <c r="A63" s="40">
        <v>16</v>
      </c>
      <c r="B63" s="55">
        <f t="shared" si="9"/>
        <v>43273.805170995933</v>
      </c>
      <c r="C63" s="31">
        <f t="shared" si="10"/>
        <v>1738756.4672640639</v>
      </c>
      <c r="D63" s="90">
        <f t="shared" si="17"/>
        <v>0.27392720066332499</v>
      </c>
      <c r="E63" s="68">
        <f t="shared" si="11"/>
        <v>42461.059408415698</v>
      </c>
      <c r="F63" s="31">
        <f t="shared" si="12"/>
        <v>1705881.2606126938</v>
      </c>
      <c r="G63" s="90">
        <f t="shared" si="13"/>
        <v>0.26874797430311587</v>
      </c>
      <c r="I63" s="43">
        <f t="shared" si="14"/>
        <v>12223.059408415698</v>
      </c>
      <c r="J63" s="43">
        <f t="shared" si="15"/>
        <v>445569.42779816478</v>
      </c>
      <c r="K63" s="89">
        <f t="shared" si="16"/>
        <v>0.24840107473068423</v>
      </c>
    </row>
    <row r="64" spans="1:11" x14ac:dyDescent="0.25">
      <c r="A64" s="40">
        <v>17</v>
      </c>
      <c r="B64" s="55">
        <f t="shared" si="9"/>
        <v>43273.805170995933</v>
      </c>
      <c r="C64" s="31">
        <f t="shared" si="10"/>
        <v>1695482.662093068</v>
      </c>
      <c r="D64" s="90">
        <f t="shared" si="17"/>
        <v>0.26710975811992321</v>
      </c>
      <c r="E64" s="68">
        <f t="shared" si="11"/>
        <v>42134.703722211001</v>
      </c>
      <c r="F64" s="31">
        <f t="shared" si="12"/>
        <v>1663746.5568904828</v>
      </c>
      <c r="G64" s="90">
        <f t="shared" si="13"/>
        <v>0.2621099880993521</v>
      </c>
      <c r="I64" s="43">
        <f t="shared" si="14"/>
        <v>11896.703722210999</v>
      </c>
      <c r="J64" s="43">
        <f t="shared" si="15"/>
        <v>433672.72407595377</v>
      </c>
      <c r="K64" s="89">
        <f t="shared" si="16"/>
        <v>0.24176876603537495</v>
      </c>
    </row>
    <row r="65" spans="1:11" x14ac:dyDescent="0.25">
      <c r="A65" s="40">
        <v>18</v>
      </c>
      <c r="B65" s="55">
        <f t="shared" si="9"/>
        <v>43273.805170995933</v>
      </c>
      <c r="C65" s="31">
        <f t="shared" si="10"/>
        <v>1652208.8569220721</v>
      </c>
      <c r="D65" s="90">
        <f t="shared" si="17"/>
        <v>0.26029231557652138</v>
      </c>
      <c r="E65" s="68">
        <f t="shared" si="11"/>
        <v>41817.061732827962</v>
      </c>
      <c r="F65" s="31">
        <f t="shared" si="12"/>
        <v>1621929.4951576549</v>
      </c>
      <c r="G65" s="90">
        <f t="shared" si="13"/>
        <v>0.25552204385523192</v>
      </c>
      <c r="I65" s="43">
        <f t="shared" si="14"/>
        <v>11579.061732827966</v>
      </c>
      <c r="J65" s="43">
        <f t="shared" si="15"/>
        <v>422093.66234312579</v>
      </c>
      <c r="K65" s="89">
        <f t="shared" si="16"/>
        <v>0.23531353998223042</v>
      </c>
    </row>
    <row r="66" spans="1:11" x14ac:dyDescent="0.25">
      <c r="A66" s="40">
        <v>19</v>
      </c>
      <c r="B66" s="55">
        <f t="shared" si="9"/>
        <v>43273.805170995933</v>
      </c>
      <c r="C66" s="31">
        <f t="shared" si="10"/>
        <v>1608935.0517510762</v>
      </c>
      <c r="D66" s="90">
        <f t="shared" si="17"/>
        <v>0.25347487303311961</v>
      </c>
      <c r="E66" s="68">
        <f t="shared" si="11"/>
        <v>41507.900784561461</v>
      </c>
      <c r="F66" s="31">
        <f t="shared" si="12"/>
        <v>1580421.5943730935</v>
      </c>
      <c r="G66" s="90">
        <f t="shared" si="13"/>
        <v>0.24898280545043286</v>
      </c>
      <c r="I66" s="43">
        <f t="shared" si="14"/>
        <v>11269.90078456146</v>
      </c>
      <c r="J66" s="43">
        <f t="shared" si="15"/>
        <v>410823.76155856432</v>
      </c>
      <c r="K66" s="89">
        <f t="shared" si="16"/>
        <v>0.22903066846470488</v>
      </c>
    </row>
    <row r="67" spans="1:11" x14ac:dyDescent="0.25">
      <c r="A67" s="40">
        <v>20</v>
      </c>
      <c r="B67" s="55">
        <f t="shared" si="9"/>
        <v>43273.805170995933</v>
      </c>
      <c r="C67" s="31">
        <f t="shared" si="10"/>
        <v>1565661.2465800804</v>
      </c>
      <c r="D67" s="90">
        <f t="shared" si="17"/>
        <v>0.24665743048971783</v>
      </c>
      <c r="E67" s="68">
        <f t="shared" si="11"/>
        <v>41206.994433613669</v>
      </c>
      <c r="F67" s="31">
        <f t="shared" si="12"/>
        <v>1539214.5999394797</v>
      </c>
      <c r="G67" s="90">
        <f t="shared" si="13"/>
        <v>0.24249097243904499</v>
      </c>
      <c r="I67" s="43">
        <f t="shared" si="14"/>
        <v>10968.994433613669</v>
      </c>
      <c r="J67" s="43">
        <f t="shared" si="15"/>
        <v>399854.76712495065</v>
      </c>
      <c r="K67" s="89">
        <f t="shared" si="16"/>
        <v>0.22291554961669727</v>
      </c>
    </row>
    <row r="68" spans="1:11" x14ac:dyDescent="0.25">
      <c r="A68" s="40">
        <v>21</v>
      </c>
      <c r="B68" s="55">
        <f t="shared" si="9"/>
        <v>43273.805170995933</v>
      </c>
      <c r="C68" s="31">
        <f t="shared" si="10"/>
        <v>1522387.4414090845</v>
      </c>
      <c r="D68" s="90">
        <f t="shared" si="17"/>
        <v>0.23983998794631606</v>
      </c>
      <c r="E68" s="68">
        <f t="shared" si="11"/>
        <v>40914.122282236181</v>
      </c>
      <c r="F68" s="31">
        <f t="shared" si="12"/>
        <v>1498300.4776572436</v>
      </c>
      <c r="G68" s="90">
        <f t="shared" si="13"/>
        <v>0.23604527909706424</v>
      </c>
      <c r="I68" s="43">
        <f t="shared" si="14"/>
        <v>10676.122282236183</v>
      </c>
      <c r="J68" s="43">
        <f t="shared" si="15"/>
        <v>389178.64484271448</v>
      </c>
      <c r="K68" s="89">
        <f t="shared" si="16"/>
        <v>0.21696370444193144</v>
      </c>
    </row>
    <row r="69" spans="1:11" x14ac:dyDescent="0.25">
      <c r="A69" s="40">
        <v>22</v>
      </c>
      <c r="B69" s="55">
        <f t="shared" si="9"/>
        <v>43273.805170995933</v>
      </c>
      <c r="C69" s="31">
        <f t="shared" si="10"/>
        <v>1479113.6362380886</v>
      </c>
      <c r="D69" s="90">
        <f t="shared" si="17"/>
        <v>0.23302254540291428</v>
      </c>
      <c r="E69" s="68">
        <f t="shared" si="11"/>
        <v>40629.069817300478</v>
      </c>
      <c r="F69" s="31">
        <f t="shared" si="12"/>
        <v>1457671.4078399432</v>
      </c>
      <c r="G69" s="90">
        <f t="shared" si="13"/>
        <v>0.22964449349531749</v>
      </c>
      <c r="I69" s="43">
        <f t="shared" si="14"/>
        <v>10391.069817300477</v>
      </c>
      <c r="J69" s="43">
        <f t="shared" si="15"/>
        <v>378787.575025414</v>
      </c>
      <c r="K69" s="89">
        <f t="shared" si="16"/>
        <v>0.21117077353333188</v>
      </c>
    </row>
    <row r="70" spans="1:11" x14ac:dyDescent="0.25">
      <c r="A70" s="40">
        <v>23</v>
      </c>
      <c r="B70" s="55">
        <f t="shared" si="9"/>
        <v>43273.805170995933</v>
      </c>
      <c r="C70" s="31">
        <f t="shared" si="10"/>
        <v>1435839.8310670927</v>
      </c>
      <c r="D70" s="90">
        <f t="shared" si="17"/>
        <v>0.22620510285951248</v>
      </c>
      <c r="E70" s="68">
        <f t="shared" si="11"/>
        <v>40351.628253178555</v>
      </c>
      <c r="F70" s="31">
        <f t="shared" si="12"/>
        <v>1417319.7795867645</v>
      </c>
      <c r="G70" s="90">
        <f t="shared" si="13"/>
        <v>0.22328741659714041</v>
      </c>
      <c r="I70" s="43">
        <f t="shared" si="14"/>
        <v>10113.628253178555</v>
      </c>
      <c r="J70" s="43">
        <f t="shared" si="15"/>
        <v>368673.94677223545</v>
      </c>
      <c r="K70" s="89">
        <f t="shared" si="16"/>
        <v>0.20553251387999191</v>
      </c>
    </row>
    <row r="71" spans="1:11" x14ac:dyDescent="0.25">
      <c r="A71" s="40">
        <v>24</v>
      </c>
      <c r="B71" s="55">
        <f t="shared" si="9"/>
        <v>43273.805170995933</v>
      </c>
      <c r="C71" s="31">
        <f t="shared" si="10"/>
        <v>1392566.0258960968</v>
      </c>
      <c r="D71" s="90">
        <f t="shared" si="17"/>
        <v>0.21938766031611071</v>
      </c>
      <c r="E71" s="68">
        <f t="shared" si="11"/>
        <v>40081.594378818685</v>
      </c>
      <c r="F71" s="31">
        <f t="shared" si="12"/>
        <v>1377238.1852079458</v>
      </c>
      <c r="G71" s="90">
        <f t="shared" si="13"/>
        <v>0.21697288138014775</v>
      </c>
      <c r="I71" s="43">
        <f t="shared" si="14"/>
        <v>9843.5943788186869</v>
      </c>
      <c r="J71" s="43">
        <f t="shared" si="15"/>
        <v>358830.35239341675</v>
      </c>
      <c r="K71" s="89">
        <f t="shared" si="16"/>
        <v>0.20004479575939613</v>
      </c>
    </row>
    <row r="72" spans="1:11" x14ac:dyDescent="0.25">
      <c r="A72" s="40">
        <v>25</v>
      </c>
      <c r="B72" s="55">
        <f t="shared" si="9"/>
        <v>43273.805170995933</v>
      </c>
      <c r="C72" s="31">
        <f t="shared" si="10"/>
        <v>1349292.220725101</v>
      </c>
      <c r="D72" s="90">
        <f t="shared" si="17"/>
        <v>0.21257021777270893</v>
      </c>
      <c r="E72" s="68">
        <f t="shared" si="11"/>
        <v>39818.770408904224</v>
      </c>
      <c r="F72" s="31">
        <f t="shared" si="12"/>
        <v>1337419.4147990416</v>
      </c>
      <c r="G72" s="90">
        <f t="shared" si="13"/>
        <v>0.21069975198145188</v>
      </c>
      <c r="I72" s="43">
        <f t="shared" si="14"/>
        <v>9580.7704089042272</v>
      </c>
      <c r="J72" s="43">
        <f t="shared" si="15"/>
        <v>349249.58198451251</v>
      </c>
      <c r="K72" s="89">
        <f t="shared" si="16"/>
        <v>0.19470359971262025</v>
      </c>
    </row>
    <row r="73" spans="1:11" x14ac:dyDescent="0.25">
      <c r="A73" s="40">
        <v>26</v>
      </c>
      <c r="B73" s="55">
        <f t="shared" si="9"/>
        <v>43273.805170995933</v>
      </c>
      <c r="C73" s="31">
        <f t="shared" si="10"/>
        <v>1306018.4155541051</v>
      </c>
      <c r="D73" s="90">
        <f t="shared" si="17"/>
        <v>0.20575277522930716</v>
      </c>
      <c r="E73" s="68">
        <f t="shared" si="11"/>
        <v>39562.963838986485</v>
      </c>
      <c r="F73" s="31">
        <f t="shared" si="12"/>
        <v>1297856.450960055</v>
      </c>
      <c r="G73" s="90">
        <f t="shared" si="13"/>
        <v>0.20446692286570425</v>
      </c>
      <c r="I73" s="43">
        <f t="shared" si="14"/>
        <v>9324.9638389864849</v>
      </c>
      <c r="J73" s="43">
        <f t="shared" si="15"/>
        <v>339924.61814552604</v>
      </c>
      <c r="K73" s="89">
        <f t="shared" si="16"/>
        <v>0.18950501360029329</v>
      </c>
    </row>
    <row r="74" spans="1:11" x14ac:dyDescent="0.25">
      <c r="A74" s="40">
        <v>27</v>
      </c>
      <c r="B74" s="55">
        <f t="shared" si="9"/>
        <v>43273.805170995933</v>
      </c>
      <c r="C74" s="31">
        <f t="shared" si="10"/>
        <v>1262744.6103831092</v>
      </c>
      <c r="D74" s="90">
        <f t="shared" si="17"/>
        <v>0.19893533268590535</v>
      </c>
      <c r="E74" s="68">
        <f t="shared" si="11"/>
        <v>39313.987304485549</v>
      </c>
      <c r="F74" s="31">
        <f t="shared" si="12"/>
        <v>1258542.4636555694</v>
      </c>
      <c r="G74" s="90">
        <f t="shared" si="13"/>
        <v>0.19827331801535017</v>
      </c>
      <c r="I74" s="43">
        <f t="shared" si="14"/>
        <v>9075.9873044855449</v>
      </c>
      <c r="J74" s="43">
        <f t="shared" si="15"/>
        <v>330848.63084104052</v>
      </c>
      <c r="K74" s="89">
        <f t="shared" si="16"/>
        <v>0.18444522973716546</v>
      </c>
    </row>
    <row r="75" spans="1:11" x14ac:dyDescent="0.25">
      <c r="A75" s="40">
        <v>28</v>
      </c>
      <c r="B75" s="55">
        <f t="shared" si="9"/>
        <v>43273.805170995933</v>
      </c>
      <c r="C75" s="31">
        <f t="shared" si="10"/>
        <v>1219470.8052121133</v>
      </c>
      <c r="D75" s="90">
        <f t="shared" si="17"/>
        <v>0.19211789014250358</v>
      </c>
      <c r="E75" s="68">
        <f t="shared" si="11"/>
        <v>39071.658443455781</v>
      </c>
      <c r="F75" s="31">
        <f t="shared" si="12"/>
        <v>1219470.8052121135</v>
      </c>
      <c r="G75" s="90">
        <f t="shared" si="13"/>
        <v>0.19211789014250361</v>
      </c>
      <c r="I75" s="43">
        <f t="shared" si="14"/>
        <v>8833.6584434557826</v>
      </c>
      <c r="J75" s="43">
        <f t="shared" si="15"/>
        <v>322014.97239758476</v>
      </c>
      <c r="K75" s="89">
        <f t="shared" si="16"/>
        <v>0.17952054210318316</v>
      </c>
    </row>
    <row r="76" spans="1:11" ht="13.8" thickBot="1" x14ac:dyDescent="0.3">
      <c r="B76" s="91">
        <f>SUM(B48:B75)</f>
        <v>1211666.5447878854</v>
      </c>
      <c r="C76" s="21"/>
      <c r="D76" s="92"/>
      <c r="E76" s="91">
        <f>SUM(E48:E75)</f>
        <v>1211666.5447878861</v>
      </c>
      <c r="F76" s="31"/>
      <c r="G76" s="48"/>
      <c r="I76" s="93">
        <f>SUM(I48:I75)</f>
        <v>365002.54478788597</v>
      </c>
      <c r="K76" s="40"/>
    </row>
    <row r="77" spans="1:11" ht="14.4" thickTop="1" thickBot="1" x14ac:dyDescent="0.3">
      <c r="B77" s="83"/>
      <c r="C77" s="94"/>
      <c r="D77" s="95"/>
      <c r="E77" s="86"/>
      <c r="F77" s="94"/>
      <c r="G77" s="96"/>
    </row>
    <row r="79" spans="1:11" x14ac:dyDescent="0.25">
      <c r="F79" s="43"/>
    </row>
  </sheetData>
  <phoneticPr fontId="14" type="noConversion"/>
  <pageMargins left="0.75" right="0.75" top="1" bottom="1" header="0.5" footer="0.5"/>
  <pageSetup scale="66" orientation="landscape" r:id="rId1"/>
  <headerFooter alignWithMargins="0"/>
  <rowBreaks count="1" manualBreakCount="1">
    <brk id="44" max="1638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zoomScale="75" zoomScaleNormal="75" workbookViewId="0">
      <selection activeCell="M33" activeCellId="1" sqref="M15:M21 M33:M39"/>
    </sheetView>
  </sheetViews>
  <sheetFormatPr defaultColWidth="9.109375" defaultRowHeight="14.4" x14ac:dyDescent="0.3"/>
  <cols>
    <col min="1" max="1" width="26.6640625" style="206" customWidth="1"/>
    <col min="2" max="3" width="18.6640625" style="206" customWidth="1"/>
    <col min="4" max="4" width="27.6640625" style="206" customWidth="1"/>
    <col min="5" max="5" width="15.6640625" style="206" customWidth="1"/>
    <col min="6" max="7" width="12.6640625" style="206" customWidth="1"/>
    <col min="8" max="8" width="17.6640625" style="206" customWidth="1"/>
    <col min="9" max="10" width="15.6640625" style="206" customWidth="1"/>
    <col min="11" max="13" width="18.6640625" style="107" customWidth="1"/>
    <col min="14" max="21" width="15.88671875" style="107" customWidth="1"/>
    <col min="22" max="16384" width="9.109375" style="107"/>
  </cols>
  <sheetData>
    <row r="1" spans="1:21" ht="17.399999999999999" x14ac:dyDescent="0.3">
      <c r="A1" s="561" t="s">
        <v>18</v>
      </c>
      <c r="B1" s="562"/>
      <c r="C1" s="562"/>
      <c r="D1" s="562"/>
      <c r="E1" s="562"/>
      <c r="F1" s="562"/>
      <c r="G1" s="562"/>
      <c r="H1" s="562"/>
      <c r="I1" s="562"/>
      <c r="J1" s="563"/>
      <c r="K1" s="561" t="s">
        <v>18</v>
      </c>
      <c r="L1" s="562"/>
      <c r="M1" s="562"/>
      <c r="N1" s="562"/>
      <c r="O1" s="562"/>
      <c r="P1" s="562"/>
      <c r="Q1" s="562"/>
      <c r="R1" s="562"/>
      <c r="S1" s="562"/>
      <c r="T1" s="562"/>
      <c r="U1" s="563"/>
    </row>
    <row r="2" spans="1:21" ht="17.399999999999999" x14ac:dyDescent="0.3">
      <c r="A2" s="564" t="s">
        <v>167</v>
      </c>
      <c r="B2" s="565"/>
      <c r="C2" s="565"/>
      <c r="D2" s="565"/>
      <c r="E2" s="565"/>
      <c r="F2" s="565"/>
      <c r="G2" s="565"/>
      <c r="H2" s="565"/>
      <c r="I2" s="565"/>
      <c r="J2" s="566"/>
      <c r="K2" s="564" t="s">
        <v>168</v>
      </c>
      <c r="L2" s="565"/>
      <c r="M2" s="565"/>
      <c r="N2" s="565"/>
      <c r="O2" s="565"/>
      <c r="P2" s="565"/>
      <c r="Q2" s="565"/>
      <c r="R2" s="565"/>
      <c r="S2" s="565"/>
      <c r="T2" s="565"/>
      <c r="U2" s="566"/>
    </row>
    <row r="3" spans="1:21" x14ac:dyDescent="0.3">
      <c r="A3" s="108"/>
      <c r="B3" s="109"/>
      <c r="C3"/>
      <c r="D3" s="567" t="s">
        <v>169</v>
      </c>
      <c r="E3" s="567"/>
      <c r="F3" s="567"/>
      <c r="G3"/>
      <c r="H3" s="109"/>
      <c r="I3" s="109"/>
      <c r="J3" s="110"/>
      <c r="K3" s="108"/>
      <c r="L3" s="109"/>
      <c r="M3"/>
      <c r="N3" s="567" t="s">
        <v>169</v>
      </c>
      <c r="O3" s="567"/>
      <c r="P3" s="567"/>
      <c r="Q3" s="567"/>
      <c r="R3"/>
      <c r="S3"/>
      <c r="T3" s="109"/>
      <c r="U3" s="110"/>
    </row>
    <row r="4" spans="1:21" x14ac:dyDescent="0.3">
      <c r="A4" s="111"/>
      <c r="B4" s="112"/>
      <c r="C4" s="112"/>
      <c r="D4" s="112"/>
      <c r="E4" s="112"/>
      <c r="F4" s="541" t="s">
        <v>154</v>
      </c>
      <c r="G4" s="541"/>
      <c r="H4" s="541"/>
      <c r="I4" s="541"/>
      <c r="J4" s="542"/>
      <c r="K4" s="113"/>
      <c r="L4" s="114"/>
      <c r="M4" s="114"/>
      <c r="N4" s="114"/>
      <c r="O4" s="114"/>
      <c r="P4" s="114"/>
      <c r="Q4" s="114"/>
      <c r="R4" s="114"/>
      <c r="S4" s="114"/>
      <c r="T4" s="114"/>
      <c r="U4" s="115"/>
    </row>
    <row r="5" spans="1:21" ht="15" customHeight="1" x14ac:dyDescent="0.3">
      <c r="A5" s="116" t="s">
        <v>67</v>
      </c>
      <c r="B5" s="543" t="s">
        <v>65</v>
      </c>
      <c r="C5" s="544"/>
      <c r="D5" s="117" t="s">
        <v>68</v>
      </c>
      <c r="E5" s="118"/>
      <c r="F5" s="117" t="s">
        <v>69</v>
      </c>
      <c r="G5" s="119"/>
      <c r="H5" s="120" t="s">
        <v>70</v>
      </c>
      <c r="I5" s="121" t="s">
        <v>84</v>
      </c>
      <c r="J5" s="121"/>
      <c r="K5" s="116" t="s">
        <v>67</v>
      </c>
      <c r="L5" s="545" t="s">
        <v>65</v>
      </c>
      <c r="M5" s="546"/>
      <c r="N5" s="117" t="s">
        <v>71</v>
      </c>
      <c r="O5" s="119"/>
      <c r="P5" s="547" t="s">
        <v>170</v>
      </c>
      <c r="Q5" s="548"/>
      <c r="R5" s="548"/>
      <c r="S5" s="548"/>
      <c r="T5" s="548"/>
      <c r="U5" s="549"/>
    </row>
    <row r="6" spans="1:21" x14ac:dyDescent="0.3">
      <c r="A6" s="122" t="s">
        <v>72</v>
      </c>
      <c r="B6" s="556" t="s">
        <v>73</v>
      </c>
      <c r="C6" s="557"/>
      <c r="D6" s="123" t="s">
        <v>74</v>
      </c>
      <c r="E6" s="124">
        <v>0.97515134255797598</v>
      </c>
      <c r="F6" s="125" t="s">
        <v>75</v>
      </c>
      <c r="G6" s="126"/>
      <c r="H6" s="127">
        <v>72</v>
      </c>
      <c r="I6" s="128">
        <v>31067</v>
      </c>
      <c r="J6" s="129"/>
      <c r="K6" s="122" t="s">
        <v>72</v>
      </c>
      <c r="L6" s="558" t="s">
        <v>73</v>
      </c>
      <c r="M6" s="530"/>
      <c r="N6" s="130">
        <v>50264</v>
      </c>
      <c r="O6" s="131"/>
      <c r="P6" s="550"/>
      <c r="Q6" s="551"/>
      <c r="R6" s="551"/>
      <c r="S6" s="551"/>
      <c r="T6" s="551"/>
      <c r="U6" s="552"/>
    </row>
    <row r="7" spans="1:21" x14ac:dyDescent="0.3">
      <c r="A7" s="122" t="s">
        <v>77</v>
      </c>
      <c r="B7" s="529" t="s">
        <v>78</v>
      </c>
      <c r="C7" s="530"/>
      <c r="D7" s="132" t="s">
        <v>79</v>
      </c>
      <c r="E7" s="133">
        <v>1237.5077797538299</v>
      </c>
      <c r="F7" s="125" t="s">
        <v>80</v>
      </c>
      <c r="G7" s="126"/>
      <c r="H7" s="134">
        <v>48.5</v>
      </c>
      <c r="I7" s="135">
        <v>31066</v>
      </c>
      <c r="J7" s="136"/>
      <c r="K7" s="137" t="s">
        <v>77</v>
      </c>
      <c r="L7" s="559" t="s">
        <v>78</v>
      </c>
      <c r="M7" s="560"/>
      <c r="N7" s="117"/>
      <c r="O7" s="119"/>
      <c r="P7" s="553"/>
      <c r="Q7" s="554"/>
      <c r="R7" s="554"/>
      <c r="S7" s="554"/>
      <c r="T7" s="554"/>
      <c r="U7" s="555"/>
    </row>
    <row r="8" spans="1:21" ht="15.6" x14ac:dyDescent="0.3">
      <c r="A8" s="122" t="s">
        <v>81</v>
      </c>
      <c r="B8" s="527" t="s">
        <v>64</v>
      </c>
      <c r="C8" s="528"/>
      <c r="D8" s="132" t="s">
        <v>82</v>
      </c>
      <c r="E8" s="133">
        <v>2425.5152483175066</v>
      </c>
      <c r="F8" s="125"/>
      <c r="G8" s="126"/>
      <c r="H8" s="121" t="s">
        <v>83</v>
      </c>
      <c r="I8" s="138" t="s">
        <v>84</v>
      </c>
      <c r="J8" s="121" t="s">
        <v>85</v>
      </c>
      <c r="K8" s="139"/>
      <c r="L8" s="140"/>
      <c r="M8" s="140"/>
      <c r="N8" s="140"/>
      <c r="O8" s="140"/>
      <c r="P8" s="140"/>
      <c r="Q8" s="140"/>
      <c r="R8" s="140"/>
      <c r="S8" s="140"/>
      <c r="T8" s="140"/>
      <c r="U8" s="141"/>
    </row>
    <row r="9" spans="1:21" ht="15.6" x14ac:dyDescent="0.3">
      <c r="A9" s="122" t="s">
        <v>86</v>
      </c>
      <c r="B9" s="527" t="s">
        <v>76</v>
      </c>
      <c r="C9" s="528"/>
      <c r="D9" s="132" t="s">
        <v>87</v>
      </c>
      <c r="E9" s="142">
        <v>50264</v>
      </c>
      <c r="F9" s="125" t="s">
        <v>88</v>
      </c>
      <c r="G9" s="126"/>
      <c r="H9" s="134">
        <v>60.4</v>
      </c>
      <c r="I9" s="143">
        <v>37644</v>
      </c>
      <c r="J9" s="144">
        <v>45037</v>
      </c>
      <c r="K9" s="524" t="s">
        <v>89</v>
      </c>
      <c r="L9" s="525"/>
      <c r="M9" s="525"/>
      <c r="N9" s="525"/>
      <c r="O9" s="525"/>
      <c r="P9" s="525"/>
      <c r="Q9" s="525"/>
      <c r="R9" s="525"/>
      <c r="S9" s="525"/>
      <c r="T9" s="525"/>
      <c r="U9" s="526"/>
    </row>
    <row r="10" spans="1:21" x14ac:dyDescent="0.3">
      <c r="A10" s="122" t="s">
        <v>90</v>
      </c>
      <c r="B10" s="529" t="s">
        <v>91</v>
      </c>
      <c r="C10" s="530"/>
      <c r="D10" s="132" t="s">
        <v>92</v>
      </c>
      <c r="E10" s="133">
        <v>0</v>
      </c>
      <c r="F10" s="145" t="s">
        <v>93</v>
      </c>
      <c r="G10" s="146"/>
      <c r="H10" s="147">
        <v>60</v>
      </c>
      <c r="I10" s="148">
        <v>41645</v>
      </c>
      <c r="J10" s="149">
        <v>44721</v>
      </c>
      <c r="K10" s="150"/>
      <c r="L10" s="151" t="s">
        <v>94</v>
      </c>
      <c r="M10" s="152"/>
      <c r="N10" s="151" t="s">
        <v>95</v>
      </c>
      <c r="O10" s="152"/>
      <c r="P10" s="151" t="s">
        <v>96</v>
      </c>
      <c r="Q10" s="152"/>
      <c r="R10" s="151" t="s">
        <v>97</v>
      </c>
      <c r="S10" s="152"/>
      <c r="T10" s="151" t="s">
        <v>98</v>
      </c>
      <c r="U10" s="153"/>
    </row>
    <row r="11" spans="1:21" ht="15" customHeight="1" x14ac:dyDescent="0.3">
      <c r="A11" s="531" t="s">
        <v>171</v>
      </c>
      <c r="B11" s="532"/>
      <c r="C11" s="533"/>
      <c r="D11" s="154" t="s">
        <v>99</v>
      </c>
      <c r="E11" s="155">
        <v>50264</v>
      </c>
      <c r="F11" s="117" t="s">
        <v>100</v>
      </c>
      <c r="G11" s="119"/>
      <c r="H11" s="120" t="s">
        <v>101</v>
      </c>
      <c r="I11" s="121" t="s">
        <v>102</v>
      </c>
      <c r="J11" s="121" t="s">
        <v>103</v>
      </c>
      <c r="K11" s="156" t="s">
        <v>104</v>
      </c>
      <c r="L11" s="120" t="s">
        <v>105</v>
      </c>
      <c r="M11" s="120" t="s">
        <v>37</v>
      </c>
      <c r="N11" s="120" t="s">
        <v>105</v>
      </c>
      <c r="O11" s="120" t="s">
        <v>37</v>
      </c>
      <c r="P11" s="120" t="s">
        <v>105</v>
      </c>
      <c r="Q11" s="120" t="s">
        <v>37</v>
      </c>
      <c r="R11" s="120" t="s">
        <v>105</v>
      </c>
      <c r="S11" s="120" t="s">
        <v>37</v>
      </c>
      <c r="T11" s="120" t="s">
        <v>105</v>
      </c>
      <c r="U11" s="120" t="s">
        <v>37</v>
      </c>
    </row>
    <row r="12" spans="1:21" x14ac:dyDescent="0.3">
      <c r="A12" s="534"/>
      <c r="B12" s="535"/>
      <c r="C12" s="536"/>
      <c r="D12" s="118" t="s">
        <v>106</v>
      </c>
      <c r="E12" s="157"/>
      <c r="F12" s="116" t="s">
        <v>107</v>
      </c>
      <c r="G12" s="116"/>
      <c r="H12" s="101">
        <v>3118314.4400726706</v>
      </c>
      <c r="I12" s="101">
        <v>161550.38104904848</v>
      </c>
      <c r="J12" s="101">
        <v>3279864.8211217192</v>
      </c>
      <c r="K12" s="122" t="s">
        <v>40</v>
      </c>
      <c r="L12" s="158">
        <v>941.99999999999955</v>
      </c>
      <c r="M12" s="159">
        <v>668865.45523105725</v>
      </c>
      <c r="N12" s="158">
        <v>1036.2000000000003</v>
      </c>
      <c r="O12" s="159">
        <v>723702.90066283452</v>
      </c>
      <c r="P12" s="158">
        <v>1130.4000000000001</v>
      </c>
      <c r="Q12" s="159">
        <v>778540.3460946118</v>
      </c>
      <c r="R12" s="158">
        <v>847.79999999999973</v>
      </c>
      <c r="S12" s="159">
        <v>614028.00979928032</v>
      </c>
      <c r="T12" s="158">
        <v>753.60000000000014</v>
      </c>
      <c r="U12" s="159">
        <v>559190.56436750281</v>
      </c>
    </row>
    <row r="13" spans="1:21" x14ac:dyDescent="0.3">
      <c r="A13" s="534"/>
      <c r="B13" s="535"/>
      <c r="C13" s="536"/>
      <c r="D13" s="160" t="s">
        <v>108</v>
      </c>
      <c r="E13" s="159">
        <v>49500</v>
      </c>
      <c r="F13" s="126" t="s">
        <v>109</v>
      </c>
      <c r="G13" s="122"/>
      <c r="H13" s="161">
        <v>2450743.7014877778</v>
      </c>
      <c r="I13" s="161">
        <v>66532.386836966252</v>
      </c>
      <c r="J13" s="161">
        <v>2517276.0883247438</v>
      </c>
      <c r="K13" s="122" t="s">
        <v>41</v>
      </c>
      <c r="L13" s="142">
        <v>723.00000000000023</v>
      </c>
      <c r="M13" s="133">
        <v>519674.91552547767</v>
      </c>
      <c r="N13" s="142">
        <v>795.30000000000064</v>
      </c>
      <c r="O13" s="133">
        <v>561969.36776572315</v>
      </c>
      <c r="P13" s="142">
        <v>867.60000000000048</v>
      </c>
      <c r="Q13" s="133">
        <v>604263.82000596845</v>
      </c>
      <c r="R13" s="142">
        <v>650.70000000000016</v>
      </c>
      <c r="S13" s="133">
        <v>477380.46328523208</v>
      </c>
      <c r="T13" s="142">
        <v>578.40000000000043</v>
      </c>
      <c r="U13" s="133">
        <v>435086.01104498666</v>
      </c>
    </row>
    <row r="14" spans="1:21" ht="15" customHeight="1" x14ac:dyDescent="0.3">
      <c r="A14" s="534"/>
      <c r="B14" s="535"/>
      <c r="C14" s="536"/>
      <c r="D14" s="162" t="s">
        <v>110</v>
      </c>
      <c r="E14" s="133">
        <v>-764</v>
      </c>
      <c r="F14" s="540" t="s">
        <v>172</v>
      </c>
      <c r="G14" s="532"/>
      <c r="H14" s="532"/>
      <c r="I14" s="532"/>
      <c r="J14" s="533"/>
      <c r="K14" s="122" t="s">
        <v>42</v>
      </c>
      <c r="L14" s="142">
        <v>523</v>
      </c>
      <c r="M14" s="133">
        <v>371160.00377537258</v>
      </c>
      <c r="N14" s="142">
        <v>575.29999999999995</v>
      </c>
      <c r="O14" s="133">
        <v>401887.21010553156</v>
      </c>
      <c r="P14" s="142">
        <v>627.59999999999991</v>
      </c>
      <c r="Q14" s="133">
        <v>432614.41643569036</v>
      </c>
      <c r="R14" s="142">
        <v>470.7</v>
      </c>
      <c r="S14" s="133">
        <v>340432.79744521377</v>
      </c>
      <c r="T14" s="142">
        <v>418.4</v>
      </c>
      <c r="U14" s="133">
        <v>309705.59111505485</v>
      </c>
    </row>
    <row r="15" spans="1:21" x14ac:dyDescent="0.3">
      <c r="A15" s="534"/>
      <c r="B15" s="535"/>
      <c r="C15" s="536"/>
      <c r="D15" s="162" t="s">
        <v>111</v>
      </c>
      <c r="E15" s="163">
        <v>-1.5199745344580615E-2</v>
      </c>
      <c r="F15" s="534"/>
      <c r="G15" s="535"/>
      <c r="H15" s="535"/>
      <c r="I15" s="535"/>
      <c r="J15" s="536"/>
      <c r="K15" s="122" t="s">
        <v>112</v>
      </c>
      <c r="L15" s="142">
        <v>244.99999999999997</v>
      </c>
      <c r="M15" s="133">
        <v>177540.12337822074</v>
      </c>
      <c r="N15" s="142">
        <v>269.5</v>
      </c>
      <c r="O15" s="133">
        <v>193589.72632166854</v>
      </c>
      <c r="P15" s="142">
        <v>293.99999999999989</v>
      </c>
      <c r="Q15" s="133">
        <v>209639.32926511628</v>
      </c>
      <c r="R15" s="142">
        <v>220.50000000000011</v>
      </c>
      <c r="S15" s="133">
        <v>161490.52043477292</v>
      </c>
      <c r="T15" s="142">
        <v>196</v>
      </c>
      <c r="U15" s="133">
        <v>145440.91749132509</v>
      </c>
    </row>
    <row r="16" spans="1:21" x14ac:dyDescent="0.3">
      <c r="A16" s="537"/>
      <c r="B16" s="538"/>
      <c r="C16" s="539"/>
      <c r="D16" s="164"/>
      <c r="E16" s="165"/>
      <c r="F16" s="537"/>
      <c r="G16" s="538"/>
      <c r="H16" s="538"/>
      <c r="I16" s="538"/>
      <c r="J16" s="539"/>
      <c r="K16" s="122" t="s">
        <v>113</v>
      </c>
      <c r="L16" s="142">
        <v>63.999999999999972</v>
      </c>
      <c r="M16" s="133">
        <v>90326.424057311116</v>
      </c>
      <c r="N16" s="142">
        <v>70.399999999999977</v>
      </c>
      <c r="O16" s="133">
        <v>94627.064906945714</v>
      </c>
      <c r="P16" s="142">
        <v>76.800000000000054</v>
      </c>
      <c r="Q16" s="133">
        <v>98927.705756580341</v>
      </c>
      <c r="R16" s="142">
        <v>57.599999999999987</v>
      </c>
      <c r="S16" s="133">
        <v>86025.783207676461</v>
      </c>
      <c r="T16" s="142">
        <v>51.200000000000031</v>
      </c>
      <c r="U16" s="133">
        <v>81725.142358041805</v>
      </c>
    </row>
    <row r="17" spans="1:21" x14ac:dyDescent="0.3">
      <c r="A17" s="166"/>
      <c r="B17" s="6"/>
      <c r="C17" s="6"/>
      <c r="D17" s="6"/>
      <c r="E17" s="167"/>
      <c r="F17" s="168"/>
      <c r="G17" s="6"/>
      <c r="H17" s="6"/>
      <c r="I17" s="6"/>
      <c r="J17" s="169"/>
      <c r="K17" s="122" t="s">
        <v>114</v>
      </c>
      <c r="L17" s="142">
        <v>3.9999999999999987</v>
      </c>
      <c r="M17" s="133">
        <v>67654.180614719051</v>
      </c>
      <c r="N17" s="142">
        <v>4.3999999999999959</v>
      </c>
      <c r="O17" s="133">
        <v>67951.814251410571</v>
      </c>
      <c r="P17" s="142">
        <v>4.8000000000000016</v>
      </c>
      <c r="Q17" s="133">
        <v>68249.447888102077</v>
      </c>
      <c r="R17" s="142">
        <v>3.6</v>
      </c>
      <c r="S17" s="133">
        <v>67356.546978027574</v>
      </c>
      <c r="T17" s="142">
        <v>3.199999999999998</v>
      </c>
      <c r="U17" s="133">
        <v>67058.913341336098</v>
      </c>
    </row>
    <row r="18" spans="1:21" ht="15.6" x14ac:dyDescent="0.3">
      <c r="A18" s="521" t="s">
        <v>115</v>
      </c>
      <c r="B18" s="522"/>
      <c r="C18" s="522"/>
      <c r="D18" s="522"/>
      <c r="E18" s="522"/>
      <c r="F18" s="522"/>
      <c r="G18" s="522"/>
      <c r="H18" s="522"/>
      <c r="I18" s="522"/>
      <c r="J18" s="523"/>
      <c r="K18" s="122" t="s">
        <v>116</v>
      </c>
      <c r="L18" s="142">
        <v>0</v>
      </c>
      <c r="M18" s="133">
        <v>63077.370737385114</v>
      </c>
      <c r="N18" s="142">
        <v>0</v>
      </c>
      <c r="O18" s="133">
        <v>63083.534099278579</v>
      </c>
      <c r="P18" s="142">
        <v>0</v>
      </c>
      <c r="Q18" s="133">
        <v>63089.697461172058</v>
      </c>
      <c r="R18" s="142">
        <v>0</v>
      </c>
      <c r="S18" s="133">
        <v>63071.207375491627</v>
      </c>
      <c r="T18" s="142">
        <v>0</v>
      </c>
      <c r="U18" s="133">
        <v>63065.044013598155</v>
      </c>
    </row>
    <row r="19" spans="1:21" x14ac:dyDescent="0.3">
      <c r="A19" s="121" t="s">
        <v>117</v>
      </c>
      <c r="B19" s="515" t="s">
        <v>118</v>
      </c>
      <c r="C19" s="516"/>
      <c r="D19" s="517"/>
      <c r="E19" s="121" t="s">
        <v>119</v>
      </c>
      <c r="F19" s="515" t="s">
        <v>120</v>
      </c>
      <c r="G19" s="518"/>
      <c r="H19" s="519"/>
      <c r="I19" s="519"/>
      <c r="J19" s="520"/>
      <c r="K19" s="122" t="s">
        <v>121</v>
      </c>
      <c r="L19" s="142">
        <v>0.99999999999999922</v>
      </c>
      <c r="M19" s="133">
        <v>62868.45780678359</v>
      </c>
      <c r="N19" s="142">
        <v>1.1000000000000001</v>
      </c>
      <c r="O19" s="133">
        <v>62931.485572149206</v>
      </c>
      <c r="P19" s="142">
        <v>1.1999999999999988</v>
      </c>
      <c r="Q19" s="133">
        <v>62994.513337514858</v>
      </c>
      <c r="R19" s="142">
        <v>0.8999999999999998</v>
      </c>
      <c r="S19" s="133">
        <v>62805.43004141796</v>
      </c>
      <c r="T19" s="142">
        <v>0.79999999999999949</v>
      </c>
      <c r="U19" s="133">
        <v>62742.402276052366</v>
      </c>
    </row>
    <row r="20" spans="1:21" x14ac:dyDescent="0.3">
      <c r="A20" s="170" t="s">
        <v>122</v>
      </c>
      <c r="B20" s="171" t="s">
        <v>123</v>
      </c>
      <c r="C20" s="172"/>
      <c r="D20" s="173"/>
      <c r="E20" s="133">
        <v>5000</v>
      </c>
      <c r="F20" s="174" t="s">
        <v>173</v>
      </c>
      <c r="G20" s="174"/>
      <c r="H20" s="174"/>
      <c r="I20" s="174"/>
      <c r="J20" s="175"/>
      <c r="K20" s="122" t="s">
        <v>124</v>
      </c>
      <c r="L20" s="142">
        <v>38</v>
      </c>
      <c r="M20" s="133">
        <v>74480.845369754548</v>
      </c>
      <c r="N20" s="142">
        <v>41.79999999999999</v>
      </c>
      <c r="O20" s="133">
        <v>76769.966007072202</v>
      </c>
      <c r="P20" s="142">
        <v>45.6</v>
      </c>
      <c r="Q20" s="133">
        <v>79059.086644389856</v>
      </c>
      <c r="R20" s="142">
        <v>34.200000000000003</v>
      </c>
      <c r="S20" s="133">
        <v>72191.724732436909</v>
      </c>
      <c r="T20" s="142">
        <v>30.399999999999991</v>
      </c>
      <c r="U20" s="133">
        <v>69902.604095119226</v>
      </c>
    </row>
    <row r="21" spans="1:21" x14ac:dyDescent="0.3">
      <c r="A21" s="176" t="s">
        <v>125</v>
      </c>
      <c r="B21" s="177" t="s">
        <v>156</v>
      </c>
      <c r="C21" s="178"/>
      <c r="D21" s="179"/>
      <c r="E21" s="133">
        <v>44500</v>
      </c>
      <c r="F21" s="174" t="s">
        <v>174</v>
      </c>
      <c r="G21" s="174"/>
      <c r="H21" s="174"/>
      <c r="I21" s="174"/>
      <c r="J21" s="175"/>
      <c r="K21" s="122" t="s">
        <v>126</v>
      </c>
      <c r="L21" s="142">
        <v>228</v>
      </c>
      <c r="M21" s="133">
        <v>131623.33662071856</v>
      </c>
      <c r="N21" s="142">
        <v>250.80000000000004</v>
      </c>
      <c r="O21" s="133">
        <v>146002.66660232918</v>
      </c>
      <c r="P21" s="142">
        <v>273.60000000000002</v>
      </c>
      <c r="Q21" s="133">
        <v>160381.99658393982</v>
      </c>
      <c r="R21" s="142">
        <v>205.2</v>
      </c>
      <c r="S21" s="133">
        <v>117244.00663910797</v>
      </c>
      <c r="T21" s="142">
        <v>182.40000000000003</v>
      </c>
      <c r="U21" s="133">
        <v>102864.67665749733</v>
      </c>
    </row>
    <row r="22" spans="1:21" x14ac:dyDescent="0.3">
      <c r="A22" s="176"/>
      <c r="B22" s="177"/>
      <c r="C22" s="178"/>
      <c r="D22" s="179"/>
      <c r="E22" s="133"/>
      <c r="F22" s="174"/>
      <c r="G22" s="174"/>
      <c r="H22" s="174"/>
      <c r="I22" s="174"/>
      <c r="J22" s="175"/>
      <c r="K22" s="122" t="s">
        <v>38</v>
      </c>
      <c r="L22" s="142">
        <v>510</v>
      </c>
      <c r="M22" s="133">
        <v>314509.93217438948</v>
      </c>
      <c r="N22" s="142">
        <v>560.99999999999989</v>
      </c>
      <c r="O22" s="133">
        <v>343926.20710540662</v>
      </c>
      <c r="P22" s="142">
        <v>612</v>
      </c>
      <c r="Q22" s="133">
        <v>373342.48203642375</v>
      </c>
      <c r="R22" s="142">
        <v>459</v>
      </c>
      <c r="S22" s="133">
        <v>285093.65724337235</v>
      </c>
      <c r="T22" s="142">
        <v>408</v>
      </c>
      <c r="U22" s="133">
        <v>255677.38231235524</v>
      </c>
    </row>
    <row r="23" spans="1:21" x14ac:dyDescent="0.3">
      <c r="A23" s="176"/>
      <c r="B23" s="177"/>
      <c r="C23" s="178"/>
      <c r="D23" s="179"/>
      <c r="E23" s="133"/>
      <c r="F23" s="174"/>
      <c r="G23" s="174"/>
      <c r="H23" s="174"/>
      <c r="I23" s="174"/>
      <c r="J23" s="175"/>
      <c r="K23" s="122" t="s">
        <v>39</v>
      </c>
      <c r="L23" s="142">
        <v>854</v>
      </c>
      <c r="M23" s="133">
        <v>576533.39478148066</v>
      </c>
      <c r="N23" s="142">
        <v>939.39999999999986</v>
      </c>
      <c r="O23" s="133">
        <v>626006.94888303801</v>
      </c>
      <c r="P23" s="142">
        <v>1024.7999999999997</v>
      </c>
      <c r="Q23" s="133">
        <v>675480.50298459502</v>
      </c>
      <c r="R23" s="142">
        <v>768.60000000000014</v>
      </c>
      <c r="S23" s="133">
        <v>527059.84067992365</v>
      </c>
      <c r="T23" s="142">
        <v>683.19999999999993</v>
      </c>
      <c r="U23" s="133">
        <v>477586.28657836659</v>
      </c>
    </row>
    <row r="24" spans="1:21" x14ac:dyDescent="0.3">
      <c r="A24" s="176"/>
      <c r="B24" s="177"/>
      <c r="C24" s="178"/>
      <c r="D24" s="179"/>
      <c r="E24" s="133"/>
      <c r="F24" s="174"/>
      <c r="G24" s="174"/>
      <c r="H24" s="174"/>
      <c r="I24" s="174"/>
      <c r="J24" s="175"/>
      <c r="K24" s="180" t="s">
        <v>127</v>
      </c>
      <c r="L24" s="181">
        <v>4132</v>
      </c>
      <c r="M24" s="181">
        <v>3118314.4400726706</v>
      </c>
      <c r="N24" s="181">
        <v>4545.2000000000016</v>
      </c>
      <c r="O24" s="181">
        <v>3362448.8922833875</v>
      </c>
      <c r="P24" s="181">
        <v>4958.3999999999996</v>
      </c>
      <c r="Q24" s="181">
        <v>3606583.3444941044</v>
      </c>
      <c r="R24" s="181">
        <v>3718.8</v>
      </c>
      <c r="S24" s="181">
        <v>2874179.9878619532</v>
      </c>
      <c r="T24" s="181">
        <v>3305.6000000000004</v>
      </c>
      <c r="U24" s="181">
        <v>2630045.5356512368</v>
      </c>
    </row>
    <row r="25" spans="1:21" x14ac:dyDescent="0.3">
      <c r="A25" s="176"/>
      <c r="B25" s="177"/>
      <c r="C25" s="178"/>
      <c r="D25" s="179"/>
      <c r="E25" s="133"/>
      <c r="F25" s="174"/>
      <c r="G25" s="174"/>
      <c r="H25" s="174"/>
      <c r="I25" s="174"/>
      <c r="J25" s="175"/>
      <c r="K25" s="180" t="s">
        <v>128</v>
      </c>
      <c r="L25" s="181">
        <v>3552</v>
      </c>
      <c r="M25" s="181">
        <v>2450743.7014877778</v>
      </c>
      <c r="N25" s="181">
        <v>3907.2000000000007</v>
      </c>
      <c r="O25" s="181">
        <v>2657492.634522534</v>
      </c>
      <c r="P25" s="181">
        <v>4262.3999999999996</v>
      </c>
      <c r="Q25" s="181">
        <v>2864241.5675572893</v>
      </c>
      <c r="R25" s="181">
        <v>3196.8</v>
      </c>
      <c r="S25" s="181">
        <v>2243994.768453022</v>
      </c>
      <c r="T25" s="181">
        <v>2841.6000000000004</v>
      </c>
      <c r="U25" s="181">
        <v>2037245.8354182662</v>
      </c>
    </row>
    <row r="26" spans="1:21" x14ac:dyDescent="0.3">
      <c r="A26" s="176"/>
      <c r="B26" s="177"/>
      <c r="C26" s="178"/>
      <c r="D26" s="179"/>
      <c r="E26" s="133"/>
      <c r="F26" s="174"/>
      <c r="G26" s="174"/>
      <c r="H26" s="174"/>
      <c r="I26" s="174"/>
      <c r="J26" s="175"/>
      <c r="K26" s="182"/>
      <c r="L26" s="183"/>
      <c r="M26" s="183"/>
      <c r="N26" s="183"/>
      <c r="O26" s="183"/>
      <c r="P26" s="183"/>
      <c r="Q26" s="183"/>
      <c r="R26" s="183"/>
      <c r="S26" s="183"/>
      <c r="T26" s="183"/>
      <c r="U26" s="184"/>
    </row>
    <row r="27" spans="1:21" ht="15.6" x14ac:dyDescent="0.3">
      <c r="A27" s="176"/>
      <c r="B27" s="177"/>
      <c r="C27" s="178"/>
      <c r="D27" s="179"/>
      <c r="E27" s="133"/>
      <c r="F27" s="174"/>
      <c r="G27" s="174"/>
      <c r="H27" s="174"/>
      <c r="I27" s="174"/>
      <c r="J27" s="175"/>
      <c r="K27" s="524" t="s">
        <v>129</v>
      </c>
      <c r="L27" s="525"/>
      <c r="M27" s="525"/>
      <c r="N27" s="525"/>
      <c r="O27" s="525"/>
      <c r="P27" s="525"/>
      <c r="Q27" s="525"/>
      <c r="R27" s="525"/>
      <c r="S27" s="525"/>
      <c r="T27" s="525"/>
      <c r="U27" s="526"/>
    </row>
    <row r="28" spans="1:21" x14ac:dyDescent="0.3">
      <c r="A28" s="176"/>
      <c r="B28" s="177"/>
      <c r="C28" s="178"/>
      <c r="D28" s="179"/>
      <c r="E28" s="133"/>
      <c r="F28" s="174"/>
      <c r="G28" s="174"/>
      <c r="H28" s="174"/>
      <c r="I28" s="174"/>
      <c r="J28" s="175"/>
      <c r="K28" s="150"/>
      <c r="L28" s="151" t="s">
        <v>94</v>
      </c>
      <c r="M28" s="152"/>
      <c r="N28" s="151" t="s">
        <v>95</v>
      </c>
      <c r="O28" s="152"/>
      <c r="P28" s="151" t="s">
        <v>96</v>
      </c>
      <c r="Q28" s="152"/>
      <c r="R28" s="151" t="s">
        <v>97</v>
      </c>
      <c r="S28" s="152"/>
      <c r="T28" s="151" t="s">
        <v>98</v>
      </c>
      <c r="U28" s="153"/>
    </row>
    <row r="29" spans="1:21" x14ac:dyDescent="0.3">
      <c r="A29" s="176"/>
      <c r="B29" s="177"/>
      <c r="C29" s="178"/>
      <c r="D29" s="179"/>
      <c r="E29" s="133"/>
      <c r="F29" s="174"/>
      <c r="G29" s="174"/>
      <c r="H29" s="174"/>
      <c r="I29" s="174"/>
      <c r="J29" s="175"/>
      <c r="K29" s="156" t="s">
        <v>104</v>
      </c>
      <c r="L29" s="120" t="s">
        <v>105</v>
      </c>
      <c r="M29" s="120" t="s">
        <v>37</v>
      </c>
      <c r="N29" s="120" t="s">
        <v>105</v>
      </c>
      <c r="O29" s="120" t="s">
        <v>37</v>
      </c>
      <c r="P29" s="120" t="s">
        <v>105</v>
      </c>
      <c r="Q29" s="120" t="s">
        <v>37</v>
      </c>
      <c r="R29" s="120" t="s">
        <v>105</v>
      </c>
      <c r="S29" s="120" t="s">
        <v>37</v>
      </c>
      <c r="T29" s="120" t="s">
        <v>105</v>
      </c>
      <c r="U29" s="120" t="s">
        <v>37</v>
      </c>
    </row>
    <row r="30" spans="1:21" x14ac:dyDescent="0.3">
      <c r="A30" s="185"/>
      <c r="B30" s="186"/>
      <c r="C30" s="187"/>
      <c r="D30" s="188"/>
      <c r="E30" s="189"/>
      <c r="F30" s="174"/>
      <c r="G30" s="174"/>
      <c r="H30" s="174"/>
      <c r="I30" s="174"/>
      <c r="J30" s="175"/>
      <c r="K30" s="122" t="s">
        <v>40</v>
      </c>
      <c r="L30" s="158">
        <v>941.99999999999955</v>
      </c>
      <c r="M30" s="159">
        <v>11025.578371025713</v>
      </c>
      <c r="N30" s="158">
        <v>1036.2000000000003</v>
      </c>
      <c r="O30" s="159">
        <v>11224.606569097681</v>
      </c>
      <c r="P30" s="158">
        <v>1130.4000000000001</v>
      </c>
      <c r="Q30" s="159">
        <v>11423.63476716964</v>
      </c>
      <c r="R30" s="158">
        <v>847.79999999999973</v>
      </c>
      <c r="S30" s="159">
        <v>10826.550172953748</v>
      </c>
      <c r="T30" s="158">
        <v>753.60000000000014</v>
      </c>
      <c r="U30" s="159">
        <v>10627.521974881787</v>
      </c>
    </row>
    <row r="31" spans="1:21" x14ac:dyDescent="0.3">
      <c r="A31" s="190"/>
      <c r="B31" s="191"/>
      <c r="C31" s="191"/>
      <c r="D31" s="191" t="s">
        <v>130</v>
      </c>
      <c r="E31" s="192">
        <v>49500</v>
      </c>
      <c r="F31" s="193"/>
      <c r="G31" s="193"/>
      <c r="H31" s="193"/>
      <c r="I31" s="193"/>
      <c r="J31" s="194"/>
      <c r="K31" s="122" t="s">
        <v>41</v>
      </c>
      <c r="L31" s="142">
        <v>723.00000000000023</v>
      </c>
      <c r="M31" s="133">
        <v>15896.78302906154</v>
      </c>
      <c r="N31" s="142">
        <v>795.30000000000064</v>
      </c>
      <c r="O31" s="133">
        <v>16030.181752838778</v>
      </c>
      <c r="P31" s="142">
        <v>867.60000000000048</v>
      </c>
      <c r="Q31" s="133">
        <v>16163.580476616009</v>
      </c>
      <c r="R31" s="142">
        <v>650.70000000000016</v>
      </c>
      <c r="S31" s="133">
        <v>15763.384305284306</v>
      </c>
      <c r="T31" s="142">
        <v>578.40000000000043</v>
      </c>
      <c r="U31" s="133">
        <v>15629.985581507068</v>
      </c>
    </row>
    <row r="32" spans="1:21" x14ac:dyDescent="0.3">
      <c r="A32" s="195"/>
      <c r="B32" s="196"/>
      <c r="C32" s="196"/>
      <c r="D32" s="197"/>
      <c r="E32" s="198"/>
      <c r="F32" s="199"/>
      <c r="G32" s="199"/>
      <c r="H32" s="199"/>
      <c r="I32" s="199"/>
      <c r="J32" s="200"/>
      <c r="K32" s="122" t="s">
        <v>42</v>
      </c>
      <c r="L32" s="142">
        <v>523</v>
      </c>
      <c r="M32" s="133">
        <v>13347.818632084445</v>
      </c>
      <c r="N32" s="142">
        <v>575.29999999999995</v>
      </c>
      <c r="O32" s="133">
        <v>13431.100362551029</v>
      </c>
      <c r="P32" s="142">
        <v>627.59999999999991</v>
      </c>
      <c r="Q32" s="133">
        <v>13514.382093017612</v>
      </c>
      <c r="R32" s="142">
        <v>470.7</v>
      </c>
      <c r="S32" s="133">
        <v>13264.536901617865</v>
      </c>
      <c r="T32" s="142">
        <v>418.4</v>
      </c>
      <c r="U32" s="133">
        <v>13181.255171151284</v>
      </c>
    </row>
    <row r="33" spans="1:21" ht="15.6" x14ac:dyDescent="0.3">
      <c r="A33" s="521" t="s">
        <v>131</v>
      </c>
      <c r="B33" s="522"/>
      <c r="C33" s="522"/>
      <c r="D33" s="522"/>
      <c r="E33" s="522"/>
      <c r="F33" s="522"/>
      <c r="G33" s="522"/>
      <c r="H33" s="522"/>
      <c r="I33" s="522"/>
      <c r="J33" s="523"/>
      <c r="K33" s="122" t="s">
        <v>112</v>
      </c>
      <c r="L33" s="142">
        <v>244.99999999999997</v>
      </c>
      <c r="M33" s="133">
        <v>12526.154766429281</v>
      </c>
      <c r="N33" s="142">
        <v>269.5</v>
      </c>
      <c r="O33" s="133">
        <v>12612.91543356281</v>
      </c>
      <c r="P33" s="142">
        <v>293.99999999999989</v>
      </c>
      <c r="Q33" s="133">
        <v>12699.676100696337</v>
      </c>
      <c r="R33" s="142">
        <v>220.50000000000011</v>
      </c>
      <c r="S33" s="133">
        <v>12439.394099295758</v>
      </c>
      <c r="T33" s="142">
        <v>196</v>
      </c>
      <c r="U33" s="133">
        <v>12352.633432162227</v>
      </c>
    </row>
    <row r="34" spans="1:21" x14ac:dyDescent="0.3">
      <c r="A34" s="121" t="s">
        <v>117</v>
      </c>
      <c r="B34" s="515" t="s">
        <v>118</v>
      </c>
      <c r="C34" s="516"/>
      <c r="D34" s="517"/>
      <c r="E34" s="121" t="s">
        <v>119</v>
      </c>
      <c r="F34" s="515" t="s">
        <v>120</v>
      </c>
      <c r="G34" s="518"/>
      <c r="H34" s="519"/>
      <c r="I34" s="519"/>
      <c r="J34" s="520"/>
      <c r="K34" s="122" t="s">
        <v>113</v>
      </c>
      <c r="L34" s="142">
        <v>63.999999999999972</v>
      </c>
      <c r="M34" s="133">
        <v>14294.056742405137</v>
      </c>
      <c r="N34" s="142">
        <v>70.399999999999977</v>
      </c>
      <c r="O34" s="133">
        <v>14316.438952226743</v>
      </c>
      <c r="P34" s="142">
        <v>76.800000000000054</v>
      </c>
      <c r="Q34" s="133">
        <v>14338.821162048347</v>
      </c>
      <c r="R34" s="142">
        <v>57.599999999999987</v>
      </c>
      <c r="S34" s="133">
        <v>14271.674532583531</v>
      </c>
      <c r="T34" s="142">
        <v>51.200000000000031</v>
      </c>
      <c r="U34" s="133">
        <v>14249.292322761921</v>
      </c>
    </row>
    <row r="35" spans="1:21" x14ac:dyDescent="0.3">
      <c r="A35" s="170"/>
      <c r="B35" s="171"/>
      <c r="C35" s="172"/>
      <c r="D35" s="201"/>
      <c r="E35" s="159"/>
      <c r="F35" s="202"/>
      <c r="G35" s="202"/>
      <c r="H35" s="202"/>
      <c r="I35" s="202"/>
      <c r="J35" s="203"/>
      <c r="K35" s="122" t="s">
        <v>114</v>
      </c>
      <c r="L35" s="142">
        <v>3.9999999999999987</v>
      </c>
      <c r="M35" s="133">
        <v>12941.441292994001</v>
      </c>
      <c r="N35" s="142">
        <v>4.3999999999999959</v>
      </c>
      <c r="O35" s="133">
        <v>12941.651266399951</v>
      </c>
      <c r="P35" s="142">
        <v>4.8000000000000016</v>
      </c>
      <c r="Q35" s="133">
        <v>12941.861239805901</v>
      </c>
      <c r="R35" s="142">
        <v>3.6</v>
      </c>
      <c r="S35" s="133">
        <v>12941.231319588047</v>
      </c>
      <c r="T35" s="142">
        <v>3.199999999999998</v>
      </c>
      <c r="U35" s="133">
        <v>12941.021346182099</v>
      </c>
    </row>
    <row r="36" spans="1:21" x14ac:dyDescent="0.3">
      <c r="A36" s="176"/>
      <c r="B36" s="177"/>
      <c r="C36" s="178"/>
      <c r="D36" s="204"/>
      <c r="E36" s="133"/>
      <c r="F36" s="174"/>
      <c r="G36" s="174"/>
      <c r="H36" s="174"/>
      <c r="I36" s="174"/>
      <c r="J36" s="175"/>
      <c r="K36" s="122" t="s">
        <v>116</v>
      </c>
      <c r="L36" s="142">
        <v>0</v>
      </c>
      <c r="M36" s="133">
        <v>13890.286029282586</v>
      </c>
      <c r="N36" s="142">
        <v>0</v>
      </c>
      <c r="O36" s="133">
        <v>13890.047959020179</v>
      </c>
      <c r="P36" s="142">
        <v>0</v>
      </c>
      <c r="Q36" s="133">
        <v>13889.809888757771</v>
      </c>
      <c r="R36" s="142">
        <v>0</v>
      </c>
      <c r="S36" s="133">
        <v>13890.524099544995</v>
      </c>
      <c r="T36" s="142">
        <v>0</v>
      </c>
      <c r="U36" s="133">
        <v>13890.7621698074</v>
      </c>
    </row>
    <row r="37" spans="1:21" x14ac:dyDescent="0.3">
      <c r="A37" s="176"/>
      <c r="B37" s="177"/>
      <c r="C37" s="178"/>
      <c r="D37" s="204"/>
      <c r="E37" s="133"/>
      <c r="F37" s="174"/>
      <c r="G37" s="174"/>
      <c r="H37" s="174"/>
      <c r="I37" s="174"/>
      <c r="J37" s="175"/>
      <c r="K37" s="122" t="s">
        <v>121</v>
      </c>
      <c r="L37" s="142">
        <v>0.99999999999999922</v>
      </c>
      <c r="M37" s="133">
        <v>14175.444928278424</v>
      </c>
      <c r="N37" s="142">
        <v>1.1000000000000001</v>
      </c>
      <c r="O37" s="133">
        <v>14175.967820052843</v>
      </c>
      <c r="P37" s="142">
        <v>1.1999999999999988</v>
      </c>
      <c r="Q37" s="133">
        <v>14176.490711827259</v>
      </c>
      <c r="R37" s="142">
        <v>0.8999999999999998</v>
      </c>
      <c r="S37" s="133">
        <v>14174.922036504002</v>
      </c>
      <c r="T37" s="142">
        <v>0.79999999999999949</v>
      </c>
      <c r="U37" s="133">
        <v>14174.399144729587</v>
      </c>
    </row>
    <row r="38" spans="1:21" x14ac:dyDescent="0.3">
      <c r="A38" s="176"/>
      <c r="B38" s="177"/>
      <c r="C38" s="178"/>
      <c r="D38" s="204"/>
      <c r="E38" s="133"/>
      <c r="F38" s="174"/>
      <c r="G38" s="174"/>
      <c r="H38" s="174"/>
      <c r="I38" s="174"/>
      <c r="J38" s="175"/>
      <c r="K38" s="122" t="s">
        <v>124</v>
      </c>
      <c r="L38" s="142">
        <v>38</v>
      </c>
      <c r="M38" s="133">
        <v>16894.741856656445</v>
      </c>
      <c r="N38" s="142">
        <v>41.79999999999999</v>
      </c>
      <c r="O38" s="133">
        <v>16917.801341519207</v>
      </c>
      <c r="P38" s="142">
        <v>45.6</v>
      </c>
      <c r="Q38" s="133">
        <v>16940.860826381973</v>
      </c>
      <c r="R38" s="142">
        <v>34.200000000000003</v>
      </c>
      <c r="S38" s="133">
        <v>16871.682371793679</v>
      </c>
      <c r="T38" s="142">
        <v>30.399999999999991</v>
      </c>
      <c r="U38" s="133">
        <v>16848.622886930909</v>
      </c>
    </row>
    <row r="39" spans="1:21" x14ac:dyDescent="0.3">
      <c r="A39" s="176"/>
      <c r="B39" s="177"/>
      <c r="C39" s="178"/>
      <c r="D39" s="204"/>
      <c r="E39" s="133"/>
      <c r="F39" s="174"/>
      <c r="G39" s="174"/>
      <c r="H39" s="174"/>
      <c r="I39" s="174"/>
      <c r="J39" s="175"/>
      <c r="K39" s="122" t="s">
        <v>126</v>
      </c>
      <c r="L39" s="142">
        <v>228</v>
      </c>
      <c r="M39" s="133">
        <v>10295.868596036355</v>
      </c>
      <c r="N39" s="142">
        <v>250.80000000000004</v>
      </c>
      <c r="O39" s="133">
        <v>10414.65831165726</v>
      </c>
      <c r="P39" s="142">
        <v>273.60000000000002</v>
      </c>
      <c r="Q39" s="133">
        <v>10533.448027278158</v>
      </c>
      <c r="R39" s="142">
        <v>205.2</v>
      </c>
      <c r="S39" s="133">
        <v>10177.078880415456</v>
      </c>
      <c r="T39" s="142">
        <v>182.40000000000003</v>
      </c>
      <c r="U39" s="133">
        <v>10058.289164794551</v>
      </c>
    </row>
    <row r="40" spans="1:21" x14ac:dyDescent="0.3">
      <c r="A40" s="176"/>
      <c r="B40" s="177"/>
      <c r="C40" s="178"/>
      <c r="D40" s="204"/>
      <c r="E40" s="133"/>
      <c r="F40" s="174"/>
      <c r="G40" s="174"/>
      <c r="H40" s="174"/>
      <c r="I40" s="174"/>
      <c r="J40" s="175"/>
      <c r="K40" s="122" t="s">
        <v>38</v>
      </c>
      <c r="L40" s="142">
        <v>510</v>
      </c>
      <c r="M40" s="133">
        <v>10832.758249106613</v>
      </c>
      <c r="N40" s="142">
        <v>560.99999999999989</v>
      </c>
      <c r="O40" s="133">
        <v>10982.388767106057</v>
      </c>
      <c r="P40" s="142">
        <v>612</v>
      </c>
      <c r="Q40" s="133">
        <v>11132.019285105505</v>
      </c>
      <c r="R40" s="142">
        <v>459</v>
      </c>
      <c r="S40" s="133">
        <v>10683.127731107164</v>
      </c>
      <c r="T40" s="142">
        <v>408</v>
      </c>
      <c r="U40" s="133">
        <v>10533.497213107719</v>
      </c>
    </row>
    <row r="41" spans="1:21" x14ac:dyDescent="0.3">
      <c r="A41" s="176"/>
      <c r="B41" s="177"/>
      <c r="C41" s="178"/>
      <c r="D41" s="204"/>
      <c r="E41" s="133"/>
      <c r="F41" s="174"/>
      <c r="G41" s="174"/>
      <c r="H41" s="174"/>
      <c r="I41" s="174"/>
      <c r="J41" s="175"/>
      <c r="K41" s="122" t="s">
        <v>39</v>
      </c>
      <c r="L41" s="142">
        <v>854</v>
      </c>
      <c r="M41" s="133">
        <v>15429.448555687937</v>
      </c>
      <c r="N41" s="142">
        <v>939.39999999999986</v>
      </c>
      <c r="O41" s="133">
        <v>15633.583238710367</v>
      </c>
      <c r="P41" s="142">
        <v>1024.7999999999997</v>
      </c>
      <c r="Q41" s="133">
        <v>15837.717921732796</v>
      </c>
      <c r="R41" s="142">
        <v>768.60000000000014</v>
      </c>
      <c r="S41" s="133">
        <v>15225.313872665503</v>
      </c>
      <c r="T41" s="142">
        <v>683.19999999999993</v>
      </c>
      <c r="U41" s="133">
        <v>15021.179189643079</v>
      </c>
    </row>
    <row r="42" spans="1:21" x14ac:dyDescent="0.3">
      <c r="A42" s="176"/>
      <c r="B42" s="177"/>
      <c r="C42" s="178"/>
      <c r="D42" s="204"/>
      <c r="E42" s="133"/>
      <c r="F42" s="174"/>
      <c r="G42" s="174"/>
      <c r="H42" s="174"/>
      <c r="I42" s="174"/>
      <c r="J42" s="175"/>
      <c r="K42" s="180" t="s">
        <v>132</v>
      </c>
      <c r="L42" s="181">
        <v>4132</v>
      </c>
      <c r="M42" s="181">
        <v>161550.38104904848</v>
      </c>
      <c r="N42" s="181">
        <v>4545.2000000000016</v>
      </c>
      <c r="O42" s="181">
        <v>162571.3417747429</v>
      </c>
      <c r="P42" s="181">
        <v>4958.3999999999996</v>
      </c>
      <c r="Q42" s="181">
        <v>163592.30250043733</v>
      </c>
      <c r="R42" s="181">
        <v>3718.8</v>
      </c>
      <c r="S42" s="181">
        <v>160529.42032335408</v>
      </c>
      <c r="T42" s="181">
        <v>3305.6000000000004</v>
      </c>
      <c r="U42" s="181">
        <v>159508.45959765959</v>
      </c>
    </row>
    <row r="43" spans="1:21" x14ac:dyDescent="0.3">
      <c r="A43" s="176"/>
      <c r="B43" s="177"/>
      <c r="C43" s="178"/>
      <c r="D43" s="204"/>
      <c r="E43" s="133"/>
      <c r="F43" s="174"/>
      <c r="G43" s="174"/>
      <c r="H43" s="174"/>
      <c r="I43" s="174"/>
      <c r="J43" s="175"/>
      <c r="K43" s="180" t="s">
        <v>133</v>
      </c>
      <c r="L43" s="181">
        <v>3552</v>
      </c>
      <c r="M43" s="181">
        <v>66532.386836966252</v>
      </c>
      <c r="N43" s="181">
        <v>3907.2000000000007</v>
      </c>
      <c r="O43" s="181">
        <v>67301.860690303918</v>
      </c>
      <c r="P43" s="181">
        <v>4262.3999999999996</v>
      </c>
      <c r="Q43" s="181">
        <v>68071.334543641555</v>
      </c>
      <c r="R43" s="181">
        <v>3196.8</v>
      </c>
      <c r="S43" s="181">
        <v>65762.912983628587</v>
      </c>
      <c r="T43" s="181">
        <v>2841.6000000000004</v>
      </c>
      <c r="U43" s="181">
        <v>64993.439130290935</v>
      </c>
    </row>
    <row r="44" spans="1:21" x14ac:dyDescent="0.3">
      <c r="A44" s="176"/>
      <c r="B44" s="186"/>
      <c r="C44" s="187"/>
      <c r="D44" s="205"/>
      <c r="E44" s="189"/>
      <c r="F44" s="174"/>
      <c r="G44" s="174"/>
      <c r="H44" s="174"/>
      <c r="I44" s="174"/>
      <c r="J44" s="175"/>
      <c r="K44" s="180" t="s">
        <v>134</v>
      </c>
      <c r="L44" s="181">
        <v>4132</v>
      </c>
      <c r="M44" s="181">
        <v>3279864.8211217192</v>
      </c>
      <c r="N44" s="181">
        <v>4545.2000000000016</v>
      </c>
      <c r="O44" s="181">
        <v>3525020.2340581305</v>
      </c>
      <c r="P44" s="181">
        <v>4958.3999999999996</v>
      </c>
      <c r="Q44" s="181">
        <v>3770175.6469945419</v>
      </c>
      <c r="R44" s="181">
        <v>3718.8</v>
      </c>
      <c r="S44" s="181">
        <v>3034709.4081853074</v>
      </c>
      <c r="T44" s="181">
        <v>3305.6000000000004</v>
      </c>
      <c r="U44" s="181">
        <v>2789553.9952488965</v>
      </c>
    </row>
    <row r="45" spans="1:21" x14ac:dyDescent="0.3">
      <c r="A45" s="190"/>
      <c r="B45" s="191"/>
      <c r="C45" s="191"/>
      <c r="D45" s="191" t="s">
        <v>135</v>
      </c>
      <c r="E45" s="192">
        <v>0</v>
      </c>
      <c r="F45" s="193"/>
      <c r="G45" s="193"/>
      <c r="H45" s="193"/>
      <c r="I45" s="193"/>
      <c r="J45" s="194"/>
      <c r="K45" s="180" t="s">
        <v>136</v>
      </c>
      <c r="L45" s="181">
        <v>3552</v>
      </c>
      <c r="M45" s="181">
        <v>2517276.0883247438</v>
      </c>
      <c r="N45" s="181">
        <v>3907.2000000000007</v>
      </c>
      <c r="O45" s="181">
        <v>2724794.4952128381</v>
      </c>
      <c r="P45" s="181">
        <v>4262.3999999999996</v>
      </c>
      <c r="Q45" s="181">
        <v>2932312.9021009309</v>
      </c>
      <c r="R45" s="181">
        <v>3196.8</v>
      </c>
      <c r="S45" s="181">
        <v>2309757.6814366505</v>
      </c>
      <c r="T45" s="181">
        <v>2841.6000000000004</v>
      </c>
      <c r="U45" s="181">
        <v>2102239.2745485571</v>
      </c>
    </row>
  </sheetData>
  <mergeCells count="27">
    <mergeCell ref="A1:J1"/>
    <mergeCell ref="K1:U1"/>
    <mergeCell ref="A2:J2"/>
    <mergeCell ref="K2:U2"/>
    <mergeCell ref="D3:F3"/>
    <mergeCell ref="N3:Q3"/>
    <mergeCell ref="F4:J4"/>
    <mergeCell ref="B5:C5"/>
    <mergeCell ref="L5:M5"/>
    <mergeCell ref="P5:U7"/>
    <mergeCell ref="B6:C6"/>
    <mergeCell ref="L6:M6"/>
    <mergeCell ref="B7:C7"/>
    <mergeCell ref="L7:M7"/>
    <mergeCell ref="K27:U27"/>
    <mergeCell ref="A33:J33"/>
    <mergeCell ref="B8:C8"/>
    <mergeCell ref="B9:C9"/>
    <mergeCell ref="K9:U9"/>
    <mergeCell ref="B10:C10"/>
    <mergeCell ref="A11:C16"/>
    <mergeCell ref="F14:J16"/>
    <mergeCell ref="B34:D34"/>
    <mergeCell ref="F34:J34"/>
    <mergeCell ref="A18:J18"/>
    <mergeCell ref="B19:D19"/>
    <mergeCell ref="F19:J19"/>
  </mergeCells>
  <phoneticPr fontId="13" type="noConversion"/>
  <conditionalFormatting sqref="J9">
    <cfRule type="cellIs" dxfId="19" priority="4" stopIfTrue="1" operator="greaterThanOrEqual">
      <formula>#REF!</formula>
    </cfRule>
  </conditionalFormatting>
  <conditionalFormatting sqref="J10">
    <cfRule type="cellIs" dxfId="18" priority="3" stopIfTrue="1" operator="greaterThanOrEqual">
      <formula>#REF!</formula>
    </cfRule>
  </conditionalFormatting>
  <conditionalFormatting sqref="H9">
    <cfRule type="cellIs" dxfId="17" priority="2" stopIfTrue="1" operator="greaterThanOrEqual">
      <formula>#REF!</formula>
    </cfRule>
  </conditionalFormatting>
  <conditionalFormatting sqref="F4:J4">
    <cfRule type="containsText" dxfId="16" priority="1" stopIfTrue="1" operator="containsText" text="PEAK DAY">
      <formula>NOT(ISERROR(SEARCH("PEAK DAY",F4)))</formula>
    </cfRule>
  </conditionalFormatting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zoomScale="75" zoomScaleNormal="75" workbookViewId="0">
      <selection activeCell="M33" activeCellId="1" sqref="M15:M21 M33:M39"/>
    </sheetView>
  </sheetViews>
  <sheetFormatPr defaultColWidth="9.109375" defaultRowHeight="14.4" x14ac:dyDescent="0.3"/>
  <cols>
    <col min="1" max="1" width="26.6640625" style="206" customWidth="1"/>
    <col min="2" max="3" width="18.6640625" style="206" customWidth="1"/>
    <col min="4" max="4" width="27.6640625" style="206" customWidth="1"/>
    <col min="5" max="5" width="15.6640625" style="206" customWidth="1"/>
    <col min="6" max="7" width="12.6640625" style="206" customWidth="1"/>
    <col min="8" max="8" width="17.6640625" style="206" customWidth="1"/>
    <col min="9" max="10" width="15.6640625" style="206" customWidth="1"/>
    <col min="11" max="13" width="18.6640625" style="107" customWidth="1"/>
    <col min="14" max="21" width="15.88671875" style="107" customWidth="1"/>
    <col min="22" max="16384" width="9.109375" style="107"/>
  </cols>
  <sheetData>
    <row r="1" spans="1:21" ht="17.399999999999999" x14ac:dyDescent="0.3">
      <c r="A1" s="561" t="s">
        <v>18</v>
      </c>
      <c r="B1" s="562"/>
      <c r="C1" s="562"/>
      <c r="D1" s="562"/>
      <c r="E1" s="562"/>
      <c r="F1" s="562"/>
      <c r="G1" s="562"/>
      <c r="H1" s="562"/>
      <c r="I1" s="562"/>
      <c r="J1" s="563"/>
      <c r="K1" s="561" t="s">
        <v>18</v>
      </c>
      <c r="L1" s="562"/>
      <c r="M1" s="562"/>
      <c r="N1" s="562"/>
      <c r="O1" s="562"/>
      <c r="P1" s="562"/>
      <c r="Q1" s="562"/>
      <c r="R1" s="562"/>
      <c r="S1" s="562"/>
      <c r="T1" s="562"/>
      <c r="U1" s="563"/>
    </row>
    <row r="2" spans="1:21" ht="17.399999999999999" x14ac:dyDescent="0.3">
      <c r="A2" s="564" t="s">
        <v>167</v>
      </c>
      <c r="B2" s="565"/>
      <c r="C2" s="565"/>
      <c r="D2" s="565"/>
      <c r="E2" s="565"/>
      <c r="F2" s="565"/>
      <c r="G2" s="565"/>
      <c r="H2" s="565"/>
      <c r="I2" s="565"/>
      <c r="J2" s="566"/>
      <c r="K2" s="564" t="s">
        <v>168</v>
      </c>
      <c r="L2" s="565"/>
      <c r="M2" s="565"/>
      <c r="N2" s="565"/>
      <c r="O2" s="565"/>
      <c r="P2" s="565"/>
      <c r="Q2" s="565"/>
      <c r="R2" s="565"/>
      <c r="S2" s="565"/>
      <c r="T2" s="565"/>
      <c r="U2" s="566"/>
    </row>
    <row r="3" spans="1:21" x14ac:dyDescent="0.3">
      <c r="A3" s="108"/>
      <c r="B3" s="109"/>
      <c r="C3"/>
      <c r="D3" s="567" t="s">
        <v>175</v>
      </c>
      <c r="E3" s="567"/>
      <c r="F3" s="567"/>
      <c r="G3"/>
      <c r="H3" s="109"/>
      <c r="I3" s="109"/>
      <c r="J3" s="110"/>
      <c r="K3" s="108"/>
      <c r="L3" s="109"/>
      <c r="M3"/>
      <c r="N3" s="567" t="s">
        <v>175</v>
      </c>
      <c r="O3" s="567"/>
      <c r="P3" s="567"/>
      <c r="Q3" s="567"/>
      <c r="R3"/>
      <c r="S3"/>
      <c r="T3" s="109"/>
      <c r="U3" s="110"/>
    </row>
    <row r="4" spans="1:21" x14ac:dyDescent="0.3">
      <c r="A4" s="111"/>
      <c r="B4" s="112"/>
      <c r="C4" s="112"/>
      <c r="D4" s="112"/>
      <c r="E4" s="112"/>
      <c r="F4" s="541" t="s">
        <v>154</v>
      </c>
      <c r="G4" s="541"/>
      <c r="H4" s="541"/>
      <c r="I4" s="541"/>
      <c r="J4" s="542"/>
      <c r="K4" s="113"/>
      <c r="L4" s="114"/>
      <c r="M4" s="114"/>
      <c r="N4" s="114"/>
      <c r="O4" s="114"/>
      <c r="P4" s="114"/>
      <c r="Q4" s="114"/>
      <c r="R4" s="114"/>
      <c r="S4" s="114"/>
      <c r="T4" s="114"/>
      <c r="U4" s="115"/>
    </row>
    <row r="5" spans="1:21" ht="15" customHeight="1" x14ac:dyDescent="0.3">
      <c r="A5" s="116" t="s">
        <v>67</v>
      </c>
      <c r="B5" s="543" t="s">
        <v>65</v>
      </c>
      <c r="C5" s="544"/>
      <c r="D5" s="117" t="s">
        <v>68</v>
      </c>
      <c r="E5" s="118"/>
      <c r="F5" s="117" t="s">
        <v>69</v>
      </c>
      <c r="G5" s="119"/>
      <c r="H5" s="120" t="s">
        <v>70</v>
      </c>
      <c r="I5" s="121" t="s">
        <v>84</v>
      </c>
      <c r="J5" s="121"/>
      <c r="K5" s="116" t="s">
        <v>67</v>
      </c>
      <c r="L5" s="545" t="s">
        <v>65</v>
      </c>
      <c r="M5" s="546"/>
      <c r="N5" s="117" t="s">
        <v>71</v>
      </c>
      <c r="O5" s="119"/>
      <c r="P5" s="547" t="s">
        <v>176</v>
      </c>
      <c r="Q5" s="548"/>
      <c r="R5" s="548"/>
      <c r="S5" s="548"/>
      <c r="T5" s="548"/>
      <c r="U5" s="549"/>
    </row>
    <row r="6" spans="1:21" x14ac:dyDescent="0.3">
      <c r="A6" s="122" t="s">
        <v>72</v>
      </c>
      <c r="B6" s="556" t="s">
        <v>155</v>
      </c>
      <c r="C6" s="557"/>
      <c r="D6" s="123" t="s">
        <v>74</v>
      </c>
      <c r="E6" s="124">
        <v>0.96147126247600201</v>
      </c>
      <c r="F6" s="125" t="s">
        <v>75</v>
      </c>
      <c r="G6" s="126"/>
      <c r="H6" s="127">
        <v>74.5</v>
      </c>
      <c r="I6" s="128">
        <v>31067</v>
      </c>
      <c r="J6" s="129"/>
      <c r="K6" s="122" t="s">
        <v>72</v>
      </c>
      <c r="L6" s="558" t="s">
        <v>155</v>
      </c>
      <c r="M6" s="530"/>
      <c r="N6" s="130">
        <v>640</v>
      </c>
      <c r="O6" s="131"/>
      <c r="P6" s="550"/>
      <c r="Q6" s="551"/>
      <c r="R6" s="551"/>
      <c r="S6" s="551"/>
      <c r="T6" s="551"/>
      <c r="U6" s="552"/>
    </row>
    <row r="7" spans="1:21" x14ac:dyDescent="0.3">
      <c r="A7" s="122" t="s">
        <v>77</v>
      </c>
      <c r="B7" s="529" t="s">
        <v>137</v>
      </c>
      <c r="C7" s="530"/>
      <c r="D7" s="132" t="s">
        <v>79</v>
      </c>
      <c r="E7" s="133">
        <v>19.056610196115098</v>
      </c>
      <c r="F7" s="125" t="s">
        <v>80</v>
      </c>
      <c r="G7" s="126"/>
      <c r="H7" s="134">
        <v>55</v>
      </c>
      <c r="I7" s="135">
        <v>31066</v>
      </c>
      <c r="J7" s="136"/>
      <c r="K7" s="137" t="s">
        <v>77</v>
      </c>
      <c r="L7" s="559" t="s">
        <v>137</v>
      </c>
      <c r="M7" s="560"/>
      <c r="N7" s="117"/>
      <c r="O7" s="119"/>
      <c r="P7" s="553"/>
      <c r="Q7" s="554"/>
      <c r="R7" s="554"/>
      <c r="S7" s="554"/>
      <c r="T7" s="554"/>
      <c r="U7" s="555"/>
    </row>
    <row r="8" spans="1:21" ht="15.6" x14ac:dyDescent="0.3">
      <c r="A8" s="122" t="s">
        <v>81</v>
      </c>
      <c r="B8" s="527" t="s">
        <v>64</v>
      </c>
      <c r="C8" s="528"/>
      <c r="D8" s="132" t="s">
        <v>82</v>
      </c>
      <c r="E8" s="133">
        <v>37.350955984385593</v>
      </c>
      <c r="F8" s="125"/>
      <c r="G8" s="126"/>
      <c r="H8" s="121" t="s">
        <v>83</v>
      </c>
      <c r="I8" s="138" t="s">
        <v>84</v>
      </c>
      <c r="J8" s="121" t="s">
        <v>85</v>
      </c>
      <c r="K8" s="139"/>
      <c r="L8" s="140"/>
      <c r="M8" s="140"/>
      <c r="N8" s="140"/>
      <c r="O8" s="140"/>
      <c r="P8" s="140"/>
      <c r="Q8" s="140"/>
      <c r="R8" s="140"/>
      <c r="S8" s="140"/>
      <c r="T8" s="140"/>
      <c r="U8" s="141"/>
    </row>
    <row r="9" spans="1:21" ht="15.6" x14ac:dyDescent="0.3">
      <c r="A9" s="122" t="s">
        <v>86</v>
      </c>
      <c r="B9" s="527" t="s">
        <v>76</v>
      </c>
      <c r="C9" s="528"/>
      <c r="D9" s="132" t="s">
        <v>87</v>
      </c>
      <c r="E9" s="142">
        <v>640</v>
      </c>
      <c r="F9" s="125" t="s">
        <v>88</v>
      </c>
      <c r="G9" s="126"/>
      <c r="H9" s="134">
        <v>61.2</v>
      </c>
      <c r="I9" s="143">
        <v>38016</v>
      </c>
      <c r="J9" s="144">
        <v>575</v>
      </c>
      <c r="K9" s="524" t="s">
        <v>89</v>
      </c>
      <c r="L9" s="525"/>
      <c r="M9" s="525"/>
      <c r="N9" s="525"/>
      <c r="O9" s="525"/>
      <c r="P9" s="525"/>
      <c r="Q9" s="525"/>
      <c r="R9" s="525"/>
      <c r="S9" s="525"/>
      <c r="T9" s="525"/>
      <c r="U9" s="526"/>
    </row>
    <row r="10" spans="1:21" x14ac:dyDescent="0.3">
      <c r="A10" s="122" t="s">
        <v>90</v>
      </c>
      <c r="B10" s="529" t="s">
        <v>91</v>
      </c>
      <c r="C10" s="530"/>
      <c r="D10" s="132" t="s">
        <v>92</v>
      </c>
      <c r="E10" s="133">
        <v>0</v>
      </c>
      <c r="F10" s="145" t="s">
        <v>93</v>
      </c>
      <c r="G10" s="146"/>
      <c r="H10" s="147">
        <v>65</v>
      </c>
      <c r="I10" s="148">
        <v>41645</v>
      </c>
      <c r="J10" s="149">
        <v>573</v>
      </c>
      <c r="K10" s="150"/>
      <c r="L10" s="151" t="s">
        <v>94</v>
      </c>
      <c r="M10" s="152"/>
      <c r="N10" s="151" t="s">
        <v>95</v>
      </c>
      <c r="O10" s="152"/>
      <c r="P10" s="151" t="s">
        <v>96</v>
      </c>
      <c r="Q10" s="152"/>
      <c r="R10" s="151" t="s">
        <v>97</v>
      </c>
      <c r="S10" s="152"/>
      <c r="T10" s="151" t="s">
        <v>98</v>
      </c>
      <c r="U10" s="153"/>
    </row>
    <row r="11" spans="1:21" ht="15" customHeight="1" x14ac:dyDescent="0.3">
      <c r="A11" s="531" t="s">
        <v>177</v>
      </c>
      <c r="B11" s="532"/>
      <c r="C11" s="533"/>
      <c r="D11" s="154" t="s">
        <v>99</v>
      </c>
      <c r="E11" s="155">
        <v>640</v>
      </c>
      <c r="F11" s="117" t="s">
        <v>100</v>
      </c>
      <c r="G11" s="119"/>
      <c r="H11" s="120" t="s">
        <v>101</v>
      </c>
      <c r="I11" s="121" t="s">
        <v>102</v>
      </c>
      <c r="J11" s="121" t="s">
        <v>103</v>
      </c>
      <c r="K11" s="156" t="s">
        <v>104</v>
      </c>
      <c r="L11" s="120" t="s">
        <v>105</v>
      </c>
      <c r="M11" s="120" t="s">
        <v>37</v>
      </c>
      <c r="N11" s="120" t="s">
        <v>105</v>
      </c>
      <c r="O11" s="120" t="s">
        <v>37</v>
      </c>
      <c r="P11" s="120" t="s">
        <v>105</v>
      </c>
      <c r="Q11" s="120" t="s">
        <v>37</v>
      </c>
      <c r="R11" s="120" t="s">
        <v>105</v>
      </c>
      <c r="S11" s="120" t="s">
        <v>37</v>
      </c>
      <c r="T11" s="120" t="s">
        <v>105</v>
      </c>
      <c r="U11" s="120" t="s">
        <v>37</v>
      </c>
    </row>
    <row r="12" spans="1:21" x14ac:dyDescent="0.3">
      <c r="A12" s="534"/>
      <c r="B12" s="535"/>
      <c r="C12" s="536"/>
      <c r="D12" s="118" t="s">
        <v>106</v>
      </c>
      <c r="E12" s="157"/>
      <c r="F12" s="116" t="s">
        <v>107</v>
      </c>
      <c r="G12" s="116"/>
      <c r="H12" s="101">
        <v>39393.689617800374</v>
      </c>
      <c r="I12" s="101">
        <v>0</v>
      </c>
      <c r="J12" s="101">
        <v>39393.689617800374</v>
      </c>
      <c r="K12" s="122" t="s">
        <v>40</v>
      </c>
      <c r="L12" s="158">
        <v>1007.0000000000007</v>
      </c>
      <c r="M12" s="159">
        <v>8042.3669251058636</v>
      </c>
      <c r="N12" s="158">
        <v>1107.7000000000003</v>
      </c>
      <c r="O12" s="159">
        <v>8794.3590221966224</v>
      </c>
      <c r="P12" s="158">
        <v>1208.3999999999999</v>
      </c>
      <c r="Q12" s="159">
        <v>9546.3511192873812</v>
      </c>
      <c r="R12" s="158">
        <v>906.30000000000007</v>
      </c>
      <c r="S12" s="159">
        <v>7290.374828015104</v>
      </c>
      <c r="T12" s="158">
        <v>805.59999999999945</v>
      </c>
      <c r="U12" s="159">
        <v>6538.3827309243443</v>
      </c>
    </row>
    <row r="13" spans="1:21" x14ac:dyDescent="0.3">
      <c r="A13" s="534"/>
      <c r="B13" s="535"/>
      <c r="C13" s="536"/>
      <c r="D13" s="160" t="s">
        <v>108</v>
      </c>
      <c r="E13" s="159">
        <v>0</v>
      </c>
      <c r="F13" s="126" t="s">
        <v>109</v>
      </c>
      <c r="G13" s="122"/>
      <c r="H13" s="161">
        <v>29884.222776822506</v>
      </c>
      <c r="I13" s="161">
        <v>0</v>
      </c>
      <c r="J13" s="161">
        <v>29884.222776822506</v>
      </c>
      <c r="K13" s="122" t="s">
        <v>41</v>
      </c>
      <c r="L13" s="142">
        <v>795.00000000000011</v>
      </c>
      <c r="M13" s="133">
        <v>6399.0722596915984</v>
      </c>
      <c r="N13" s="142">
        <v>874.50000000000023</v>
      </c>
      <c r="O13" s="133">
        <v>6996.3113906132712</v>
      </c>
      <c r="P13" s="142">
        <v>954.00000000000011</v>
      </c>
      <c r="Q13" s="133">
        <v>7593.5505215349467</v>
      </c>
      <c r="R13" s="142">
        <v>715.5</v>
      </c>
      <c r="S13" s="133">
        <v>5801.8331287699239</v>
      </c>
      <c r="T13" s="142">
        <v>636</v>
      </c>
      <c r="U13" s="133">
        <v>5204.5939978482475</v>
      </c>
    </row>
    <row r="14" spans="1:21" ht="15" customHeight="1" x14ac:dyDescent="0.3">
      <c r="A14" s="534"/>
      <c r="B14" s="535"/>
      <c r="C14" s="536"/>
      <c r="D14" s="162" t="s">
        <v>110</v>
      </c>
      <c r="E14" s="133">
        <v>-640</v>
      </c>
      <c r="F14" s="540" t="s">
        <v>178</v>
      </c>
      <c r="G14" s="532"/>
      <c r="H14" s="532"/>
      <c r="I14" s="532"/>
      <c r="J14" s="533"/>
      <c r="K14" s="122" t="s">
        <v>42</v>
      </c>
      <c r="L14" s="142">
        <v>591.99999999999977</v>
      </c>
      <c r="M14" s="133">
        <v>4599.7376900255031</v>
      </c>
      <c r="N14" s="142">
        <v>651.20000000000005</v>
      </c>
      <c r="O14" s="133">
        <v>5046.8893031177822</v>
      </c>
      <c r="P14" s="142">
        <v>710.39999999999986</v>
      </c>
      <c r="Q14" s="133">
        <v>5494.0409162100595</v>
      </c>
      <c r="R14" s="142">
        <v>532.80000000000018</v>
      </c>
      <c r="S14" s="133">
        <v>4152.5860769332239</v>
      </c>
      <c r="T14" s="142">
        <v>473.60000000000019</v>
      </c>
      <c r="U14" s="133">
        <v>3705.4344638409457</v>
      </c>
    </row>
    <row r="15" spans="1:21" x14ac:dyDescent="0.3">
      <c r="A15" s="534"/>
      <c r="B15" s="535"/>
      <c r="C15" s="536"/>
      <c r="D15" s="162" t="s">
        <v>111</v>
      </c>
      <c r="E15" s="163">
        <v>0</v>
      </c>
      <c r="F15" s="534"/>
      <c r="G15" s="535"/>
      <c r="H15" s="535"/>
      <c r="I15" s="535"/>
      <c r="J15" s="536"/>
      <c r="K15" s="122" t="s">
        <v>112</v>
      </c>
      <c r="L15" s="142">
        <v>288.99999999999989</v>
      </c>
      <c r="M15" s="133">
        <v>2287.1608974016131</v>
      </c>
      <c r="N15" s="142">
        <v>317.89999999999992</v>
      </c>
      <c r="O15" s="133">
        <v>2520.9498681430032</v>
      </c>
      <c r="P15" s="142">
        <v>346.80000000000007</v>
      </c>
      <c r="Q15" s="133">
        <v>2754.7388388843938</v>
      </c>
      <c r="R15" s="142">
        <v>260.10000000000002</v>
      </c>
      <c r="S15" s="133">
        <v>2053.3719266602229</v>
      </c>
      <c r="T15" s="142">
        <v>231.19999999999987</v>
      </c>
      <c r="U15" s="133">
        <v>1819.5829559188319</v>
      </c>
    </row>
    <row r="16" spans="1:21" x14ac:dyDescent="0.3">
      <c r="A16" s="537"/>
      <c r="B16" s="538"/>
      <c r="C16" s="539"/>
      <c r="D16" s="164"/>
      <c r="E16" s="165"/>
      <c r="F16" s="537"/>
      <c r="G16" s="538"/>
      <c r="H16" s="538"/>
      <c r="I16" s="538"/>
      <c r="J16" s="539"/>
      <c r="K16" s="122" t="s">
        <v>113</v>
      </c>
      <c r="L16" s="142">
        <v>86</v>
      </c>
      <c r="M16" s="133">
        <v>1003.0545473265865</v>
      </c>
      <c r="N16" s="142">
        <v>94.599999999999966</v>
      </c>
      <c r="O16" s="133">
        <v>1074.1240054408572</v>
      </c>
      <c r="P16" s="142">
        <v>103.20000000000003</v>
      </c>
      <c r="Q16" s="133">
        <v>1145.1934635551274</v>
      </c>
      <c r="R16" s="142">
        <v>77.400000000000048</v>
      </c>
      <c r="S16" s="133">
        <v>931.98508921231576</v>
      </c>
      <c r="T16" s="142">
        <v>68.799999999999983</v>
      </c>
      <c r="U16" s="133">
        <v>860.9156310980452</v>
      </c>
    </row>
    <row r="17" spans="1:21" x14ac:dyDescent="0.3">
      <c r="A17" s="166"/>
      <c r="B17" s="6"/>
      <c r="C17" s="6"/>
      <c r="D17" s="6"/>
      <c r="E17" s="167"/>
      <c r="F17" s="168"/>
      <c r="G17" s="6"/>
      <c r="H17" s="6"/>
      <c r="I17" s="6"/>
      <c r="J17" s="169"/>
      <c r="K17" s="122" t="s">
        <v>114</v>
      </c>
      <c r="L17" s="142">
        <v>6.0000000000000027</v>
      </c>
      <c r="M17" s="133">
        <v>705.13456385633788</v>
      </c>
      <c r="N17" s="142">
        <v>6.6000000000000192</v>
      </c>
      <c r="O17" s="133">
        <v>710.45570764669742</v>
      </c>
      <c r="P17" s="142">
        <v>7.2000000000000126</v>
      </c>
      <c r="Q17" s="133">
        <v>715.77685143705662</v>
      </c>
      <c r="R17" s="142">
        <v>5.4000000000000092</v>
      </c>
      <c r="S17" s="133">
        <v>699.81342006597856</v>
      </c>
      <c r="T17" s="142">
        <v>4.8000000000000096</v>
      </c>
      <c r="U17" s="133">
        <v>694.49227627561879</v>
      </c>
    </row>
    <row r="18" spans="1:21" ht="15.6" x14ac:dyDescent="0.3">
      <c r="A18" s="521" t="s">
        <v>115</v>
      </c>
      <c r="B18" s="522"/>
      <c r="C18" s="522"/>
      <c r="D18" s="522"/>
      <c r="E18" s="522"/>
      <c r="F18" s="522"/>
      <c r="G18" s="522"/>
      <c r="H18" s="522"/>
      <c r="I18" s="522"/>
      <c r="J18" s="523"/>
      <c r="K18" s="122" t="s">
        <v>116</v>
      </c>
      <c r="L18" s="142">
        <v>0</v>
      </c>
      <c r="M18" s="133">
        <v>693.77907520249653</v>
      </c>
      <c r="N18" s="142">
        <v>0</v>
      </c>
      <c r="O18" s="133">
        <v>693.83052963661714</v>
      </c>
      <c r="P18" s="142">
        <v>0</v>
      </c>
      <c r="Q18" s="133">
        <v>693.88198407073742</v>
      </c>
      <c r="R18" s="142">
        <v>0</v>
      </c>
      <c r="S18" s="133">
        <v>693.7276207683758</v>
      </c>
      <c r="T18" s="142">
        <v>0</v>
      </c>
      <c r="U18" s="133">
        <v>693.67616633425519</v>
      </c>
    </row>
    <row r="19" spans="1:21" x14ac:dyDescent="0.3">
      <c r="A19" s="121" t="s">
        <v>117</v>
      </c>
      <c r="B19" s="515" t="s">
        <v>118</v>
      </c>
      <c r="C19" s="516"/>
      <c r="D19" s="517"/>
      <c r="E19" s="121" t="s">
        <v>119</v>
      </c>
      <c r="F19" s="515" t="s">
        <v>120</v>
      </c>
      <c r="G19" s="518"/>
      <c r="H19" s="519"/>
      <c r="I19" s="519"/>
      <c r="J19" s="520"/>
      <c r="K19" s="122" t="s">
        <v>121</v>
      </c>
      <c r="L19" s="142">
        <v>0.99999999999999922</v>
      </c>
      <c r="M19" s="133">
        <v>823.81253003012387</v>
      </c>
      <c r="N19" s="142">
        <v>1.1000000000000001</v>
      </c>
      <c r="O19" s="133">
        <v>824.5896802911069</v>
      </c>
      <c r="P19" s="142">
        <v>1.1999999999999988</v>
      </c>
      <c r="Q19" s="133">
        <v>825.36683055209016</v>
      </c>
      <c r="R19" s="142">
        <v>0.8999999999999998</v>
      </c>
      <c r="S19" s="133">
        <v>823.03537976914095</v>
      </c>
      <c r="T19" s="142">
        <v>0.79999999999999949</v>
      </c>
      <c r="U19" s="133">
        <v>822.25822950815768</v>
      </c>
    </row>
    <row r="20" spans="1:21" x14ac:dyDescent="0.3">
      <c r="A20" s="170"/>
      <c r="B20" s="171"/>
      <c r="C20" s="172"/>
      <c r="D20" s="173"/>
      <c r="E20" s="133"/>
      <c r="F20" s="174" t="s">
        <v>179</v>
      </c>
      <c r="G20" s="174"/>
      <c r="H20" s="174"/>
      <c r="I20" s="174"/>
      <c r="J20" s="175"/>
      <c r="K20" s="122" t="s">
        <v>124</v>
      </c>
      <c r="L20" s="142">
        <v>46</v>
      </c>
      <c r="M20" s="133">
        <v>1845.5456279135133</v>
      </c>
      <c r="N20" s="142">
        <v>50.599999999999994</v>
      </c>
      <c r="O20" s="133">
        <v>1879.9887551280217</v>
      </c>
      <c r="P20" s="142">
        <v>55.199999999999989</v>
      </c>
      <c r="Q20" s="133">
        <v>1914.4318823425292</v>
      </c>
      <c r="R20" s="142">
        <v>41.400000000000006</v>
      </c>
      <c r="S20" s="133">
        <v>1811.1025006990053</v>
      </c>
      <c r="T20" s="142">
        <v>36.799999999999997</v>
      </c>
      <c r="U20" s="133">
        <v>1776.6593734844973</v>
      </c>
    </row>
    <row r="21" spans="1:21" x14ac:dyDescent="0.3">
      <c r="A21" s="176"/>
      <c r="B21" s="177"/>
      <c r="C21" s="178"/>
      <c r="D21" s="179"/>
      <c r="E21" s="133"/>
      <c r="F21" s="174"/>
      <c r="G21" s="174"/>
      <c r="H21" s="174"/>
      <c r="I21" s="174"/>
      <c r="J21" s="175"/>
      <c r="K21" s="122" t="s">
        <v>126</v>
      </c>
      <c r="L21" s="142">
        <v>256</v>
      </c>
      <c r="M21" s="133">
        <v>2150.9795992471973</v>
      </c>
      <c r="N21" s="142">
        <v>281.60000000000002</v>
      </c>
      <c r="O21" s="133">
        <v>2350.1661174286669</v>
      </c>
      <c r="P21" s="142">
        <v>307.20000000000005</v>
      </c>
      <c r="Q21" s="133">
        <v>2549.3526356101361</v>
      </c>
      <c r="R21" s="142">
        <v>230.39999999999998</v>
      </c>
      <c r="S21" s="133">
        <v>1951.7930810657283</v>
      </c>
      <c r="T21" s="142">
        <v>204.8</v>
      </c>
      <c r="U21" s="133">
        <v>1752.6065628842589</v>
      </c>
    </row>
    <row r="22" spans="1:21" x14ac:dyDescent="0.3">
      <c r="A22" s="176"/>
      <c r="B22" s="177"/>
      <c r="C22" s="178"/>
      <c r="D22" s="179"/>
      <c r="E22" s="133"/>
      <c r="F22" s="174"/>
      <c r="G22" s="174"/>
      <c r="H22" s="174"/>
      <c r="I22" s="174"/>
      <c r="J22" s="175"/>
      <c r="K22" s="122" t="s">
        <v>38</v>
      </c>
      <c r="L22" s="142">
        <v>558</v>
      </c>
      <c r="M22" s="133">
        <v>4000.7298047877562</v>
      </c>
      <c r="N22" s="142">
        <v>613.80000000000007</v>
      </c>
      <c r="O22" s="133">
        <v>4412.2985045429805</v>
      </c>
      <c r="P22" s="142">
        <v>669.60000000000014</v>
      </c>
      <c r="Q22" s="133">
        <v>4823.8672042982043</v>
      </c>
      <c r="R22" s="142">
        <v>502.20000000000005</v>
      </c>
      <c r="S22" s="133">
        <v>3589.1611050325314</v>
      </c>
      <c r="T22" s="142">
        <v>446.40000000000015</v>
      </c>
      <c r="U22" s="133">
        <v>3177.5924052773071</v>
      </c>
    </row>
    <row r="23" spans="1:21" x14ac:dyDescent="0.3">
      <c r="A23" s="176"/>
      <c r="B23" s="177"/>
      <c r="C23" s="178"/>
      <c r="D23" s="179"/>
      <c r="E23" s="133"/>
      <c r="F23" s="174"/>
      <c r="G23" s="174"/>
      <c r="H23" s="174"/>
      <c r="I23" s="174"/>
      <c r="J23" s="175"/>
      <c r="K23" s="122" t="s">
        <v>39</v>
      </c>
      <c r="L23" s="142">
        <v>911.00000000000068</v>
      </c>
      <c r="M23" s="133">
        <v>6842.3160972117839</v>
      </c>
      <c r="N23" s="142">
        <v>1002.1000000000003</v>
      </c>
      <c r="O23" s="133">
        <v>7518.6765690217653</v>
      </c>
      <c r="P23" s="142">
        <v>1093.1999999999998</v>
      </c>
      <c r="Q23" s="133">
        <v>8195.0370408317485</v>
      </c>
      <c r="R23" s="142">
        <v>819.89999999999941</v>
      </c>
      <c r="S23" s="133">
        <v>6165.9556254018044</v>
      </c>
      <c r="T23" s="142">
        <v>728.79999999999984</v>
      </c>
      <c r="U23" s="133">
        <v>5489.595153591823</v>
      </c>
    </row>
    <row r="24" spans="1:21" x14ac:dyDescent="0.3">
      <c r="A24" s="176"/>
      <c r="B24" s="177"/>
      <c r="C24" s="178"/>
      <c r="D24" s="179"/>
      <c r="E24" s="133"/>
      <c r="F24" s="174"/>
      <c r="G24" s="174"/>
      <c r="H24" s="174"/>
      <c r="I24" s="174"/>
      <c r="J24" s="175"/>
      <c r="K24" s="180" t="s">
        <v>127</v>
      </c>
      <c r="L24" s="181">
        <v>4547.0000000000018</v>
      </c>
      <c r="M24" s="181">
        <v>39393.689617800374</v>
      </c>
      <c r="N24" s="181">
        <v>5001.7000000000007</v>
      </c>
      <c r="O24" s="181">
        <v>42822.63945320739</v>
      </c>
      <c r="P24" s="181">
        <v>5456.4</v>
      </c>
      <c r="Q24" s="181">
        <v>46251.589288614414</v>
      </c>
      <c r="R24" s="181">
        <v>4092.3</v>
      </c>
      <c r="S24" s="181">
        <v>35964.73978239335</v>
      </c>
      <c r="T24" s="181">
        <v>3637.6000000000004</v>
      </c>
      <c r="U24" s="181">
        <v>32535.789946986333</v>
      </c>
    </row>
    <row r="25" spans="1:21" x14ac:dyDescent="0.3">
      <c r="A25" s="176"/>
      <c r="B25" s="177"/>
      <c r="C25" s="178"/>
      <c r="D25" s="179"/>
      <c r="E25" s="133"/>
      <c r="F25" s="174"/>
      <c r="G25" s="174"/>
      <c r="H25" s="174"/>
      <c r="I25" s="174"/>
      <c r="J25" s="175"/>
      <c r="K25" s="180" t="s">
        <v>128</v>
      </c>
      <c r="L25" s="181">
        <v>3863.0000000000018</v>
      </c>
      <c r="M25" s="181">
        <v>29884.222776822506</v>
      </c>
      <c r="N25" s="181">
        <v>4249.3000000000011</v>
      </c>
      <c r="O25" s="181">
        <v>32768.53478949242</v>
      </c>
      <c r="P25" s="181">
        <v>4635.6000000000004</v>
      </c>
      <c r="Q25" s="181">
        <v>35652.846802162341</v>
      </c>
      <c r="R25" s="181">
        <v>3476.7</v>
      </c>
      <c r="S25" s="181">
        <v>26999.910764152584</v>
      </c>
      <c r="T25" s="181">
        <v>3090.3999999999996</v>
      </c>
      <c r="U25" s="181">
        <v>24115.59875148267</v>
      </c>
    </row>
    <row r="26" spans="1:21" x14ac:dyDescent="0.3">
      <c r="A26" s="176"/>
      <c r="B26" s="177"/>
      <c r="C26" s="178"/>
      <c r="D26" s="179"/>
      <c r="E26" s="133"/>
      <c r="F26" s="174"/>
      <c r="G26" s="174"/>
      <c r="H26" s="174"/>
      <c r="I26" s="174"/>
      <c r="J26" s="175"/>
      <c r="K26" s="182"/>
      <c r="L26" s="183"/>
      <c r="M26" s="183"/>
      <c r="N26" s="183"/>
      <c r="O26" s="183"/>
      <c r="P26" s="183"/>
      <c r="Q26" s="183"/>
      <c r="R26" s="183"/>
      <c r="S26" s="183"/>
      <c r="T26" s="183"/>
      <c r="U26" s="184"/>
    </row>
    <row r="27" spans="1:21" ht="15.6" x14ac:dyDescent="0.3">
      <c r="A27" s="176"/>
      <c r="B27" s="177"/>
      <c r="C27" s="178"/>
      <c r="D27" s="179"/>
      <c r="E27" s="133"/>
      <c r="F27" s="174"/>
      <c r="G27" s="174"/>
      <c r="H27" s="174"/>
      <c r="I27" s="174"/>
      <c r="J27" s="175"/>
      <c r="K27" s="524" t="s">
        <v>129</v>
      </c>
      <c r="L27" s="525"/>
      <c r="M27" s="525"/>
      <c r="N27" s="525"/>
      <c r="O27" s="525"/>
      <c r="P27" s="525"/>
      <c r="Q27" s="525"/>
      <c r="R27" s="525"/>
      <c r="S27" s="525"/>
      <c r="T27" s="525"/>
      <c r="U27" s="526"/>
    </row>
    <row r="28" spans="1:21" x14ac:dyDescent="0.3">
      <c r="A28" s="176"/>
      <c r="B28" s="177"/>
      <c r="C28" s="178"/>
      <c r="D28" s="179"/>
      <c r="E28" s="133"/>
      <c r="F28" s="174"/>
      <c r="G28" s="174"/>
      <c r="H28" s="174"/>
      <c r="I28" s="174"/>
      <c r="J28" s="175"/>
      <c r="K28" s="150"/>
      <c r="L28" s="151" t="s">
        <v>94</v>
      </c>
      <c r="M28" s="152"/>
      <c r="N28" s="151" t="s">
        <v>95</v>
      </c>
      <c r="O28" s="152"/>
      <c r="P28" s="151" t="s">
        <v>96</v>
      </c>
      <c r="Q28" s="152"/>
      <c r="R28" s="151" t="s">
        <v>97</v>
      </c>
      <c r="S28" s="152"/>
      <c r="T28" s="151" t="s">
        <v>98</v>
      </c>
      <c r="U28" s="153"/>
    </row>
    <row r="29" spans="1:21" x14ac:dyDescent="0.3">
      <c r="A29" s="176"/>
      <c r="B29" s="177"/>
      <c r="C29" s="178"/>
      <c r="D29" s="179"/>
      <c r="E29" s="133"/>
      <c r="F29" s="174"/>
      <c r="G29" s="174"/>
      <c r="H29" s="174"/>
      <c r="I29" s="174"/>
      <c r="J29" s="175"/>
      <c r="K29" s="156" t="s">
        <v>104</v>
      </c>
      <c r="L29" s="120" t="s">
        <v>105</v>
      </c>
      <c r="M29" s="120" t="s">
        <v>37</v>
      </c>
      <c r="N29" s="120" t="s">
        <v>105</v>
      </c>
      <c r="O29" s="120" t="s">
        <v>37</v>
      </c>
      <c r="P29" s="120" t="s">
        <v>105</v>
      </c>
      <c r="Q29" s="120" t="s">
        <v>37</v>
      </c>
      <c r="R29" s="120" t="s">
        <v>105</v>
      </c>
      <c r="S29" s="120" t="s">
        <v>37</v>
      </c>
      <c r="T29" s="120" t="s">
        <v>105</v>
      </c>
      <c r="U29" s="120" t="s">
        <v>37</v>
      </c>
    </row>
    <row r="30" spans="1:21" x14ac:dyDescent="0.3">
      <c r="A30" s="185"/>
      <c r="B30" s="186"/>
      <c r="C30" s="187"/>
      <c r="D30" s="188"/>
      <c r="E30" s="189"/>
      <c r="F30" s="174"/>
      <c r="G30" s="174"/>
      <c r="H30" s="174"/>
      <c r="I30" s="174"/>
      <c r="J30" s="175"/>
      <c r="K30" s="122" t="s">
        <v>40</v>
      </c>
      <c r="L30" s="158">
        <v>1007.0000000000007</v>
      </c>
      <c r="M30" s="159">
        <v>0</v>
      </c>
      <c r="N30" s="158">
        <v>1107.7000000000003</v>
      </c>
      <c r="O30" s="159">
        <v>0</v>
      </c>
      <c r="P30" s="158">
        <v>1208.3999999999999</v>
      </c>
      <c r="Q30" s="159">
        <v>0</v>
      </c>
      <c r="R30" s="158">
        <v>906.30000000000007</v>
      </c>
      <c r="S30" s="159">
        <v>0</v>
      </c>
      <c r="T30" s="158">
        <v>805.59999999999945</v>
      </c>
      <c r="U30" s="159">
        <v>0</v>
      </c>
    </row>
    <row r="31" spans="1:21" x14ac:dyDescent="0.3">
      <c r="A31" s="190"/>
      <c r="B31" s="191"/>
      <c r="C31" s="191"/>
      <c r="D31" s="191" t="s">
        <v>130</v>
      </c>
      <c r="E31" s="192">
        <v>0</v>
      </c>
      <c r="F31" s="193"/>
      <c r="G31" s="193"/>
      <c r="H31" s="193"/>
      <c r="I31" s="193"/>
      <c r="J31" s="194"/>
      <c r="K31" s="122" t="s">
        <v>41</v>
      </c>
      <c r="L31" s="142">
        <v>795.00000000000011</v>
      </c>
      <c r="M31" s="133">
        <v>0</v>
      </c>
      <c r="N31" s="142">
        <v>874.50000000000023</v>
      </c>
      <c r="O31" s="133">
        <v>0</v>
      </c>
      <c r="P31" s="142">
        <v>954.00000000000011</v>
      </c>
      <c r="Q31" s="133">
        <v>0</v>
      </c>
      <c r="R31" s="142">
        <v>715.5</v>
      </c>
      <c r="S31" s="133">
        <v>0</v>
      </c>
      <c r="T31" s="142">
        <v>636</v>
      </c>
      <c r="U31" s="133">
        <v>0</v>
      </c>
    </row>
    <row r="32" spans="1:21" x14ac:dyDescent="0.3">
      <c r="A32" s="195"/>
      <c r="B32" s="196"/>
      <c r="C32" s="196"/>
      <c r="D32" s="197"/>
      <c r="E32" s="198"/>
      <c r="F32" s="199"/>
      <c r="G32" s="199"/>
      <c r="H32" s="199"/>
      <c r="I32" s="199"/>
      <c r="J32" s="200"/>
      <c r="K32" s="122" t="s">
        <v>42</v>
      </c>
      <c r="L32" s="142">
        <v>591.99999999999977</v>
      </c>
      <c r="M32" s="133">
        <v>0</v>
      </c>
      <c r="N32" s="142">
        <v>651.20000000000005</v>
      </c>
      <c r="O32" s="133">
        <v>0</v>
      </c>
      <c r="P32" s="142">
        <v>710.39999999999986</v>
      </c>
      <c r="Q32" s="133">
        <v>0</v>
      </c>
      <c r="R32" s="142">
        <v>532.80000000000018</v>
      </c>
      <c r="S32" s="133">
        <v>0</v>
      </c>
      <c r="T32" s="142">
        <v>473.60000000000019</v>
      </c>
      <c r="U32" s="133">
        <v>0</v>
      </c>
    </row>
    <row r="33" spans="1:21" ht="15.6" x14ac:dyDescent="0.3">
      <c r="A33" s="521" t="s">
        <v>131</v>
      </c>
      <c r="B33" s="522"/>
      <c r="C33" s="522"/>
      <c r="D33" s="522"/>
      <c r="E33" s="522"/>
      <c r="F33" s="522"/>
      <c r="G33" s="522"/>
      <c r="H33" s="522"/>
      <c r="I33" s="522"/>
      <c r="J33" s="523"/>
      <c r="K33" s="122" t="s">
        <v>112</v>
      </c>
      <c r="L33" s="142">
        <v>288.99999999999989</v>
      </c>
      <c r="M33" s="133">
        <v>0</v>
      </c>
      <c r="N33" s="142">
        <v>317.89999999999992</v>
      </c>
      <c r="O33" s="133">
        <v>0</v>
      </c>
      <c r="P33" s="142">
        <v>346.80000000000007</v>
      </c>
      <c r="Q33" s="133">
        <v>0</v>
      </c>
      <c r="R33" s="142">
        <v>260.10000000000002</v>
      </c>
      <c r="S33" s="133">
        <v>0</v>
      </c>
      <c r="T33" s="142">
        <v>231.19999999999987</v>
      </c>
      <c r="U33" s="133">
        <v>0</v>
      </c>
    </row>
    <row r="34" spans="1:21" x14ac:dyDescent="0.3">
      <c r="A34" s="121" t="s">
        <v>117</v>
      </c>
      <c r="B34" s="515" t="s">
        <v>118</v>
      </c>
      <c r="C34" s="516"/>
      <c r="D34" s="517"/>
      <c r="E34" s="121" t="s">
        <v>119</v>
      </c>
      <c r="F34" s="515" t="s">
        <v>120</v>
      </c>
      <c r="G34" s="518"/>
      <c r="H34" s="519"/>
      <c r="I34" s="519"/>
      <c r="J34" s="520"/>
      <c r="K34" s="122" t="s">
        <v>113</v>
      </c>
      <c r="L34" s="142">
        <v>86</v>
      </c>
      <c r="M34" s="133">
        <v>0</v>
      </c>
      <c r="N34" s="142">
        <v>94.599999999999966</v>
      </c>
      <c r="O34" s="133">
        <v>0</v>
      </c>
      <c r="P34" s="142">
        <v>103.20000000000003</v>
      </c>
      <c r="Q34" s="133">
        <v>0</v>
      </c>
      <c r="R34" s="142">
        <v>77.400000000000048</v>
      </c>
      <c r="S34" s="133">
        <v>0</v>
      </c>
      <c r="T34" s="142">
        <v>68.799999999999983</v>
      </c>
      <c r="U34" s="133">
        <v>0</v>
      </c>
    </row>
    <row r="35" spans="1:21" x14ac:dyDescent="0.3">
      <c r="A35" s="170"/>
      <c r="B35" s="171"/>
      <c r="C35" s="172"/>
      <c r="D35" s="201"/>
      <c r="E35" s="159"/>
      <c r="F35" s="202"/>
      <c r="G35" s="202"/>
      <c r="H35" s="202"/>
      <c r="I35" s="202"/>
      <c r="J35" s="203"/>
      <c r="K35" s="122" t="s">
        <v>114</v>
      </c>
      <c r="L35" s="142">
        <v>6.0000000000000027</v>
      </c>
      <c r="M35" s="133">
        <v>0</v>
      </c>
      <c r="N35" s="142">
        <v>6.6000000000000192</v>
      </c>
      <c r="O35" s="133">
        <v>0</v>
      </c>
      <c r="P35" s="142">
        <v>7.2000000000000126</v>
      </c>
      <c r="Q35" s="133">
        <v>0</v>
      </c>
      <c r="R35" s="142">
        <v>5.4000000000000092</v>
      </c>
      <c r="S35" s="133">
        <v>0</v>
      </c>
      <c r="T35" s="142">
        <v>4.8000000000000096</v>
      </c>
      <c r="U35" s="133">
        <v>0</v>
      </c>
    </row>
    <row r="36" spans="1:21" x14ac:dyDescent="0.3">
      <c r="A36" s="176"/>
      <c r="B36" s="177"/>
      <c r="C36" s="178"/>
      <c r="D36" s="204"/>
      <c r="E36" s="133"/>
      <c r="F36" s="174"/>
      <c r="G36" s="174"/>
      <c r="H36" s="174"/>
      <c r="I36" s="174"/>
      <c r="J36" s="175"/>
      <c r="K36" s="122" t="s">
        <v>116</v>
      </c>
      <c r="L36" s="142">
        <v>0</v>
      </c>
      <c r="M36" s="133">
        <v>0</v>
      </c>
      <c r="N36" s="142">
        <v>0</v>
      </c>
      <c r="O36" s="133">
        <v>0</v>
      </c>
      <c r="P36" s="142">
        <v>0</v>
      </c>
      <c r="Q36" s="133">
        <v>0</v>
      </c>
      <c r="R36" s="142">
        <v>0</v>
      </c>
      <c r="S36" s="133">
        <v>0</v>
      </c>
      <c r="T36" s="142">
        <v>0</v>
      </c>
      <c r="U36" s="133">
        <v>0</v>
      </c>
    </row>
    <row r="37" spans="1:21" x14ac:dyDescent="0.3">
      <c r="A37" s="176"/>
      <c r="B37" s="177"/>
      <c r="C37" s="178"/>
      <c r="D37" s="204"/>
      <c r="E37" s="133"/>
      <c r="F37" s="174"/>
      <c r="G37" s="174"/>
      <c r="H37" s="174"/>
      <c r="I37" s="174"/>
      <c r="J37" s="175"/>
      <c r="K37" s="122" t="s">
        <v>121</v>
      </c>
      <c r="L37" s="142">
        <v>0.99999999999999922</v>
      </c>
      <c r="M37" s="133">
        <v>0</v>
      </c>
      <c r="N37" s="142">
        <v>1.1000000000000001</v>
      </c>
      <c r="O37" s="133">
        <v>0</v>
      </c>
      <c r="P37" s="142">
        <v>1.1999999999999988</v>
      </c>
      <c r="Q37" s="133">
        <v>0</v>
      </c>
      <c r="R37" s="142">
        <v>0.8999999999999998</v>
      </c>
      <c r="S37" s="133">
        <v>0</v>
      </c>
      <c r="T37" s="142">
        <v>0.79999999999999949</v>
      </c>
      <c r="U37" s="133">
        <v>0</v>
      </c>
    </row>
    <row r="38" spans="1:21" x14ac:dyDescent="0.3">
      <c r="A38" s="176"/>
      <c r="B38" s="177"/>
      <c r="C38" s="178"/>
      <c r="D38" s="204"/>
      <c r="E38" s="133"/>
      <c r="F38" s="174"/>
      <c r="G38" s="174"/>
      <c r="H38" s="174"/>
      <c r="I38" s="174"/>
      <c r="J38" s="175"/>
      <c r="K38" s="122" t="s">
        <v>124</v>
      </c>
      <c r="L38" s="142">
        <v>46</v>
      </c>
      <c r="M38" s="133">
        <v>0</v>
      </c>
      <c r="N38" s="142">
        <v>50.599999999999994</v>
      </c>
      <c r="O38" s="133">
        <v>0</v>
      </c>
      <c r="P38" s="142">
        <v>55.199999999999989</v>
      </c>
      <c r="Q38" s="133">
        <v>0</v>
      </c>
      <c r="R38" s="142">
        <v>41.400000000000006</v>
      </c>
      <c r="S38" s="133">
        <v>0</v>
      </c>
      <c r="T38" s="142">
        <v>36.799999999999997</v>
      </c>
      <c r="U38" s="133">
        <v>0</v>
      </c>
    </row>
    <row r="39" spans="1:21" x14ac:dyDescent="0.3">
      <c r="A39" s="176"/>
      <c r="B39" s="177"/>
      <c r="C39" s="178"/>
      <c r="D39" s="204"/>
      <c r="E39" s="133"/>
      <c r="F39" s="174"/>
      <c r="G39" s="174"/>
      <c r="H39" s="174"/>
      <c r="I39" s="174"/>
      <c r="J39" s="175"/>
      <c r="K39" s="122" t="s">
        <v>126</v>
      </c>
      <c r="L39" s="142">
        <v>256</v>
      </c>
      <c r="M39" s="133">
        <v>0</v>
      </c>
      <c r="N39" s="142">
        <v>281.60000000000002</v>
      </c>
      <c r="O39" s="133">
        <v>0</v>
      </c>
      <c r="P39" s="142">
        <v>307.20000000000005</v>
      </c>
      <c r="Q39" s="133">
        <v>0</v>
      </c>
      <c r="R39" s="142">
        <v>230.39999999999998</v>
      </c>
      <c r="S39" s="133">
        <v>0</v>
      </c>
      <c r="T39" s="142">
        <v>204.8</v>
      </c>
      <c r="U39" s="133">
        <v>0</v>
      </c>
    </row>
    <row r="40" spans="1:21" x14ac:dyDescent="0.3">
      <c r="A40" s="176"/>
      <c r="B40" s="177"/>
      <c r="C40" s="178"/>
      <c r="D40" s="204"/>
      <c r="E40" s="133"/>
      <c r="F40" s="174"/>
      <c r="G40" s="174"/>
      <c r="H40" s="174"/>
      <c r="I40" s="174"/>
      <c r="J40" s="175"/>
      <c r="K40" s="122" t="s">
        <v>38</v>
      </c>
      <c r="L40" s="142">
        <v>558</v>
      </c>
      <c r="M40" s="133">
        <v>0</v>
      </c>
      <c r="N40" s="142">
        <v>613.80000000000007</v>
      </c>
      <c r="O40" s="133">
        <v>0</v>
      </c>
      <c r="P40" s="142">
        <v>669.60000000000014</v>
      </c>
      <c r="Q40" s="133">
        <v>0</v>
      </c>
      <c r="R40" s="142">
        <v>502.20000000000005</v>
      </c>
      <c r="S40" s="133">
        <v>0</v>
      </c>
      <c r="T40" s="142">
        <v>446.40000000000015</v>
      </c>
      <c r="U40" s="133">
        <v>0</v>
      </c>
    </row>
    <row r="41" spans="1:21" x14ac:dyDescent="0.3">
      <c r="A41" s="176"/>
      <c r="B41" s="177"/>
      <c r="C41" s="178"/>
      <c r="D41" s="204"/>
      <c r="E41" s="133"/>
      <c r="F41" s="174"/>
      <c r="G41" s="174"/>
      <c r="H41" s="174"/>
      <c r="I41" s="174"/>
      <c r="J41" s="175"/>
      <c r="K41" s="122" t="s">
        <v>39</v>
      </c>
      <c r="L41" s="142">
        <v>911.00000000000068</v>
      </c>
      <c r="M41" s="133">
        <v>0</v>
      </c>
      <c r="N41" s="142">
        <v>1002.1000000000003</v>
      </c>
      <c r="O41" s="133">
        <v>0</v>
      </c>
      <c r="P41" s="142">
        <v>1093.1999999999998</v>
      </c>
      <c r="Q41" s="133">
        <v>0</v>
      </c>
      <c r="R41" s="142">
        <v>819.89999999999941</v>
      </c>
      <c r="S41" s="133">
        <v>0</v>
      </c>
      <c r="T41" s="142">
        <v>728.79999999999984</v>
      </c>
      <c r="U41" s="133">
        <v>0</v>
      </c>
    </row>
    <row r="42" spans="1:21" x14ac:dyDescent="0.3">
      <c r="A42" s="176"/>
      <c r="B42" s="177"/>
      <c r="C42" s="178"/>
      <c r="D42" s="204"/>
      <c r="E42" s="133"/>
      <c r="F42" s="174"/>
      <c r="G42" s="174"/>
      <c r="H42" s="174"/>
      <c r="I42" s="174"/>
      <c r="J42" s="175"/>
      <c r="K42" s="180" t="s">
        <v>132</v>
      </c>
      <c r="L42" s="181">
        <v>4547.0000000000018</v>
      </c>
      <c r="M42" s="181">
        <v>0</v>
      </c>
      <c r="N42" s="181">
        <v>5001.7000000000007</v>
      </c>
      <c r="O42" s="181">
        <v>0</v>
      </c>
      <c r="P42" s="181">
        <v>5456.4</v>
      </c>
      <c r="Q42" s="181">
        <v>0</v>
      </c>
      <c r="R42" s="181">
        <v>4092.3</v>
      </c>
      <c r="S42" s="181">
        <v>0</v>
      </c>
      <c r="T42" s="181">
        <v>3637.6000000000004</v>
      </c>
      <c r="U42" s="181">
        <v>0</v>
      </c>
    </row>
    <row r="43" spans="1:21" x14ac:dyDescent="0.3">
      <c r="A43" s="176"/>
      <c r="B43" s="177"/>
      <c r="C43" s="178"/>
      <c r="D43" s="204"/>
      <c r="E43" s="133"/>
      <c r="F43" s="174"/>
      <c r="G43" s="174"/>
      <c r="H43" s="174"/>
      <c r="I43" s="174"/>
      <c r="J43" s="175"/>
      <c r="K43" s="180" t="s">
        <v>133</v>
      </c>
      <c r="L43" s="181">
        <v>3863.0000000000018</v>
      </c>
      <c r="M43" s="181">
        <v>0</v>
      </c>
      <c r="N43" s="181">
        <v>4249.3000000000011</v>
      </c>
      <c r="O43" s="181">
        <v>0</v>
      </c>
      <c r="P43" s="181">
        <v>4635.6000000000004</v>
      </c>
      <c r="Q43" s="181">
        <v>0</v>
      </c>
      <c r="R43" s="181">
        <v>3476.7</v>
      </c>
      <c r="S43" s="181">
        <v>0</v>
      </c>
      <c r="T43" s="181">
        <v>3090.3999999999996</v>
      </c>
      <c r="U43" s="181">
        <v>0</v>
      </c>
    </row>
    <row r="44" spans="1:21" x14ac:dyDescent="0.3">
      <c r="A44" s="176"/>
      <c r="B44" s="186"/>
      <c r="C44" s="187"/>
      <c r="D44" s="205"/>
      <c r="E44" s="189"/>
      <c r="F44" s="174"/>
      <c r="G44" s="174"/>
      <c r="H44" s="174"/>
      <c r="I44" s="174"/>
      <c r="J44" s="175"/>
      <c r="K44" s="180" t="s">
        <v>134</v>
      </c>
      <c r="L44" s="181">
        <v>4547.0000000000018</v>
      </c>
      <c r="M44" s="181">
        <v>39393.689617800374</v>
      </c>
      <c r="N44" s="181">
        <v>5001.7000000000007</v>
      </c>
      <c r="O44" s="181">
        <v>42822.63945320739</v>
      </c>
      <c r="P44" s="181">
        <v>5456.4</v>
      </c>
      <c r="Q44" s="181">
        <v>46251.589288614414</v>
      </c>
      <c r="R44" s="181">
        <v>4092.3</v>
      </c>
      <c r="S44" s="181">
        <v>35964.73978239335</v>
      </c>
      <c r="T44" s="181">
        <v>3637.6000000000004</v>
      </c>
      <c r="U44" s="181">
        <v>32535.789946986333</v>
      </c>
    </row>
    <row r="45" spans="1:21" x14ac:dyDescent="0.3">
      <c r="A45" s="190"/>
      <c r="B45" s="191"/>
      <c r="C45" s="191"/>
      <c r="D45" s="191" t="s">
        <v>135</v>
      </c>
      <c r="E45" s="192">
        <v>0</v>
      </c>
      <c r="F45" s="193"/>
      <c r="G45" s="193"/>
      <c r="H45" s="193"/>
      <c r="I45" s="193"/>
      <c r="J45" s="194"/>
      <c r="K45" s="180" t="s">
        <v>136</v>
      </c>
      <c r="L45" s="181">
        <v>3863.0000000000018</v>
      </c>
      <c r="M45" s="181">
        <v>29884.222776822506</v>
      </c>
      <c r="N45" s="181">
        <v>4249.3000000000011</v>
      </c>
      <c r="O45" s="181">
        <v>32768.53478949242</v>
      </c>
      <c r="P45" s="181">
        <v>4635.6000000000004</v>
      </c>
      <c r="Q45" s="181">
        <v>35652.846802162341</v>
      </c>
      <c r="R45" s="181">
        <v>3476.7</v>
      </c>
      <c r="S45" s="181">
        <v>26999.910764152584</v>
      </c>
      <c r="T45" s="181">
        <v>3090.3999999999996</v>
      </c>
      <c r="U45" s="181">
        <v>24115.59875148267</v>
      </c>
    </row>
  </sheetData>
  <mergeCells count="27">
    <mergeCell ref="A1:J1"/>
    <mergeCell ref="K1:U1"/>
    <mergeCell ref="A2:J2"/>
    <mergeCell ref="K2:U2"/>
    <mergeCell ref="D3:F3"/>
    <mergeCell ref="N3:Q3"/>
    <mergeCell ref="F4:J4"/>
    <mergeCell ref="B5:C5"/>
    <mergeCell ref="L5:M5"/>
    <mergeCell ref="P5:U7"/>
    <mergeCell ref="B6:C6"/>
    <mergeCell ref="L6:M6"/>
    <mergeCell ref="B7:C7"/>
    <mergeCell ref="L7:M7"/>
    <mergeCell ref="K27:U27"/>
    <mergeCell ref="A33:J33"/>
    <mergeCell ref="B8:C8"/>
    <mergeCell ref="B9:C9"/>
    <mergeCell ref="K9:U9"/>
    <mergeCell ref="B10:C10"/>
    <mergeCell ref="A11:C16"/>
    <mergeCell ref="F14:J16"/>
    <mergeCell ref="B34:D34"/>
    <mergeCell ref="F34:J34"/>
    <mergeCell ref="A18:J18"/>
    <mergeCell ref="B19:D19"/>
    <mergeCell ref="F19:J19"/>
  </mergeCells>
  <phoneticPr fontId="13" type="noConversion"/>
  <conditionalFormatting sqref="J9">
    <cfRule type="cellIs" dxfId="15" priority="4" stopIfTrue="1" operator="greaterThanOrEqual">
      <formula>#REF!</formula>
    </cfRule>
  </conditionalFormatting>
  <conditionalFormatting sqref="J10">
    <cfRule type="cellIs" dxfId="14" priority="3" stopIfTrue="1" operator="greaterThanOrEqual">
      <formula>#REF!</formula>
    </cfRule>
  </conditionalFormatting>
  <conditionalFormatting sqref="H9">
    <cfRule type="cellIs" dxfId="13" priority="2" stopIfTrue="1" operator="greaterThanOrEqual">
      <formula>#REF!</formula>
    </cfRule>
  </conditionalFormatting>
  <conditionalFormatting sqref="F4:J4">
    <cfRule type="containsText" dxfId="12" priority="1" stopIfTrue="1" operator="containsText" text="PEAK DAY">
      <formula>NOT(ISERROR(SEARCH("PEAK DAY",F4)))</formula>
    </cfRule>
  </conditionalFormatting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Winter</vt:lpstr>
      <vt:lpstr>Texas Gas Zone 2, KY</vt:lpstr>
      <vt:lpstr>Texas Gas Zone 3 North, KY</vt:lpstr>
      <vt:lpstr>Texas Gas Zone 3 South, KY</vt:lpstr>
      <vt:lpstr>Texas Gas Zone 4, KY</vt:lpstr>
      <vt:lpstr>NNS Ratchets</vt:lpstr>
      <vt:lpstr>Co-owned storage ratchets</vt:lpstr>
      <vt:lpstr>Tx Gas Zn 2 14-15 Design Day</vt:lpstr>
      <vt:lpstr>Livermore, KY 14-15 Design Day</vt:lpstr>
      <vt:lpstr>Tx Gas Zn 3 S 14-15 Design Day </vt:lpstr>
      <vt:lpstr>Tx Gas Zn 3 N 14-15 Design Day</vt:lpstr>
      <vt:lpstr>Tx Gas Zn 4 14-15 Design Day</vt:lpstr>
      <vt:lpstr>short term forecast</vt:lpstr>
      <vt:lpstr>Sheet1</vt:lpstr>
      <vt:lpstr>Winter!Print_Area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kgriffit</dc:creator>
  <cp:lastModifiedBy>Becky M Buchanan</cp:lastModifiedBy>
  <cp:lastPrinted>2017-10-20T16:52:23Z</cp:lastPrinted>
  <dcterms:created xsi:type="dcterms:W3CDTF">2011-02-02T19:49:36Z</dcterms:created>
  <dcterms:modified xsi:type="dcterms:W3CDTF">2018-07-27T18:38:23Z</dcterms:modified>
</cp:coreProperties>
</file>