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iscovery\Kentucky\2018-00281 (2018 Kentucky Rate Case)\Staff Set 1 Attachments\"/>
    </mc:Choice>
  </mc:AlternateContent>
  <bookViews>
    <workbookView xWindow="0" yWindow="0" windowWidth="28800" windowHeight="12435"/>
  </bookViews>
  <sheets>
    <sheet name="C.1" sheetId="1" r:id="rId1"/>
    <sheet name="C.2" sheetId="2" r:id="rId2"/>
    <sheet name="C.2.1 B" sheetId="3" r:id="rId3"/>
    <sheet name="C.2.2 B 02" sheetId="5" r:id="rId4"/>
    <sheet name="C.2.2 B 09" sheetId="4" r:id="rId5"/>
    <sheet name="C.2.2 B 91" sheetId="7" r:id="rId6"/>
    <sheet name="C.2.2 B 12" sheetId="6" r:id="rId7"/>
    <sheet name="E" sheetId="8" r:id="rId8"/>
  </sheets>
  <definedNames>
    <definedName name="_Div012">#REF!</definedName>
    <definedName name="_Div02">#REF!</definedName>
    <definedName name="_Div091">#REF!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0">'C.1'!$A$1:$J$31</definedName>
    <definedName name="_xlnm.Print_Area" localSheetId="1">'C.2'!$A$1:$O$34</definedName>
    <definedName name="_xlnm.Print_Area" localSheetId="2">'C.2.1 B'!$A$1:$D$183</definedName>
    <definedName name="_xlnm.Print_Area" localSheetId="3">'C.2.2 B 02'!$A$14:$R$50</definedName>
    <definedName name="_xlnm.Print_Area" localSheetId="4">'C.2.2 B 09'!$A$12:$R$118</definedName>
    <definedName name="_xlnm.Print_Area" localSheetId="6">'C.2.2 B 12'!$A$12:$R$38</definedName>
    <definedName name="_xlnm.Print_Area" localSheetId="5">'C.2.2 B 91'!$A$14:$R$63</definedName>
    <definedName name="_xlnm.Print_Area" localSheetId="7">E!$A$1:$H$37</definedName>
    <definedName name="_xlnm.Print_Titles" localSheetId="2">'C.2.1 B'!$1:$12</definedName>
    <definedName name="_xlnm.Print_Titles" localSheetId="3">'C.2.2 B 02'!$1:$11</definedName>
    <definedName name="_xlnm.Print_Titles" localSheetId="4">'C.2.2 B 09'!$1:$11</definedName>
    <definedName name="_xlnm.Print_Titles" localSheetId="6">'C.2.2 B 12'!$1:$11</definedName>
    <definedName name="_xlnm.Print_Titles" localSheetId="5">'C.2.2 B 91'!$1:$11</definedName>
    <definedName name="ROR">#REF!</definedName>
    <definedName name="stdrat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9" i="7" l="1"/>
  <c r="P34" i="6"/>
  <c r="R33" i="7"/>
  <c r="P58" i="7"/>
  <c r="P59" i="7" s="1"/>
  <c r="Q58" i="7"/>
  <c r="P56" i="7"/>
  <c r="P33" i="6"/>
  <c r="Q33" i="6"/>
  <c r="Q34" i="6" s="1"/>
  <c r="Q31" i="6"/>
  <c r="P31" i="6"/>
  <c r="P45" i="5"/>
  <c r="P46" i="5" s="1"/>
  <c r="Q45" i="5"/>
  <c r="Q46" i="5" s="1"/>
  <c r="R27" i="5"/>
  <c r="Q43" i="5"/>
  <c r="P43" i="5"/>
  <c r="R16" i="4"/>
  <c r="Q114" i="4"/>
  <c r="P114" i="4"/>
  <c r="P9" i="7"/>
  <c r="Q9" i="7"/>
  <c r="P10" i="7"/>
  <c r="Q10" i="7"/>
  <c r="P9" i="6"/>
  <c r="Q9" i="6"/>
  <c r="P10" i="6"/>
  <c r="Q10" i="6"/>
  <c r="P9" i="5"/>
  <c r="Q9" i="5"/>
  <c r="P10" i="5"/>
  <c r="Q10" i="5"/>
  <c r="Q56" i="7" l="1"/>
  <c r="R51" i="7"/>
  <c r="R52" i="7"/>
  <c r="J45" i="5"/>
  <c r="K45" i="5"/>
  <c r="L45" i="5"/>
  <c r="M45" i="5"/>
  <c r="N45" i="5"/>
  <c r="N46" i="5" s="1"/>
  <c r="O45" i="5"/>
  <c r="O46" i="5" s="1"/>
  <c r="R17" i="5"/>
  <c r="R38" i="5" l="1"/>
  <c r="J43" i="5"/>
  <c r="K43" i="5"/>
  <c r="L43" i="5"/>
  <c r="M43" i="5"/>
  <c r="N43" i="5"/>
  <c r="O43" i="5"/>
  <c r="R27" i="6"/>
  <c r="R39" i="7"/>
  <c r="N9" i="7"/>
  <c r="O9" i="7"/>
  <c r="J58" i="7" l="1"/>
  <c r="K58" i="7"/>
  <c r="K59" i="7" s="1"/>
  <c r="L58" i="7"/>
  <c r="L59" i="7" s="1"/>
  <c r="M58" i="7"/>
  <c r="M59" i="7" s="1"/>
  <c r="J59" i="7"/>
  <c r="J33" i="6"/>
  <c r="K33" i="6"/>
  <c r="L33" i="6"/>
  <c r="L34" i="6" s="1"/>
  <c r="M33" i="6"/>
  <c r="J34" i="6"/>
  <c r="K34" i="6"/>
  <c r="M34" i="6"/>
  <c r="K46" i="5"/>
  <c r="L46" i="5"/>
  <c r="M46" i="5"/>
  <c r="J46" i="5"/>
  <c r="E21" i="8" l="1"/>
  <c r="G32" i="8" l="1"/>
  <c r="G17" i="8" s="1"/>
  <c r="E32" i="8"/>
  <c r="E17" i="8" s="1"/>
  <c r="L67" i="7"/>
  <c r="L69" i="7" s="1"/>
  <c r="I67" i="7"/>
  <c r="I69" i="7" s="1"/>
  <c r="H67" i="7"/>
  <c r="H69" i="7" s="1"/>
  <c r="G67" i="7"/>
  <c r="G69" i="7" s="1"/>
  <c r="F67" i="7"/>
  <c r="F69" i="7" s="1"/>
  <c r="E67" i="7"/>
  <c r="E69" i="7" s="1"/>
  <c r="D67" i="7"/>
  <c r="D69" i="7" s="1"/>
  <c r="I59" i="7"/>
  <c r="I58" i="7"/>
  <c r="D58" i="7"/>
  <c r="D59" i="7" s="1"/>
  <c r="C58" i="7"/>
  <c r="B58" i="7"/>
  <c r="L56" i="7"/>
  <c r="I54" i="7"/>
  <c r="H54" i="7"/>
  <c r="G54" i="7"/>
  <c r="F54" i="7"/>
  <c r="E54" i="7"/>
  <c r="D54" i="7"/>
  <c r="R53" i="7"/>
  <c r="R50" i="7"/>
  <c r="R49" i="7"/>
  <c r="R48" i="7"/>
  <c r="R47" i="7"/>
  <c r="O58" i="7"/>
  <c r="O59" i="7" s="1"/>
  <c r="N58" i="7"/>
  <c r="N59" i="7" s="1"/>
  <c r="R45" i="7"/>
  <c r="R44" i="7"/>
  <c r="R43" i="7"/>
  <c r="I42" i="7"/>
  <c r="H42" i="7"/>
  <c r="G42" i="7"/>
  <c r="F42" i="7"/>
  <c r="E42" i="7"/>
  <c r="D42" i="7"/>
  <c r="R41" i="7"/>
  <c r="R40" i="7"/>
  <c r="R38" i="7"/>
  <c r="I37" i="7"/>
  <c r="H37" i="7"/>
  <c r="G37" i="7"/>
  <c r="F37" i="7"/>
  <c r="E37" i="7"/>
  <c r="D37" i="7"/>
  <c r="R37" i="7" s="1"/>
  <c r="R36" i="7"/>
  <c r="R35" i="7"/>
  <c r="I34" i="7"/>
  <c r="H34" i="7"/>
  <c r="G34" i="7"/>
  <c r="F34" i="7"/>
  <c r="E34" i="7"/>
  <c r="D34" i="7"/>
  <c r="R32" i="7"/>
  <c r="I31" i="7"/>
  <c r="H31" i="7"/>
  <c r="G31" i="7"/>
  <c r="F31" i="7"/>
  <c r="E31" i="7"/>
  <c r="D31" i="7"/>
  <c r="R30" i="7"/>
  <c r="R29" i="7"/>
  <c r="R28" i="7"/>
  <c r="R27" i="7"/>
  <c r="R26" i="7"/>
  <c r="R25" i="7"/>
  <c r="R24" i="7"/>
  <c r="I23" i="7"/>
  <c r="H23" i="7"/>
  <c r="H56" i="7" s="1"/>
  <c r="H58" i="7" s="1"/>
  <c r="H59" i="7" s="1"/>
  <c r="G23" i="7"/>
  <c r="F23" i="7"/>
  <c r="E23" i="7"/>
  <c r="D23" i="7"/>
  <c r="D56" i="7" s="1"/>
  <c r="R22" i="7"/>
  <c r="I21" i="7"/>
  <c r="H21" i="7"/>
  <c r="G21" i="7"/>
  <c r="G56" i="7" s="1"/>
  <c r="G58" i="7" s="1"/>
  <c r="G59" i="7" s="1"/>
  <c r="F21" i="7"/>
  <c r="F56" i="7" s="1"/>
  <c r="F58" i="7" s="1"/>
  <c r="F59" i="7" s="1"/>
  <c r="E21" i="7"/>
  <c r="D21" i="7"/>
  <c r="R20" i="7"/>
  <c r="R19" i="7"/>
  <c r="R18" i="7"/>
  <c r="R17" i="7"/>
  <c r="R16" i="7"/>
  <c r="R15" i="7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R14" i="7"/>
  <c r="R13" i="7"/>
  <c r="R12" i="7"/>
  <c r="R10" i="7"/>
  <c r="O10" i="7"/>
  <c r="N10" i="7"/>
  <c r="M10" i="7"/>
  <c r="L10" i="7"/>
  <c r="K10" i="7"/>
  <c r="J10" i="7"/>
  <c r="I10" i="7"/>
  <c r="H10" i="7"/>
  <c r="G10" i="7"/>
  <c r="F10" i="7"/>
  <c r="E10" i="7"/>
  <c r="D10" i="7"/>
  <c r="M9" i="7"/>
  <c r="L9" i="7"/>
  <c r="K9" i="7"/>
  <c r="J9" i="7"/>
  <c r="I9" i="7"/>
  <c r="H9" i="7"/>
  <c r="G9" i="7"/>
  <c r="F9" i="7"/>
  <c r="E9" i="7"/>
  <c r="D9" i="7"/>
  <c r="R8" i="7"/>
  <c r="H34" i="6"/>
  <c r="I33" i="6"/>
  <c r="I34" i="6" s="1"/>
  <c r="H33" i="6"/>
  <c r="G33" i="6"/>
  <c r="G34" i="6" s="1"/>
  <c r="F33" i="6"/>
  <c r="F34" i="6" s="1"/>
  <c r="E33" i="6"/>
  <c r="E34" i="6" s="1"/>
  <c r="D33" i="6"/>
  <c r="D34" i="6" s="1"/>
  <c r="C33" i="6"/>
  <c r="B33" i="6"/>
  <c r="O31" i="6"/>
  <c r="K31" i="6"/>
  <c r="R29" i="6"/>
  <c r="R28" i="6"/>
  <c r="R26" i="6"/>
  <c r="R25" i="6"/>
  <c r="R24" i="6"/>
  <c r="R23" i="6"/>
  <c r="O33" i="6"/>
  <c r="O34" i="6" s="1"/>
  <c r="N31" i="6"/>
  <c r="R21" i="6"/>
  <c r="R20" i="6"/>
  <c r="R19" i="6"/>
  <c r="I18" i="6"/>
  <c r="H18" i="6"/>
  <c r="G18" i="6"/>
  <c r="G31" i="6" s="1"/>
  <c r="F18" i="6"/>
  <c r="E18" i="6"/>
  <c r="D18" i="6"/>
  <c r="R17" i="6"/>
  <c r="I16" i="6"/>
  <c r="H16" i="6"/>
  <c r="H31" i="6" s="1"/>
  <c r="G16" i="6"/>
  <c r="F16" i="6"/>
  <c r="E16" i="6"/>
  <c r="D16" i="6"/>
  <c r="R15" i="6"/>
  <c r="R14" i="6"/>
  <c r="R13" i="6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R12" i="6"/>
  <c r="R10" i="6"/>
  <c r="O10" i="6"/>
  <c r="N10" i="6"/>
  <c r="M10" i="6"/>
  <c r="L10" i="6"/>
  <c r="K10" i="6"/>
  <c r="J10" i="6"/>
  <c r="I10" i="6"/>
  <c r="H10" i="6"/>
  <c r="G10" i="6"/>
  <c r="F10" i="6"/>
  <c r="E10" i="6"/>
  <c r="D10" i="6"/>
  <c r="O9" i="6"/>
  <c r="N9" i="6"/>
  <c r="M9" i="6"/>
  <c r="L9" i="6"/>
  <c r="K9" i="6"/>
  <c r="J9" i="6"/>
  <c r="I9" i="6"/>
  <c r="H9" i="6"/>
  <c r="G9" i="6"/>
  <c r="F9" i="6"/>
  <c r="E9" i="6"/>
  <c r="D9" i="6"/>
  <c r="R8" i="6"/>
  <c r="I45" i="5"/>
  <c r="I46" i="5" s="1"/>
  <c r="H45" i="5"/>
  <c r="G45" i="5"/>
  <c r="G61" i="5" s="1"/>
  <c r="G62" i="5" s="1"/>
  <c r="F45" i="5"/>
  <c r="F61" i="5" s="1"/>
  <c r="F62" i="5" s="1"/>
  <c r="E45" i="5"/>
  <c r="E46" i="5" s="1"/>
  <c r="D45" i="5"/>
  <c r="C45" i="5"/>
  <c r="B45" i="5"/>
  <c r="R42" i="5"/>
  <c r="R41" i="5"/>
  <c r="R40" i="5"/>
  <c r="I39" i="5"/>
  <c r="H39" i="5"/>
  <c r="G39" i="5"/>
  <c r="F39" i="5"/>
  <c r="E39" i="5"/>
  <c r="D39" i="5"/>
  <c r="R37" i="5"/>
  <c r="R36" i="5"/>
  <c r="R35" i="5"/>
  <c r="R34" i="5"/>
  <c r="N61" i="5"/>
  <c r="N62" i="5" s="1"/>
  <c r="R32" i="5"/>
  <c r="R31" i="5"/>
  <c r="R30" i="5"/>
  <c r="R29" i="5"/>
  <c r="I28" i="5"/>
  <c r="H28" i="5"/>
  <c r="G28" i="5"/>
  <c r="F28" i="5"/>
  <c r="E28" i="5"/>
  <c r="D28" i="5"/>
  <c r="R26" i="5"/>
  <c r="I25" i="5"/>
  <c r="H25" i="5"/>
  <c r="G25" i="5"/>
  <c r="F25" i="5"/>
  <c r="E25" i="5"/>
  <c r="D25" i="5"/>
  <c r="I24" i="5"/>
  <c r="H24" i="5"/>
  <c r="G24" i="5"/>
  <c r="F24" i="5"/>
  <c r="E24" i="5"/>
  <c r="D24" i="5"/>
  <c r="R23" i="5"/>
  <c r="I22" i="5"/>
  <c r="H22" i="5"/>
  <c r="G22" i="5"/>
  <c r="F22" i="5"/>
  <c r="E22" i="5"/>
  <c r="D22" i="5"/>
  <c r="I21" i="5"/>
  <c r="H21" i="5"/>
  <c r="G21" i="5"/>
  <c r="F21" i="5"/>
  <c r="E21" i="5"/>
  <c r="D21" i="5"/>
  <c r="R20" i="5"/>
  <c r="R19" i="5"/>
  <c r="R18" i="5"/>
  <c r="I16" i="5"/>
  <c r="H16" i="5"/>
  <c r="G16" i="5"/>
  <c r="F16" i="5"/>
  <c r="E16" i="5"/>
  <c r="D16" i="5"/>
  <c r="R15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R14" i="5"/>
  <c r="R13" i="5"/>
  <c r="R12" i="5"/>
  <c r="R10" i="5"/>
  <c r="O10" i="5"/>
  <c r="N10" i="5"/>
  <c r="M10" i="5"/>
  <c r="L10" i="5"/>
  <c r="K10" i="5"/>
  <c r="J10" i="5"/>
  <c r="I10" i="5"/>
  <c r="H10" i="5"/>
  <c r="G10" i="5"/>
  <c r="F10" i="5"/>
  <c r="E10" i="5"/>
  <c r="D10" i="5"/>
  <c r="O9" i="5"/>
  <c r="N9" i="5"/>
  <c r="M9" i="5"/>
  <c r="L9" i="5"/>
  <c r="K9" i="5"/>
  <c r="J9" i="5"/>
  <c r="I9" i="5"/>
  <c r="H9" i="5"/>
  <c r="G9" i="5"/>
  <c r="F9" i="5"/>
  <c r="E9" i="5"/>
  <c r="D9" i="5"/>
  <c r="R8" i="5"/>
  <c r="R112" i="4"/>
  <c r="R111" i="4"/>
  <c r="R110" i="4"/>
  <c r="R109" i="4"/>
  <c r="D165" i="3" s="1"/>
  <c r="R108" i="4"/>
  <c r="R107" i="4"/>
  <c r="R106" i="4"/>
  <c r="R105" i="4"/>
  <c r="D161" i="3" s="1"/>
  <c r="R104" i="4"/>
  <c r="R102" i="4"/>
  <c r="R101" i="4"/>
  <c r="R100" i="4"/>
  <c r="D152" i="3" s="1"/>
  <c r="R99" i="4"/>
  <c r="R98" i="4"/>
  <c r="I97" i="4"/>
  <c r="H97" i="4"/>
  <c r="G97" i="4"/>
  <c r="F97" i="4"/>
  <c r="E97" i="4"/>
  <c r="D97" i="4"/>
  <c r="R96" i="4"/>
  <c r="R95" i="4"/>
  <c r="R94" i="4"/>
  <c r="R93" i="4"/>
  <c r="D137" i="3" s="1"/>
  <c r="I92" i="4"/>
  <c r="H92" i="4"/>
  <c r="G92" i="4"/>
  <c r="F92" i="4"/>
  <c r="E92" i="4"/>
  <c r="D92" i="4"/>
  <c r="R91" i="4"/>
  <c r="I90" i="4"/>
  <c r="H90" i="4"/>
  <c r="G90" i="4"/>
  <c r="F90" i="4"/>
  <c r="E90" i="4"/>
  <c r="D90" i="4"/>
  <c r="R89" i="4"/>
  <c r="R88" i="4"/>
  <c r="R87" i="4"/>
  <c r="D127" i="3" s="1"/>
  <c r="R86" i="4"/>
  <c r="R85" i="4"/>
  <c r="R84" i="4"/>
  <c r="R83" i="4"/>
  <c r="D123" i="3" s="1"/>
  <c r="R82" i="4"/>
  <c r="R81" i="4"/>
  <c r="R80" i="4"/>
  <c r="R79" i="4"/>
  <c r="D116" i="3" s="1"/>
  <c r="R78" i="4"/>
  <c r="R77" i="4"/>
  <c r="R76" i="4"/>
  <c r="R75" i="4"/>
  <c r="D112" i="3" s="1"/>
  <c r="I74" i="4"/>
  <c r="H74" i="4"/>
  <c r="G74" i="4"/>
  <c r="F74" i="4"/>
  <c r="E74" i="4"/>
  <c r="D74" i="4"/>
  <c r="R73" i="4"/>
  <c r="D110" i="3" s="1"/>
  <c r="R72" i="4"/>
  <c r="D109" i="3" s="1"/>
  <c r="R71" i="4"/>
  <c r="I70" i="4"/>
  <c r="H70" i="4"/>
  <c r="G70" i="4"/>
  <c r="F70" i="4"/>
  <c r="E70" i="4"/>
  <c r="D70" i="4"/>
  <c r="I69" i="4"/>
  <c r="H69" i="4"/>
  <c r="G69" i="4"/>
  <c r="F69" i="4"/>
  <c r="E69" i="4"/>
  <c r="D69" i="4"/>
  <c r="R68" i="4"/>
  <c r="R67" i="4"/>
  <c r="D72" i="3" s="1"/>
  <c r="R66" i="4"/>
  <c r="D71" i="3" s="1"/>
  <c r="R65" i="4"/>
  <c r="I64" i="4"/>
  <c r="H64" i="4"/>
  <c r="G64" i="4"/>
  <c r="F64" i="4"/>
  <c r="E64" i="4"/>
  <c r="D64" i="4"/>
  <c r="R63" i="4"/>
  <c r="D68" i="3" s="1"/>
  <c r="R62" i="4"/>
  <c r="I61" i="4"/>
  <c r="H61" i="4"/>
  <c r="G61" i="4"/>
  <c r="F61" i="4"/>
  <c r="E61" i="4"/>
  <c r="D61" i="4"/>
  <c r="I60" i="4"/>
  <c r="H60" i="4"/>
  <c r="G60" i="4"/>
  <c r="F60" i="4"/>
  <c r="E60" i="4"/>
  <c r="D60" i="4"/>
  <c r="I59" i="4"/>
  <c r="H59" i="4"/>
  <c r="G59" i="4"/>
  <c r="G124" i="4" s="1"/>
  <c r="G126" i="4" s="1"/>
  <c r="F59" i="4"/>
  <c r="E59" i="4"/>
  <c r="D59" i="4"/>
  <c r="R58" i="4"/>
  <c r="D60" i="3" s="1"/>
  <c r="R57" i="4"/>
  <c r="R56" i="4"/>
  <c r="I55" i="4"/>
  <c r="H55" i="4"/>
  <c r="G55" i="4"/>
  <c r="F55" i="4"/>
  <c r="E55" i="4"/>
  <c r="D55" i="4"/>
  <c r="R55" i="4" s="1"/>
  <c r="D53" i="3" s="1"/>
  <c r="R54" i="4"/>
  <c r="R53" i="4"/>
  <c r="R52" i="4"/>
  <c r="D50" i="3" s="1"/>
  <c r="R51" i="4"/>
  <c r="D49" i="3" s="1"/>
  <c r="R50" i="4"/>
  <c r="R49" i="4"/>
  <c r="I48" i="4"/>
  <c r="H48" i="4"/>
  <c r="G48" i="4"/>
  <c r="F48" i="4"/>
  <c r="E48" i="4"/>
  <c r="D48" i="4"/>
  <c r="R47" i="4"/>
  <c r="R46" i="4"/>
  <c r="D102" i="3" s="1"/>
  <c r="R45" i="4"/>
  <c r="D100" i="3" s="1"/>
  <c r="R44" i="4"/>
  <c r="D99" i="3" s="1"/>
  <c r="R43" i="4"/>
  <c r="R42" i="4"/>
  <c r="D97" i="3" s="1"/>
  <c r="R41" i="4"/>
  <c r="D96" i="3" s="1"/>
  <c r="R40" i="4"/>
  <c r="D94" i="3" s="1"/>
  <c r="R39" i="4"/>
  <c r="R38" i="4"/>
  <c r="D92" i="3" s="1"/>
  <c r="R37" i="4"/>
  <c r="D91" i="3" s="1"/>
  <c r="R36" i="4"/>
  <c r="D90" i="3" s="1"/>
  <c r="R35" i="4"/>
  <c r="R34" i="4"/>
  <c r="D87" i="3" s="1"/>
  <c r="I33" i="4"/>
  <c r="H33" i="4"/>
  <c r="G33" i="4"/>
  <c r="F33" i="4"/>
  <c r="E33" i="4"/>
  <c r="D33" i="4"/>
  <c r="R33" i="4" s="1"/>
  <c r="D86" i="3" s="1"/>
  <c r="I32" i="4"/>
  <c r="H32" i="4"/>
  <c r="G32" i="4"/>
  <c r="F32" i="4"/>
  <c r="F114" i="4" s="1"/>
  <c r="E32" i="4"/>
  <c r="D32" i="4"/>
  <c r="I31" i="4"/>
  <c r="H31" i="4"/>
  <c r="H124" i="4" s="1"/>
  <c r="H126" i="4" s="1"/>
  <c r="G31" i="4"/>
  <c r="F31" i="4"/>
  <c r="E31" i="4"/>
  <c r="D31" i="4"/>
  <c r="D124" i="4" s="1"/>
  <c r="D126" i="4" s="1"/>
  <c r="R30" i="4"/>
  <c r="I29" i="4"/>
  <c r="H29" i="4"/>
  <c r="G29" i="4"/>
  <c r="F29" i="4"/>
  <c r="E29" i="4"/>
  <c r="D29" i="4"/>
  <c r="R28" i="4"/>
  <c r="D28" i="3" s="1"/>
  <c r="R27" i="4"/>
  <c r="R26" i="4"/>
  <c r="D26" i="3" s="1"/>
  <c r="R25" i="4"/>
  <c r="R24" i="4"/>
  <c r="D21" i="3" s="1"/>
  <c r="R23" i="4"/>
  <c r="R22" i="4"/>
  <c r="D19" i="3" s="1"/>
  <c r="R21" i="4"/>
  <c r="D18" i="3" s="1"/>
  <c r="R20" i="4"/>
  <c r="D17" i="3" s="1"/>
  <c r="R19" i="4"/>
  <c r="A19" i="4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R18" i="4"/>
  <c r="R14" i="4"/>
  <c r="D176" i="3" s="1"/>
  <c r="D26" i="2" s="1"/>
  <c r="D20" i="1" s="1"/>
  <c r="A13" i="4"/>
  <c r="A14" i="4" s="1"/>
  <c r="A15" i="4" s="1"/>
  <c r="A17" i="4" s="1"/>
  <c r="A18" i="4" s="1"/>
  <c r="I12" i="4"/>
  <c r="G12" i="4"/>
  <c r="F12" i="4"/>
  <c r="E12" i="4"/>
  <c r="D12" i="4"/>
  <c r="R8" i="4"/>
  <c r="A8" i="4"/>
  <c r="A7" i="4"/>
  <c r="A6" i="4"/>
  <c r="A6" i="5" s="1"/>
  <c r="D171" i="3"/>
  <c r="D172" i="3" s="1"/>
  <c r="D167" i="3"/>
  <c r="D166" i="3"/>
  <c r="D164" i="3"/>
  <c r="D163" i="3"/>
  <c r="D162" i="3"/>
  <c r="D160" i="3"/>
  <c r="D158" i="3"/>
  <c r="D157" i="3"/>
  <c r="D151" i="3"/>
  <c r="D150" i="3"/>
  <c r="D145" i="3"/>
  <c r="D139" i="3"/>
  <c r="D138" i="3"/>
  <c r="D131" i="3"/>
  <c r="D129" i="3"/>
  <c r="D128" i="3"/>
  <c r="D126" i="3"/>
  <c r="D125" i="3"/>
  <c r="D124" i="3"/>
  <c r="D119" i="3"/>
  <c r="D118" i="3"/>
  <c r="D117" i="3"/>
  <c r="D115" i="3"/>
  <c r="D114" i="3"/>
  <c r="D113" i="3"/>
  <c r="D108" i="3"/>
  <c r="D104" i="3"/>
  <c r="D98" i="3"/>
  <c r="D93" i="3"/>
  <c r="D88" i="3"/>
  <c r="D79" i="3"/>
  <c r="D70" i="3"/>
  <c r="D64" i="3"/>
  <c r="D58" i="3"/>
  <c r="D54" i="3"/>
  <c r="D52" i="3"/>
  <c r="D51" i="3"/>
  <c r="D48" i="3"/>
  <c r="D47" i="3"/>
  <c r="D43" i="3"/>
  <c r="D30" i="3"/>
  <c r="D27" i="3"/>
  <c r="D22" i="3"/>
  <c r="D20" i="3"/>
  <c r="D16" i="3"/>
  <c r="D15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D8" i="3"/>
  <c r="H31" i="2"/>
  <c r="H33" i="2" s="1"/>
  <c r="O27" i="2"/>
  <c r="O25" i="2"/>
  <c r="O24" i="2"/>
  <c r="O23" i="2"/>
  <c r="K31" i="2"/>
  <c r="O21" i="2"/>
  <c r="O20" i="2"/>
  <c r="O19" i="2"/>
  <c r="O18" i="2"/>
  <c r="O17" i="2"/>
  <c r="F18" i="1" s="1"/>
  <c r="O14" i="2"/>
  <c r="O9" i="2"/>
  <c r="A9" i="2"/>
  <c r="A8" i="2"/>
  <c r="A7" i="2"/>
  <c r="F21" i="1"/>
  <c r="J21" i="1" s="1"/>
  <c r="J20" i="1"/>
  <c r="F20" i="1"/>
  <c r="F15" i="1"/>
  <c r="D114" i="4" l="1"/>
  <c r="H114" i="4"/>
  <c r="R60" i="4"/>
  <c r="D62" i="3" s="1"/>
  <c r="R97" i="4"/>
  <c r="D146" i="3" s="1"/>
  <c r="R31" i="7"/>
  <c r="F124" i="4"/>
  <c r="F126" i="4" s="1"/>
  <c r="R32" i="4"/>
  <c r="D38" i="3" s="1"/>
  <c r="R74" i="4"/>
  <c r="D111" i="3" s="1"/>
  <c r="F43" i="5"/>
  <c r="R54" i="7"/>
  <c r="R69" i="4"/>
  <c r="D80" i="3" s="1"/>
  <c r="R92" i="4"/>
  <c r="D136" i="3" s="1"/>
  <c r="E31" i="6"/>
  <c r="I31" i="6"/>
  <c r="R18" i="6"/>
  <c r="R42" i="7"/>
  <c r="R22" i="5"/>
  <c r="R24" i="5"/>
  <c r="R28" i="5"/>
  <c r="F46" i="5"/>
  <c r="D43" i="5"/>
  <c r="H43" i="5"/>
  <c r="E61" i="5"/>
  <c r="E62" i="5" s="1"/>
  <c r="R16" i="5"/>
  <c r="I43" i="5"/>
  <c r="R25" i="5"/>
  <c r="I61" i="5"/>
  <c r="I62" i="5" s="1"/>
  <c r="R17" i="4"/>
  <c r="D178" i="3" s="1"/>
  <c r="D27" i="2" s="1"/>
  <c r="D21" i="1" s="1"/>
  <c r="D154" i="3"/>
  <c r="D24" i="2" s="1"/>
  <c r="F24" i="2" s="1"/>
  <c r="D120" i="3"/>
  <c r="F26" i="2"/>
  <c r="D105" i="3"/>
  <c r="D17" i="2" s="1"/>
  <c r="F17" i="2" s="1"/>
  <c r="D140" i="3"/>
  <c r="D22" i="2" s="1"/>
  <c r="F22" i="2" s="1"/>
  <c r="H23" i="1"/>
  <c r="H24" i="1" s="1"/>
  <c r="H26" i="1" s="1"/>
  <c r="J18" i="1"/>
  <c r="J15" i="1"/>
  <c r="D23" i="3"/>
  <c r="K33" i="2"/>
  <c r="F19" i="1"/>
  <c r="J19" i="1" s="1"/>
  <c r="M26" i="2"/>
  <c r="R21" i="7"/>
  <c r="D147" i="3"/>
  <c r="D23" i="2" s="1"/>
  <c r="F23" i="2" s="1"/>
  <c r="E124" i="4"/>
  <c r="E126" i="4" s="1"/>
  <c r="I124" i="4"/>
  <c r="I126" i="4" s="1"/>
  <c r="R64" i="4"/>
  <c r="D69" i="3" s="1"/>
  <c r="D75" i="3" s="1"/>
  <c r="R70" i="4"/>
  <c r="D81" i="3" s="1"/>
  <c r="D83" i="3" s="1"/>
  <c r="R90" i="4"/>
  <c r="D130" i="3" s="1"/>
  <c r="D133" i="3" s="1"/>
  <c r="F17" i="8"/>
  <c r="O22" i="2"/>
  <c r="G15" i="8" s="1"/>
  <c r="A6" i="6"/>
  <c r="A6" i="7"/>
  <c r="G114" i="4"/>
  <c r="R48" i="4"/>
  <c r="D45" i="3" s="1"/>
  <c r="D55" i="3" s="1"/>
  <c r="R59" i="4"/>
  <c r="D61" i="3" s="1"/>
  <c r="R61" i="4"/>
  <c r="D63" i="3" s="1"/>
  <c r="A7" i="7"/>
  <c r="A7" i="5"/>
  <c r="R31" i="4"/>
  <c r="R33" i="5"/>
  <c r="E43" i="5"/>
  <c r="L61" i="5"/>
  <c r="L62" i="5" s="1"/>
  <c r="L124" i="4"/>
  <c r="L126" i="4" s="1"/>
  <c r="A7" i="6"/>
  <c r="R16" i="6"/>
  <c r="D31" i="6"/>
  <c r="A8" i="7"/>
  <c r="A8" i="5"/>
  <c r="A8" i="6"/>
  <c r="E114" i="4"/>
  <c r="I114" i="4"/>
  <c r="K61" i="5"/>
  <c r="K62" i="5" s="1"/>
  <c r="K124" i="4"/>
  <c r="K126" i="4" s="1"/>
  <c r="O61" i="5"/>
  <c r="O62" i="5" s="1"/>
  <c r="O124" i="4"/>
  <c r="O126" i="4" s="1"/>
  <c r="R39" i="5"/>
  <c r="J31" i="6"/>
  <c r="R22" i="6"/>
  <c r="R23" i="7"/>
  <c r="R60" i="7"/>
  <c r="R29" i="4"/>
  <c r="D29" i="3" s="1"/>
  <c r="D31" i="3" s="1"/>
  <c r="G43" i="5"/>
  <c r="R21" i="5"/>
  <c r="D61" i="5"/>
  <c r="D62" i="5" s="1"/>
  <c r="D46" i="5"/>
  <c r="H61" i="5"/>
  <c r="H62" i="5" s="1"/>
  <c r="H46" i="5"/>
  <c r="F31" i="6"/>
  <c r="N33" i="6"/>
  <c r="N34" i="6" s="1"/>
  <c r="E56" i="7"/>
  <c r="E58" i="7" s="1"/>
  <c r="E59" i="7" s="1"/>
  <c r="I56" i="7"/>
  <c r="R34" i="7"/>
  <c r="K67" i="7"/>
  <c r="K69" i="7" s="1"/>
  <c r="K56" i="7"/>
  <c r="O67" i="7"/>
  <c r="O69" i="7" s="1"/>
  <c r="O56" i="7"/>
  <c r="G46" i="5"/>
  <c r="L31" i="6"/>
  <c r="R46" i="7"/>
  <c r="M56" i="7"/>
  <c r="M67" i="7"/>
  <c r="M69" i="7" s="1"/>
  <c r="M31" i="6"/>
  <c r="J56" i="7"/>
  <c r="N56" i="7"/>
  <c r="J67" i="7"/>
  <c r="J69" i="7" s="1"/>
  <c r="N67" i="7"/>
  <c r="N69" i="7" s="1"/>
  <c r="F27" i="2" l="1"/>
  <c r="R56" i="7"/>
  <c r="R31" i="6"/>
  <c r="R43" i="5"/>
  <c r="D21" i="2"/>
  <c r="F21" i="2" s="1"/>
  <c r="D20" i="2"/>
  <c r="F20" i="2" s="1"/>
  <c r="D65" i="3"/>
  <c r="D19" i="2" s="1"/>
  <c r="F19" i="2" s="1"/>
  <c r="D18" i="1"/>
  <c r="G19" i="8"/>
  <c r="G23" i="8" s="1"/>
  <c r="J61" i="5"/>
  <c r="J62" i="5" s="1"/>
  <c r="R45" i="5"/>
  <c r="M124" i="4"/>
  <c r="M126" i="4" s="1"/>
  <c r="M61" i="5"/>
  <c r="M62" i="5" s="1"/>
  <c r="R35" i="6"/>
  <c r="K114" i="4"/>
  <c r="D37" i="3"/>
  <c r="D39" i="3" s="1"/>
  <c r="R58" i="7"/>
  <c r="R59" i="7" s="1"/>
  <c r="N124" i="4"/>
  <c r="N126" i="4" s="1"/>
  <c r="R65" i="5"/>
  <c r="R33" i="6"/>
  <c r="L114" i="4"/>
  <c r="D33" i="3"/>
  <c r="D14" i="2" l="1"/>
  <c r="R34" i="6"/>
  <c r="O28" i="2"/>
  <c r="F23" i="1"/>
  <c r="M114" i="4"/>
  <c r="D18" i="2"/>
  <c r="R47" i="5"/>
  <c r="R46" i="5" s="1"/>
  <c r="F18" i="2" l="1"/>
  <c r="N114" i="4"/>
  <c r="O114" i="4"/>
  <c r="J23" i="1"/>
  <c r="J24" i="1" s="1"/>
  <c r="J26" i="1" s="1"/>
  <c r="J30" i="1" s="1"/>
  <c r="F24" i="1"/>
  <c r="F26" i="1" s="1"/>
  <c r="F30" i="1" s="1"/>
  <c r="D15" i="1"/>
  <c r="F14" i="2"/>
  <c r="J124" i="4"/>
  <c r="J126" i="4" s="1"/>
  <c r="R103" i="4"/>
  <c r="J114" i="4"/>
  <c r="R15" i="4"/>
  <c r="D177" i="3" s="1"/>
  <c r="M28" i="2"/>
  <c r="M31" i="2" s="1"/>
  <c r="M33" i="2" s="1"/>
  <c r="O31" i="2"/>
  <c r="O33" i="2" s="1"/>
  <c r="D159" i="3" l="1"/>
  <c r="D168" i="3" s="1"/>
  <c r="R120" i="4"/>
  <c r="F174" i="3" s="1"/>
  <c r="R123" i="4"/>
  <c r="D25" i="2" l="1"/>
  <c r="D174" i="3"/>
  <c r="G174" i="3" l="1"/>
  <c r="F25" i="2"/>
  <c r="D19" i="1"/>
  <c r="E15" i="8"/>
  <c r="E19" i="8" l="1"/>
  <c r="E23" i="8" s="1"/>
  <c r="F15" i="8"/>
  <c r="F19" i="8" s="1"/>
  <c r="D179" i="3" l="1"/>
  <c r="D23" i="1"/>
  <c r="D24" i="1" s="1"/>
  <c r="D26" i="1" s="1"/>
  <c r="D30" i="1" s="1"/>
  <c r="F23" i="8"/>
  <c r="D28" i="2" l="1"/>
  <c r="D181" i="3"/>
  <c r="D183" i="3" s="1"/>
  <c r="R12" i="4"/>
  <c r="R114" i="4" s="1"/>
  <c r="F28" i="2" l="1"/>
  <c r="F31" i="2" s="1"/>
  <c r="F33" i="2" s="1"/>
  <c r="D31" i="2"/>
  <c r="D33" i="2" s="1"/>
</calcChain>
</file>

<file path=xl/sharedStrings.xml><?xml version="1.0" encoding="utf-8"?>
<sst xmlns="http://schemas.openxmlformats.org/spreadsheetml/2006/main" count="651" uniqueCount="369">
  <si>
    <t>Operating Income Summary</t>
  </si>
  <si>
    <t>Data:__X____Base Period___X___Forecasted Period</t>
  </si>
  <si>
    <t>FR 16(8)(c)1</t>
  </si>
  <si>
    <t>Type of Filing:___X____Original________Updated ________Revised</t>
  </si>
  <si>
    <t>Schedule C-1</t>
  </si>
  <si>
    <t>Workpaper Reference No(s).____________________</t>
  </si>
  <si>
    <t>Witness: Waller, Densman</t>
  </si>
  <si>
    <t>Base</t>
  </si>
  <si>
    <t>Forecasted</t>
  </si>
  <si>
    <t>Line</t>
  </si>
  <si>
    <t>Return at</t>
  </si>
  <si>
    <t>Proposed</t>
  </si>
  <si>
    <t>No.</t>
  </si>
  <si>
    <t>Description</t>
  </si>
  <si>
    <t>Current Rates</t>
  </si>
  <si>
    <t>Increase</t>
  </si>
  <si>
    <t>Proposed Rates</t>
  </si>
  <si>
    <t>Operating Revenue</t>
  </si>
  <si>
    <t>Operating Expenses</t>
  </si>
  <si>
    <t>Purchased Gas Cost</t>
  </si>
  <si>
    <t>Other O &amp; M Expenses</t>
  </si>
  <si>
    <t xml:space="preserve">  Depreciation Expense</t>
  </si>
  <si>
    <t xml:space="preserve">  Taxes Other than Income</t>
  </si>
  <si>
    <t>State &amp; Federal Income Taxes</t>
  </si>
  <si>
    <t>Total Operating Expenses</t>
  </si>
  <si>
    <t>Operating Income</t>
  </si>
  <si>
    <t>Rate Base</t>
  </si>
  <si>
    <t>Rate of Return</t>
  </si>
  <si>
    <t>Adjusted Operating Income Statement</t>
  </si>
  <si>
    <t>FR 16(8)(c)2</t>
  </si>
  <si>
    <t>Schedule C-2</t>
  </si>
  <si>
    <t>Base Year</t>
  </si>
  <si>
    <t>SSU</t>
  </si>
  <si>
    <t>Test Year</t>
  </si>
  <si>
    <t>Major Group</t>
  </si>
  <si>
    <t>Revenue &amp;</t>
  </si>
  <si>
    <t>Utility budget</t>
  </si>
  <si>
    <t>Sched</t>
  </si>
  <si>
    <t>Billing</t>
  </si>
  <si>
    <t>Ratemaking</t>
  </si>
  <si>
    <t>Rev. &amp; Exp.</t>
  </si>
  <si>
    <t>Classification</t>
  </si>
  <si>
    <t>Expenses</t>
  </si>
  <si>
    <t>Adjustments</t>
  </si>
  <si>
    <t>Ref.</t>
  </si>
  <si>
    <t>Adjs</t>
  </si>
  <si>
    <t>Adjusted</t>
  </si>
  <si>
    <t>D-1</t>
  </si>
  <si>
    <t>Production O&amp;M Expense</t>
  </si>
  <si>
    <t>Storage O&amp;M Expense</t>
  </si>
  <si>
    <t>Transmission O&amp;M Expense</t>
  </si>
  <si>
    <t>Distribution O&amp;M Expense</t>
  </si>
  <si>
    <t>*</t>
  </si>
  <si>
    <t>Customer Accting. &amp; Collection</t>
  </si>
  <si>
    <t>Customer Service &amp; Information</t>
  </si>
  <si>
    <t>Sales Expense</t>
  </si>
  <si>
    <t>F-4</t>
  </si>
  <si>
    <t>Admin. &amp; General Expense</t>
  </si>
  <si>
    <t>F-6,F-8,F-9, F-10, F-11</t>
  </si>
  <si>
    <t>Depreciation Expense</t>
  </si>
  <si>
    <t>Taxes - Other</t>
  </si>
  <si>
    <t>Income Taxes</t>
  </si>
  <si>
    <t>Net Operating Income</t>
  </si>
  <si>
    <t xml:space="preserve">Operating Revenue and Expenses by FERC Account </t>
  </si>
  <si>
    <t>Data:___X____Base Period________Forecasted Period</t>
  </si>
  <si>
    <t>FR 16(8)(c)2.1</t>
  </si>
  <si>
    <t>Schedule C-2.1 B</t>
  </si>
  <si>
    <t>Account</t>
  </si>
  <si>
    <t>Unadjusted</t>
  </si>
  <si>
    <t>No. (s)</t>
  </si>
  <si>
    <t>Title</t>
  </si>
  <si>
    <t>Total Utility</t>
  </si>
  <si>
    <t>(1)</t>
  </si>
  <si>
    <t>O P E R A T I N G  R E V E N U E</t>
  </si>
  <si>
    <t xml:space="preserve">  Sales of Gas</t>
  </si>
  <si>
    <t>Residential</t>
  </si>
  <si>
    <t>Unbilled Residential</t>
  </si>
  <si>
    <t>Commercial</t>
  </si>
  <si>
    <t>Industrial</t>
  </si>
  <si>
    <t>Unbilled Commercial</t>
  </si>
  <si>
    <t>Unbilled Industrial</t>
  </si>
  <si>
    <t>Other - Public Authority</t>
  </si>
  <si>
    <t>Unbilled Public Authority</t>
  </si>
  <si>
    <t xml:space="preserve">  Total Sales of Gas</t>
  </si>
  <si>
    <t xml:space="preserve">  Other Operating Income</t>
  </si>
  <si>
    <t>Forfeited Discounts</t>
  </si>
  <si>
    <t>Misc. Service Revenues</t>
  </si>
  <si>
    <t>Revenue From Transportation of Gas of Others</t>
  </si>
  <si>
    <t>Other Gas Revenue</t>
  </si>
  <si>
    <t>Provision for Rate Refunds</t>
  </si>
  <si>
    <t xml:space="preserve">  Total Other Operating Income</t>
  </si>
  <si>
    <t>T O T A L  O P E R A T I N G  R E V E N U E</t>
  </si>
  <si>
    <t>O P E R A T I N G  E X P E N S E S</t>
  </si>
  <si>
    <t>Production Expense - Operation</t>
  </si>
  <si>
    <t>Ng. Field Meas. &amp; Reg. Station</t>
  </si>
  <si>
    <t>Production and gathering-Other</t>
  </si>
  <si>
    <t>Total Production Expense - Operation</t>
  </si>
  <si>
    <t>Production Expense - Maintenance</t>
  </si>
  <si>
    <t>Ng Main. Supervision &amp; Engineering</t>
  </si>
  <si>
    <t>Natural Gas Storage Expense - Operation</t>
  </si>
  <si>
    <t>Operation Supervision &amp; Engineering</t>
  </si>
  <si>
    <t>Maps and Records</t>
  </si>
  <si>
    <t>Wells Expense</t>
  </si>
  <si>
    <t>Lines Expense</t>
  </si>
  <si>
    <t>Compressor Station Expense</t>
  </si>
  <si>
    <t>Compressor Station Expense Fuel &amp; Power</t>
  </si>
  <si>
    <t>Measuring &amp; Regulating Station Expense</t>
  </si>
  <si>
    <t>Purification</t>
  </si>
  <si>
    <t>Other</t>
  </si>
  <si>
    <t>Storage Well Royalties</t>
  </si>
  <si>
    <t>Total Nat. Gas Storage Expense - Operation</t>
  </si>
  <si>
    <t>Natural Gas Storage Expense - Maintenance</t>
  </si>
  <si>
    <t>Structure &amp; Improvements</t>
  </si>
  <si>
    <t>Reservoirs &amp; Wells</t>
  </si>
  <si>
    <t>Compressor Station Equip.</t>
  </si>
  <si>
    <t>Measuring &amp; Regulating Station Equip.</t>
  </si>
  <si>
    <t>Purification Equipment</t>
  </si>
  <si>
    <t>Maintenance of other equipment</t>
  </si>
  <si>
    <t>840/847</t>
  </si>
  <si>
    <t>Other Storage Exp. - LNG</t>
  </si>
  <si>
    <t>Total Nat. Gas Storage Expense - Maintenance</t>
  </si>
  <si>
    <t>Transmission Expense - Operation</t>
  </si>
  <si>
    <t>Communication system expenses</t>
  </si>
  <si>
    <t>Other fuel &amp; power for compression</t>
  </si>
  <si>
    <t>Mains Expense</t>
  </si>
  <si>
    <t>Measuring &amp; Regulating Station Exp.</t>
  </si>
  <si>
    <t>Other Exp.</t>
  </si>
  <si>
    <t>Rents</t>
  </si>
  <si>
    <t>Total Transmission Expense - Operation</t>
  </si>
  <si>
    <t>Transmission Expense - Maintenance</t>
  </si>
  <si>
    <t>Structures and Improvements</t>
  </si>
  <si>
    <t>Mains</t>
  </si>
  <si>
    <t>Compressor Station Equipment</t>
  </si>
  <si>
    <t>Measuring &amp; Reg Station Equip.</t>
  </si>
  <si>
    <t>Other Equipment</t>
  </si>
  <si>
    <t>Total Transmission Expense - Maintenance</t>
  </si>
  <si>
    <t>Purchased Gas Cost - Operation</t>
  </si>
  <si>
    <t>Intercompany Gas Well-head Purchases</t>
  </si>
  <si>
    <t xml:space="preserve">      Natural gas field line purchases</t>
  </si>
  <si>
    <t xml:space="preserve">      Natural Gas City Gate Purchases</t>
  </si>
  <si>
    <t xml:space="preserve">      Transportation to City Gate</t>
  </si>
  <si>
    <t>Transmission-Operation supervision and engineering</t>
  </si>
  <si>
    <t xml:space="preserve">      Other Gas Purchases / Gas Cost Adjustments</t>
  </si>
  <si>
    <t xml:space="preserve">      PGA for Commercial</t>
  </si>
  <si>
    <t xml:space="preserve">      PGA for Industrial</t>
  </si>
  <si>
    <t xml:space="preserve">      PGA for Public Authority</t>
  </si>
  <si>
    <t xml:space="preserve">      PGA for Transportation Sales</t>
  </si>
  <si>
    <t xml:space="preserve">      Unbilled PGA Costs</t>
  </si>
  <si>
    <t xml:space="preserve">      PGA Offset to Unrecovered Gas Cost</t>
  </si>
  <si>
    <t xml:space="preserve">      Exchange Gas</t>
  </si>
  <si>
    <t xml:space="preserve">      Gas Withdrawn From Storage - Debit</t>
  </si>
  <si>
    <t xml:space="preserve">      Gas Delivered to Storage</t>
  </si>
  <si>
    <t xml:space="preserve">      Gas used for products extraction-Credit</t>
  </si>
  <si>
    <t xml:space="preserve">      Gas Used for Other Utility Operations</t>
  </si>
  <si>
    <t xml:space="preserve">      Transmission and compression of gas by others</t>
  </si>
  <si>
    <t>Total Purchased Gas Cost</t>
  </si>
  <si>
    <t>Distribution Expenses - Operation</t>
  </si>
  <si>
    <t>Supervision and Engineering</t>
  </si>
  <si>
    <t>Distribution Load Dispatching</t>
  </si>
  <si>
    <t xml:space="preserve">      Odorization</t>
  </si>
  <si>
    <t>Compressor Station Labor &amp; Expenses</t>
  </si>
  <si>
    <t>Mains &amp; Services</t>
  </si>
  <si>
    <t>Measuring and Regulating Station Exp. - Gen</t>
  </si>
  <si>
    <t>Measuring and Regulating Station Exp. - Ind.</t>
  </si>
  <si>
    <t>Measuring and Regulating Sta. Exp. - City Gate</t>
  </si>
  <si>
    <t>Meters and House Regulator Expense</t>
  </si>
  <si>
    <t>Customer Installations Expense</t>
  </si>
  <si>
    <t>Other Expense</t>
  </si>
  <si>
    <t>Total Distribution Expenses - Operation</t>
  </si>
  <si>
    <t>Distribution Expenses - Maintenance</t>
  </si>
  <si>
    <t>Services</t>
  </si>
  <si>
    <t>Meters and House Regulators</t>
  </si>
  <si>
    <t>Maintenance of Other Plant</t>
  </si>
  <si>
    <t>Total Distribution Expenses - Maintenance</t>
  </si>
  <si>
    <t>Customer Accounts Expenses - Operation</t>
  </si>
  <si>
    <t>Supervision</t>
  </si>
  <si>
    <t>Meter Reading Expenses</t>
  </si>
  <si>
    <t>Customer Records &amp; Collections</t>
  </si>
  <si>
    <t>Uncollectible Accounts</t>
  </si>
  <si>
    <t>Total Customer Accounts Expense</t>
  </si>
  <si>
    <t>Customer Service &amp; Information - Operation</t>
  </si>
  <si>
    <t>Customer Assistance Expenses</t>
  </si>
  <si>
    <t>Informational and Instructional Advertising Expenses</t>
  </si>
  <si>
    <t>Misc Cust Serv &amp; Informational Exp</t>
  </si>
  <si>
    <t>Total Customer Accounts Expenses - Operation</t>
  </si>
  <si>
    <t>Demonstrating and Selling Expenses</t>
  </si>
  <si>
    <t>Advertising Expenses</t>
  </si>
  <si>
    <t>Miscellaneous Sales Expenses</t>
  </si>
  <si>
    <t>Total Sales Expenses</t>
  </si>
  <si>
    <t>Administrative and General Expenses - Operation</t>
  </si>
  <si>
    <t>Administrative and General Salaries</t>
  </si>
  <si>
    <t>Office Supplies and Expenses</t>
  </si>
  <si>
    <t>Administrative Expense Transferred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</si>
  <si>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</si>
  <si>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</si>
  <si>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</si>
  <si>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</si>
  <si>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</si>
  <si>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Commission Expense</t>
  </si>
  <si>
    <t>Miscellaneous General Expense</t>
  </si>
  <si>
    <t>A&amp;G-Rents</t>
  </si>
  <si>
    <t>Total Administrative and General Exp. - Operation</t>
  </si>
  <si>
    <t>Administrative and General Expense - Maintenance</t>
  </si>
  <si>
    <t>Maintenance of general plant</t>
  </si>
  <si>
    <t>Total Administrative and Gen. Exp. - Maintenance</t>
  </si>
  <si>
    <t>Total Operation and Maintenance Expense</t>
  </si>
  <si>
    <t xml:space="preserve">Depreciation </t>
  </si>
  <si>
    <t>Amortization</t>
  </si>
  <si>
    <t>Taxes Other than Income Taxes</t>
  </si>
  <si>
    <t>4091-4101</t>
  </si>
  <si>
    <t>Provision for Federal &amp; State Income Taxes</t>
  </si>
  <si>
    <t>TOTAL OPERATING EXPENSE (incl Gas Cost)</t>
  </si>
  <si>
    <t>NET OPERATING INCOME</t>
  </si>
  <si>
    <t>Monthly Jurisdictional Operating Income by FERC Account</t>
  </si>
  <si>
    <t>FR 16(8)(c)2.2</t>
  </si>
  <si>
    <t>Schedule C-2.2</t>
  </si>
  <si>
    <t>Acct</t>
  </si>
  <si>
    <t>actual</t>
  </si>
  <si>
    <t>Account Discription</t>
  </si>
  <si>
    <t>Total</t>
  </si>
  <si>
    <t>$</t>
  </si>
  <si>
    <t>Provision for income taxes</t>
  </si>
  <si>
    <t xml:space="preserve"> </t>
  </si>
  <si>
    <t>Amortization of gas plant acquisition adjustments</t>
  </si>
  <si>
    <t>Taxes other than income taxes, utility operating income</t>
  </si>
  <si>
    <t>Residential sales</t>
  </si>
  <si>
    <t>Unbilled Residential Revenue</t>
  </si>
  <si>
    <t>Commercial Revenue</t>
  </si>
  <si>
    <t>Industrial Revenue</t>
  </si>
  <si>
    <t>Unbilled Comm Revenue</t>
  </si>
  <si>
    <t>Unbilled Industrial Revenue</t>
  </si>
  <si>
    <t>Other Sales to Public Authorities</t>
  </si>
  <si>
    <t>Unbilled Public Authority Revenue</t>
  </si>
  <si>
    <t>Forfeited discounts</t>
  </si>
  <si>
    <t>Miscellaneous service revenues</t>
  </si>
  <si>
    <t>Revenue-Transportation Distribution</t>
  </si>
  <si>
    <t>Field measuring and regulating station expenses</t>
  </si>
  <si>
    <t>Natural gas field line purchases</t>
  </si>
  <si>
    <t>Natural gas city gate purchases</t>
  </si>
  <si>
    <t>Other purchases</t>
  </si>
  <si>
    <t>PGA for Residential</t>
  </si>
  <si>
    <t>PGA for Commercial</t>
  </si>
  <si>
    <t>PGA for Industrial</t>
  </si>
  <si>
    <t>PGA for Public Authorities</t>
  </si>
  <si>
    <t>Unbilled PGA Cost</t>
  </si>
  <si>
    <t>PGA Offset to Unrecovered Gas Cost</t>
  </si>
  <si>
    <t>Exchange gas</t>
  </si>
  <si>
    <t>Gas withdrawn from storage-Debit</t>
  </si>
  <si>
    <t>Gas delivered to storage-Credit</t>
  </si>
  <si>
    <t>Gas used for other utility operations-Credit</t>
  </si>
  <si>
    <t>Transmission and compression of gas by others</t>
  </si>
  <si>
    <t>Storage-Operation supervision and engineering</t>
  </si>
  <si>
    <t>Wells expenses</t>
  </si>
  <si>
    <t>Lines expenses</t>
  </si>
  <si>
    <t>Compressor station expenses</t>
  </si>
  <si>
    <t>Compressor station fuel and power</t>
  </si>
  <si>
    <t>Storage-Measuring and regulating station expenses</t>
  </si>
  <si>
    <t>Storage-Purification expenses</t>
  </si>
  <si>
    <t>Storage-Other expenses</t>
  </si>
  <si>
    <t>Storage well royalties</t>
  </si>
  <si>
    <t>Storage-Maintenance of structures and improvements</t>
  </si>
  <si>
    <t>Maintenance of compressor station equipment</t>
  </si>
  <si>
    <t>Maintenance of measuring and regulating station equipment</t>
  </si>
  <si>
    <t>Processing-Maintenance of purification equipment</t>
  </si>
  <si>
    <t>Other storage expenses-Operation labor and expenses</t>
  </si>
  <si>
    <t>Other fuel and power for Compression</t>
  </si>
  <si>
    <t>Mains expenses</t>
  </si>
  <si>
    <t>Transmission-Measuring and regulating station expenses</t>
  </si>
  <si>
    <t>Transmission-Maintenance of mains</t>
  </si>
  <si>
    <t>Transmission-Maintenance of compressor sta equipment</t>
  </si>
  <si>
    <t>Transmission-Maintenance of measuring and regulating station equipment</t>
  </si>
  <si>
    <t>Distribution-Operation supervision and engineering</t>
  </si>
  <si>
    <t>Distribution load dispatching</t>
  </si>
  <si>
    <t>Odorization</t>
  </si>
  <si>
    <t>Distribution-Compressor station labor and expenses</t>
  </si>
  <si>
    <t>Mains and Services Expenses</t>
  </si>
  <si>
    <t>Distribution-Measuring and regulating station expenses</t>
  </si>
  <si>
    <t>Distribution-Measuring and regulating station expenses-Industrial</t>
  </si>
  <si>
    <t>Distribution-Measuring and regulating station expenses-City gate check stations</t>
  </si>
  <si>
    <t>Meter and house regulator expenses</t>
  </si>
  <si>
    <t>Customer installations expenses</t>
  </si>
  <si>
    <t>Distribution-Other expenses</t>
  </si>
  <si>
    <t>Distribution-Rents</t>
  </si>
  <si>
    <t>Distribution-Maintenance supervision and engineering</t>
  </si>
  <si>
    <t>Distribution-Maintenance of structures and improvements</t>
  </si>
  <si>
    <t>Distribution-Maint of mains</t>
  </si>
  <si>
    <t>Maintenance of measuring and regulating station equipment-General</t>
  </si>
  <si>
    <t>Maintenance of measuring and regulating station equipment-Industrial</t>
  </si>
  <si>
    <t>Maintenance of measuring and regulating station equipment-City gate check stations</t>
  </si>
  <si>
    <t>Maintenance of services</t>
  </si>
  <si>
    <t>Maintenance of meters and house regulators</t>
  </si>
  <si>
    <t>Distribution-Maintenance of other equipment</t>
  </si>
  <si>
    <t>Customer accounts-Operation supervision</t>
  </si>
  <si>
    <t>Customer accounts-Meter reading expenses</t>
  </si>
  <si>
    <t>Customer accounts-Customer records and collections expenses</t>
  </si>
  <si>
    <t>Customer accounts-Uncollectible accounts</t>
  </si>
  <si>
    <t>Customer service-Operating informational and instructional advertising expense</t>
  </si>
  <si>
    <t>Customer service-Miscellaneous customer service</t>
  </si>
  <si>
    <t>Sales-Supervision</t>
  </si>
  <si>
    <t>Sales-Demonstrating and selling expenses</t>
  </si>
  <si>
    <t>Sales-Advertising expenses</t>
  </si>
  <si>
    <t>A&amp;G-Administrative &amp; general salaries</t>
  </si>
  <si>
    <t>A&amp;G-Office supplies &amp; expense</t>
  </si>
  <si>
    <t>A&amp;G-Administrative expense transferred-Credit</t>
  </si>
  <si>
    <t>A&amp;G-Outside services employed</t>
  </si>
  <si>
    <t>A&amp;G-Property insurance</t>
  </si>
  <si>
    <t>A&amp;G-Injuries &amp; damages</t>
  </si>
  <si>
    <t>A&amp;G-Employee pensions and benefits</t>
  </si>
  <si>
    <t>A&amp;G-Franchise requirements</t>
  </si>
  <si>
    <t>A&amp;G-Regulatory commission expenses</t>
  </si>
  <si>
    <t>Miscellaneous general expenses</t>
  </si>
  <si>
    <t>A&amp;G-Maintenance of general plant</t>
  </si>
  <si>
    <t>Operating (Income)Loss*</t>
  </si>
  <si>
    <t>*Note:  Debits are shown as positive, and credits are shown as negatives.  Includes the  Shared Services allocation.</t>
  </si>
  <si>
    <t>**Note:  Provision for Income Taxes is not a component of Operating Income but is included on this schedule to develop the 12 month total for use elsewhere in the model</t>
  </si>
  <si>
    <t>Data Sources:</t>
  </si>
  <si>
    <t>Income Statement Activity Jan18-Jun18.xlsx</t>
  </si>
  <si>
    <t>OM for KY-2018.xlsx</t>
  </si>
  <si>
    <t>Div 009 Direct O&amp;M</t>
  </si>
  <si>
    <r>
      <t xml:space="preserve">Monthly Jurisdictional Operating Income by FERC Account, </t>
    </r>
    <r>
      <rPr>
        <b/>
        <sz val="12"/>
        <rFont val="Helvetica-Narrow"/>
      </rPr>
      <t>Div 002 Only</t>
    </r>
  </si>
  <si>
    <t>Mains Expenses</t>
  </si>
  <si>
    <t>Sales-Miscellaneous sales expenses</t>
  </si>
  <si>
    <t>A&amp;G-General advertising expense</t>
  </si>
  <si>
    <t>Allocation Factor to Kentucky</t>
  </si>
  <si>
    <t>Total Allocated Amount</t>
  </si>
  <si>
    <t>*Note:  Debits are shown as positive, and credits are shown as negatives.  Includes the Shared Services allocation.</t>
  </si>
  <si>
    <t>index to source file</t>
  </si>
  <si>
    <t>SSU Direct O&amp;M</t>
  </si>
  <si>
    <t>O&amp;M Comparison</t>
  </si>
  <si>
    <r>
      <t xml:space="preserve">Monthly Jurisdictional Operating Income by FERC Account, </t>
    </r>
    <r>
      <rPr>
        <b/>
        <sz val="12"/>
        <rFont val="Helvetica-Narrow"/>
      </rPr>
      <t>Div 012 Only</t>
    </r>
  </si>
  <si>
    <t>C.2.2 Jurirep 9220.xlsx</t>
  </si>
  <si>
    <r>
      <t xml:space="preserve">Monthly Jurisdictional Operating Income by FERC Account, </t>
    </r>
    <r>
      <rPr>
        <b/>
        <sz val="12"/>
        <rFont val="Helvetica-Narrow"/>
      </rPr>
      <t>Div 091 Only</t>
    </r>
  </si>
  <si>
    <t>4060</t>
  </si>
  <si>
    <t>Transmission-Maintenance of me - Non-Inventory Supplies 8650-02005</t>
  </si>
  <si>
    <t>C2.2 Jurirep Acct 9220.xlsx</t>
  </si>
  <si>
    <t>Computation of State &amp; Federal Income Tax</t>
  </si>
  <si>
    <t>FR 16(8)(e)</t>
  </si>
  <si>
    <t>Schedule   E</t>
  </si>
  <si>
    <t>Witness:  Waller, Story</t>
  </si>
  <si>
    <t>Base Period</t>
  </si>
  <si>
    <t>Test Period</t>
  </si>
  <si>
    <t>Sched.</t>
  </si>
  <si>
    <t>Fully Adjusted</t>
  </si>
  <si>
    <t>(2)</t>
  </si>
  <si>
    <t>(3)</t>
  </si>
  <si>
    <t>Operating Income before Income Tax &amp; Interest</t>
  </si>
  <si>
    <t>C-2</t>
  </si>
  <si>
    <t>Interest Deduction</t>
  </si>
  <si>
    <t>Taxable Income</t>
  </si>
  <si>
    <t>Composite Tax Rate (state &amp; federal)</t>
  </si>
  <si>
    <t>* *</t>
  </si>
  <si>
    <t>State &amp; Federal Income Tax</t>
  </si>
  <si>
    <t>* Interest Expense Calculation:</t>
  </si>
  <si>
    <t xml:space="preserve">13 Month Average Rate Base </t>
  </si>
  <si>
    <t>B-1</t>
  </si>
  <si>
    <t>Weighted cost of Debt</t>
  </si>
  <si>
    <t>J-1</t>
  </si>
  <si>
    <t>Interest Expense</t>
  </si>
  <si>
    <t>State Tax Rate</t>
  </si>
  <si>
    <t>Federal Tax Rate</t>
  </si>
  <si>
    <t>Atmos Energy Corporation, Kentucky/Mid-States Division</t>
  </si>
  <si>
    <t>Kentucky Jurisdiction Case No. 2018-00281</t>
  </si>
  <si>
    <t>Forecasted Test Period: Twelve Months Ended March 31, 2020</t>
  </si>
  <si>
    <t>Base Period: Twelve Months Ended December 31, 2018</t>
  </si>
  <si>
    <t>Storage-Rents</t>
  </si>
  <si>
    <t>NSC-Employee pensions</t>
  </si>
  <si>
    <t xml:space="preserve"> 2018 * * Composite Tax Rate Calculation:  5.00% + 21%(100% - 5.00%)  =  24.95%</t>
  </si>
  <si>
    <t>Miscellaneous General Expenses</t>
  </si>
  <si>
    <t>Regulatory Debits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</si>
</sst>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0%"/>
    <numFmt numFmtId="168" formatCode="0_);\(0\)"/>
    <numFmt numFmtId="169" formatCode="0.000%"/>
    <numFmt numFmtId="170" formatCode="0000"/>
    <numFmt numFmtId="171" formatCode="000.0"/>
    <numFmt numFmtId="172" formatCode="[$-409]mmm\-yy;@"/>
    <numFmt numFmtId="173" formatCode="#,##0.000_);\(#,##0.000\)"/>
    <numFmt numFmtId="174" formatCode="#,##0.0"/>
    <numFmt numFmtId="175" formatCode="0.00_)"/>
    <numFmt numFmtId="176" formatCode="General;;"/>
  </numFmts>
  <fonts count="55">
    <font>
      <sz val="12"/>
      <name val="Helvetica-Narrow"/>
      <family val="2"/>
    </font>
    <font>
      <sz val="11"/>
      <color theme="1"/>
      <name val="Calibri"/>
      <family val="2"/>
      <scheme val="minor"/>
    </font>
    <font>
      <sz val="12"/>
      <name val="Helvetica-Narrow"/>
      <family val="2"/>
    </font>
    <font>
      <sz val="12"/>
      <color theme="0" tint="-0.499984740745262"/>
      <name val="Helvetica-Narrow"/>
      <family val="2"/>
    </font>
    <font>
      <u/>
      <sz val="12"/>
      <name val="Helvetica-Narrow"/>
      <family val="2"/>
    </font>
    <font>
      <sz val="12"/>
      <color theme="0" tint="-0.34998626667073579"/>
      <name val="Helvetica-Narrow"/>
      <family val="2"/>
    </font>
    <font>
      <sz val="12"/>
      <name val="Times New Roman"/>
      <family val="1"/>
    </font>
    <font>
      <sz val="12"/>
      <color theme="0" tint="-0.249977111117893"/>
      <name val="Helvetica-Narrow"/>
    </font>
    <font>
      <sz val="12"/>
      <color theme="0" tint="-0.249977111117893"/>
      <name val="Helvetica-Narrow"/>
      <family val="2"/>
    </font>
    <font>
      <sz val="12"/>
      <color rgb="FF0000FF"/>
      <name val="Helvetica-Narrow"/>
      <family val="2"/>
    </font>
    <font>
      <b/>
      <sz val="9"/>
      <name val="Helvetica-Narrow"/>
      <family val="2"/>
    </font>
    <font>
      <sz val="9"/>
      <name val="Helvetica-Narrow"/>
      <family val="2"/>
    </font>
    <font>
      <sz val="12"/>
      <name val="Helvetica-Narrow"/>
    </font>
    <font>
      <u/>
      <sz val="12"/>
      <name val="Helvetica-Narrow"/>
    </font>
    <font>
      <sz val="12"/>
      <color rgb="FF0000FF"/>
      <name val="Helvetica-Narrow"/>
    </font>
    <font>
      <u val="double"/>
      <sz val="12"/>
      <name val="Helvetica-Narrow"/>
    </font>
    <font>
      <sz val="12"/>
      <color rgb="FFFF0000"/>
      <name val="Helvetica-Narrow"/>
    </font>
    <font>
      <b/>
      <sz val="12"/>
      <color rgb="FF0000FF"/>
      <name val="Helvetica-Narrow"/>
    </font>
    <font>
      <sz val="12"/>
      <color rgb="FFFF0000"/>
      <name val="Helvetica-Narrow"/>
      <family val="2"/>
    </font>
    <font>
      <b/>
      <sz val="10"/>
      <color rgb="FFFF0000"/>
      <name val="Arial"/>
      <family val="2"/>
    </font>
    <font>
      <b/>
      <sz val="12"/>
      <name val="Helvetica-Narrow"/>
    </font>
    <font>
      <sz val="10"/>
      <name val="Arial"/>
      <family val="2"/>
    </font>
    <font>
      <b/>
      <sz val="12"/>
      <color rgb="FFFF0000"/>
      <name val="Helvetica-Narrow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2"/>
      <name val="Tms Rmn"/>
    </font>
    <font>
      <sz val="9"/>
      <name val="Times New Roman"/>
      <family val="1"/>
    </font>
    <font>
      <b/>
      <sz val="11"/>
      <color indexed="12"/>
      <name val="Arial"/>
      <family val="2"/>
    </font>
    <font>
      <sz val="11"/>
      <color indexed="12"/>
      <name val="Book Antiqua"/>
      <family val="1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8"/>
      <name val="Palatino"/>
    </font>
    <font>
      <sz val="10"/>
      <color indexed="12"/>
      <name val="Arial"/>
      <family val="2"/>
    </font>
    <font>
      <b/>
      <sz val="12"/>
      <name val="Tms Rmn"/>
    </font>
    <font>
      <b/>
      <sz val="22"/>
      <color indexed="16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</font>
    <font>
      <sz val="12"/>
      <color indexed="62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8"/>
      <name val="Times New Roman"/>
      <family val="1"/>
    </font>
    <font>
      <b/>
      <sz val="22"/>
      <color indexed="21"/>
      <name val="Times New Roman"/>
      <family val="1"/>
    </font>
    <font>
      <sz val="10"/>
      <name val="MS Sans Serif"/>
      <family val="2"/>
    </font>
    <font>
      <b/>
      <sz val="16"/>
      <color indexed="16"/>
      <name val="Arial"/>
      <family val="2"/>
    </font>
    <font>
      <sz val="12"/>
      <color indexed="13"/>
      <name val="Tms Rmn"/>
    </font>
    <font>
      <b/>
      <sz val="18"/>
      <name val="Palatino"/>
    </font>
    <font>
      <sz val="8"/>
      <color indexed="12"/>
      <name val="Arial"/>
      <family val="2"/>
    </font>
    <font>
      <sz val="12"/>
      <name val="新細明體"/>
      <family val="1"/>
      <charset val="136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16">
    <xf numFmtId="37" fontId="0" fillId="0" borderId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1" fillId="0" borderId="0"/>
    <xf numFmtId="0" fontId="24" fillId="6" borderId="10">
      <alignment horizontal="center" vertical="center"/>
    </xf>
    <xf numFmtId="3" fontId="25" fillId="7" borderId="0" applyBorder="0">
      <alignment horizontal="right"/>
      <protection locked="0"/>
    </xf>
    <xf numFmtId="0" fontId="26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8" fillId="0" borderId="0">
      <alignment horizontal="left" vertical="center" indent="1"/>
    </xf>
    <xf numFmtId="42" fontId="21" fillId="0" borderId="0" applyFont="0" applyFill="0" applyBorder="0" applyAlignment="0" applyProtection="0"/>
    <xf numFmtId="8" fontId="29" fillId="0" borderId="11">
      <protection locked="0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26" fillId="0" borderId="12"/>
    <xf numFmtId="6" fontId="30" fillId="0" borderId="0">
      <protection locked="0"/>
    </xf>
    <xf numFmtId="0" fontId="31" fillId="0" borderId="0" applyNumberFormat="0">
      <protection locked="0"/>
    </xf>
    <xf numFmtId="174" fontId="24" fillId="8" borderId="0" applyFill="0" applyBorder="0" applyProtection="0"/>
    <xf numFmtId="0" fontId="21" fillId="0" borderId="0">
      <protection locked="0"/>
    </xf>
    <xf numFmtId="38" fontId="31" fillId="9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Alignment="0" applyProtection="0">
      <alignment horizontal="left" vertical="center"/>
    </xf>
    <xf numFmtId="0" fontId="33" fillId="0" borderId="14">
      <alignment horizontal="left" vertical="center"/>
    </xf>
    <xf numFmtId="0" fontId="34" fillId="0" borderId="0">
      <alignment horizontal="center"/>
    </xf>
    <xf numFmtId="0" fontId="21" fillId="0" borderId="0">
      <protection locked="0"/>
    </xf>
    <xf numFmtId="0" fontId="21" fillId="0" borderId="0">
      <protection locked="0"/>
    </xf>
    <xf numFmtId="0" fontId="35" fillId="0" borderId="15" applyNumberFormat="0" applyFill="0" applyAlignment="0" applyProtection="0"/>
    <xf numFmtId="10" fontId="31" fillId="10" borderId="8" applyNumberFormat="0" applyBorder="0" applyAlignment="0" applyProtection="0"/>
    <xf numFmtId="0" fontId="36" fillId="11" borderId="12"/>
    <xf numFmtId="0" fontId="37" fillId="0" borderId="0" applyNumberFormat="0">
      <alignment horizontal="left"/>
    </xf>
    <xf numFmtId="37" fontId="38" fillId="0" borderId="0"/>
    <xf numFmtId="3" fontId="31" fillId="9" borderId="0" applyNumberFormat="0"/>
    <xf numFmtId="0" fontId="26" fillId="0" borderId="0"/>
    <xf numFmtId="175" fontId="3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 applyNumberFormat="0" applyBorder="0" applyAlignment="0"/>
    <xf numFmtId="0" fontId="21" fillId="0" borderId="0"/>
    <xf numFmtId="0" fontId="21" fillId="0" borderId="0"/>
    <xf numFmtId="0" fontId="1" fillId="0" borderId="0"/>
    <xf numFmtId="37" fontId="2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1" fillId="0" borderId="0"/>
    <xf numFmtId="4" fontId="42" fillId="2" borderId="0">
      <alignment horizontal="right"/>
    </xf>
    <xf numFmtId="40" fontId="42" fillId="2" borderId="0">
      <alignment horizontal="right"/>
    </xf>
    <xf numFmtId="0" fontId="43" fillId="2" borderId="0">
      <alignment horizontal="right"/>
    </xf>
    <xf numFmtId="0" fontId="44" fillId="10" borderId="0">
      <alignment horizontal="center"/>
    </xf>
    <xf numFmtId="0" fontId="45" fillId="2" borderId="16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0" fontId="48" fillId="0" borderId="0" applyBorder="0">
      <alignment horizontal="centerContinuous"/>
    </xf>
    <xf numFmtId="10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9" fillId="0" borderId="0" applyNumberFormat="0" applyFont="0" applyFill="0" applyBorder="0" applyAlignment="0" applyProtection="0">
      <alignment horizontal="left"/>
    </xf>
    <xf numFmtId="0" fontId="26" fillId="0" borderId="0"/>
    <xf numFmtId="0" fontId="50" fillId="0" borderId="0" applyNumberFormat="0">
      <alignment horizontal="left"/>
    </xf>
    <xf numFmtId="0" fontId="26" fillId="0" borderId="12"/>
    <xf numFmtId="0" fontId="51" fillId="12" borderId="0"/>
    <xf numFmtId="176" fontId="52" fillId="0" borderId="0">
      <alignment horizontal="center"/>
    </xf>
    <xf numFmtId="0" fontId="36" fillId="0" borderId="17"/>
    <xf numFmtId="0" fontId="36" fillId="0" borderId="12"/>
    <xf numFmtId="37" fontId="31" fillId="13" borderId="0" applyNumberFormat="0" applyBorder="0" applyAlignment="0" applyProtection="0"/>
    <xf numFmtId="37" fontId="31" fillId="0" borderId="0"/>
    <xf numFmtId="3" fontId="53" fillId="0" borderId="15" applyProtection="0"/>
    <xf numFmtId="0" fontId="54" fillId="0" borderId="0"/>
  </cellStyleXfs>
  <cellXfs count="281">
    <xf numFmtId="37" fontId="0" fillId="0" borderId="0" xfId="0"/>
    <xf numFmtId="37" fontId="2" fillId="0" borderId="0" xfId="0" applyFont="1"/>
    <xf numFmtId="37" fontId="2" fillId="0" borderId="0" xfId="0" applyNumberFormat="1" applyFont="1" applyAlignment="1" applyProtection="1">
      <alignment horizontal="center"/>
      <protection locked="0"/>
    </xf>
    <xf numFmtId="37" fontId="2" fillId="0" borderId="0" xfId="0" applyFont="1" applyAlignment="1" applyProtection="1">
      <alignment horizontal="left"/>
    </xf>
    <xf numFmtId="37" fontId="2" fillId="0" borderId="0" xfId="0" applyFont="1" applyAlignment="1">
      <alignment horizontal="right"/>
    </xf>
    <xf numFmtId="37" fontId="2" fillId="0" borderId="0" xfId="0" applyFont="1" applyAlignment="1" applyProtection="1">
      <alignment horizontal="right"/>
    </xf>
    <xf numFmtId="37" fontId="2" fillId="0" borderId="1" xfId="0" applyFont="1" applyBorder="1" applyAlignment="1" applyProtection="1">
      <alignment horizontal="left"/>
    </xf>
    <xf numFmtId="37" fontId="2" fillId="0" borderId="1" xfId="0" applyFont="1" applyBorder="1"/>
    <xf numFmtId="37" fontId="2" fillId="0" borderId="1" xfId="0" applyFont="1" applyFill="1" applyBorder="1" applyAlignment="1" applyProtection="1">
      <alignment horizontal="right"/>
    </xf>
    <xf numFmtId="37" fontId="2" fillId="0" borderId="0" xfId="0" applyFont="1" applyAlignment="1">
      <alignment horizontal="center"/>
    </xf>
    <xf numFmtId="37" fontId="2" fillId="0" borderId="0" xfId="0" applyFont="1" applyAlignment="1" applyProtection="1">
      <alignment horizontal="center"/>
    </xf>
    <xf numFmtId="37" fontId="3" fillId="0" borderId="0" xfId="0" applyFont="1"/>
    <xf numFmtId="37" fontId="2" fillId="0" borderId="1" xfId="0" applyFont="1" applyBorder="1" applyAlignment="1" applyProtection="1">
      <alignment horizontal="center"/>
    </xf>
    <xf numFmtId="37" fontId="4" fillId="0" borderId="0" xfId="0" applyFont="1" applyAlignment="1">
      <alignment horizontal="center"/>
    </xf>
    <xf numFmtId="37" fontId="5" fillId="0" borderId="0" xfId="0" applyFont="1" applyAlignment="1">
      <alignment horizontal="center"/>
    </xf>
    <xf numFmtId="37" fontId="3" fillId="0" borderId="0" xfId="0" applyFont="1" applyAlignment="1">
      <alignment horizontal="center"/>
    </xf>
    <xf numFmtId="37" fontId="3" fillId="0" borderId="0" xfId="0" applyFont="1" applyAlignment="1">
      <alignment horizontal="left"/>
    </xf>
    <xf numFmtId="37" fontId="2" fillId="0" borderId="0" xfId="0" applyFont="1" applyFill="1"/>
    <xf numFmtId="37" fontId="5" fillId="0" borderId="0" xfId="0" applyFont="1"/>
    <xf numFmtId="164" fontId="2" fillId="0" borderId="0" xfId="2" applyNumberFormat="1" applyFont="1" applyFill="1" applyProtection="1"/>
    <xf numFmtId="37" fontId="2" fillId="0" borderId="0" xfId="0" applyNumberFormat="1" applyFont="1" applyProtection="1"/>
    <xf numFmtId="164" fontId="2" fillId="0" borderId="0" xfId="2" applyNumberFormat="1" applyFont="1" applyProtection="1"/>
    <xf numFmtId="165" fontId="3" fillId="0" borderId="0" xfId="3" applyNumberFormat="1" applyFont="1" applyProtection="1"/>
    <xf numFmtId="166" fontId="5" fillId="0" borderId="0" xfId="1" applyNumberFormat="1" applyFont="1" applyFill="1" applyProtection="1"/>
    <xf numFmtId="37" fontId="5" fillId="0" borderId="0" xfId="0" applyNumberFormat="1" applyFont="1" applyProtection="1"/>
    <xf numFmtId="166" fontId="3" fillId="0" borderId="0" xfId="1" applyNumberFormat="1" applyFont="1" applyFill="1" applyProtection="1"/>
    <xf numFmtId="37" fontId="2" fillId="0" borderId="0" xfId="0" applyNumberFormat="1" applyFont="1" applyFill="1" applyProtection="1"/>
    <xf numFmtId="37" fontId="3" fillId="0" borderId="0" xfId="0" applyNumberFormat="1" applyFont="1" applyProtection="1"/>
    <xf numFmtId="37" fontId="5" fillId="0" borderId="0" xfId="0" applyNumberFormat="1" applyFont="1" applyFill="1" applyProtection="1"/>
    <xf numFmtId="37" fontId="3" fillId="0" borderId="0" xfId="0" applyFont="1" applyFill="1"/>
    <xf numFmtId="37" fontId="3" fillId="0" borderId="0" xfId="0" applyNumberFormat="1" applyFont="1" applyFill="1" applyProtection="1"/>
    <xf numFmtId="37" fontId="2" fillId="0" borderId="0" xfId="0" applyFont="1" applyAlignment="1" applyProtection="1">
      <alignment horizontal="left" indent="1"/>
    </xf>
    <xf numFmtId="166" fontId="2" fillId="0" borderId="0" xfId="1" applyNumberFormat="1" applyFont="1" applyFill="1" applyProtection="1"/>
    <xf numFmtId="166" fontId="2" fillId="0" borderId="0" xfId="1" applyNumberFormat="1" applyFont="1" applyFill="1"/>
    <xf numFmtId="166" fontId="3" fillId="0" borderId="0" xfId="1" applyNumberFormat="1" applyFont="1" applyFill="1"/>
    <xf numFmtId="167" fontId="7" fillId="0" borderId="0" xfId="0" applyNumberFormat="1" applyFont="1" applyFill="1" applyProtection="1"/>
    <xf numFmtId="166" fontId="2" fillId="0" borderId="0" xfId="1" applyNumberFormat="1" applyFont="1" applyProtection="1"/>
    <xf numFmtId="167" fontId="2" fillId="0" borderId="0" xfId="0" applyNumberFormat="1" applyFont="1" applyProtection="1"/>
    <xf numFmtId="166" fontId="2" fillId="0" borderId="0" xfId="1" applyNumberFormat="1" applyFont="1"/>
    <xf numFmtId="166" fontId="3" fillId="0" borderId="0" xfId="1" applyNumberFormat="1" applyFont="1"/>
    <xf numFmtId="166" fontId="3" fillId="0" borderId="0" xfId="1" applyNumberFormat="1" applyFont="1" applyProtection="1"/>
    <xf numFmtId="166" fontId="2" fillId="0" borderId="1" xfId="1" applyNumberFormat="1" applyFont="1" applyFill="1" applyBorder="1" applyProtection="1"/>
    <xf numFmtId="166" fontId="2" fillId="0" borderId="2" xfId="1" applyNumberFormat="1" applyFont="1" applyBorder="1" applyProtection="1"/>
    <xf numFmtId="164" fontId="2" fillId="0" borderId="3" xfId="2" applyNumberFormat="1" applyFont="1" applyBorder="1" applyProtection="1"/>
    <xf numFmtId="164" fontId="2" fillId="0" borderId="3" xfId="2" applyNumberFormat="1" applyFont="1" applyFill="1" applyBorder="1" applyProtection="1"/>
    <xf numFmtId="10" fontId="2" fillId="0" borderId="0" xfId="0" applyNumberFormat="1" applyFont="1" applyBorder="1" applyProtection="1"/>
    <xf numFmtId="10" fontId="2" fillId="0" borderId="0" xfId="0" applyNumberFormat="1" applyFont="1" applyProtection="1"/>
    <xf numFmtId="10" fontId="3" fillId="0" borderId="0" xfId="0" applyNumberFormat="1" applyFont="1" applyBorder="1" applyProtection="1"/>
    <xf numFmtId="37" fontId="8" fillId="0" borderId="0" xfId="0" applyFont="1" applyAlignment="1">
      <alignment horizontal="right"/>
    </xf>
    <xf numFmtId="37" fontId="8" fillId="0" borderId="0" xfId="0" applyFont="1"/>
    <xf numFmtId="37" fontId="2" fillId="0" borderId="0" xfId="0" applyFont="1" applyProtection="1">
      <protection locked="0"/>
    </xf>
    <xf numFmtId="37" fontId="2" fillId="0" borderId="0" xfId="0" applyFont="1" applyAlignment="1" applyProtection="1">
      <alignment horizontal="left"/>
      <protection locked="0"/>
    </xf>
    <xf numFmtId="37" fontId="2" fillId="0" borderId="0" xfId="0" applyFont="1" applyAlignment="1" applyProtection="1">
      <alignment horizontal="right"/>
      <protection locked="0"/>
    </xf>
    <xf numFmtId="37" fontId="2" fillId="0" borderId="2" xfId="0" applyFont="1" applyBorder="1" applyAlignment="1" applyProtection="1">
      <alignment horizontal="left"/>
    </xf>
    <xf numFmtId="37" fontId="2" fillId="0" borderId="1" xfId="0" applyFont="1" applyBorder="1" applyAlignment="1" applyProtection="1">
      <alignment horizontal="left"/>
      <protection locked="0"/>
    </xf>
    <xf numFmtId="37" fontId="2" fillId="0" borderId="2" xfId="0" applyFont="1" applyBorder="1"/>
    <xf numFmtId="37" fontId="2" fillId="0" borderId="1" xfId="0" applyFont="1" applyBorder="1" applyAlignment="1" applyProtection="1">
      <alignment horizontal="right"/>
      <protection locked="0"/>
    </xf>
    <xf numFmtId="37" fontId="4" fillId="0" borderId="0" xfId="0" applyFont="1" applyProtection="1">
      <protection locked="0"/>
    </xf>
    <xf numFmtId="37" fontId="2" fillId="0" borderId="0" xfId="0" applyFont="1" applyAlignment="1" applyProtection="1">
      <alignment horizontal="center"/>
      <protection locked="0"/>
    </xf>
    <xf numFmtId="37" fontId="2" fillId="0" borderId="1" xfId="0" applyFont="1" applyBorder="1" applyAlignment="1" applyProtection="1">
      <alignment horizontal="center"/>
      <protection locked="0"/>
    </xf>
    <xf numFmtId="37" fontId="2" fillId="0" borderId="1" xfId="0" applyFont="1" applyBorder="1" applyAlignment="1">
      <alignment horizontal="center"/>
    </xf>
    <xf numFmtId="37" fontId="0" fillId="0" borderId="0" xfId="0" applyFont="1" applyFill="1" applyBorder="1" applyAlignment="1" applyProtection="1">
      <alignment horizontal="center"/>
    </xf>
    <xf numFmtId="37" fontId="2" fillId="0" borderId="2" xfId="0" applyFont="1" applyBorder="1" applyAlignment="1">
      <alignment horizontal="center"/>
    </xf>
    <xf numFmtId="37" fontId="4" fillId="0" borderId="0" xfId="0" applyFont="1"/>
    <xf numFmtId="37" fontId="2" fillId="0" borderId="0" xfId="0" applyFont="1" applyFill="1" applyAlignment="1" applyProtection="1">
      <alignment horizontal="center"/>
    </xf>
    <xf numFmtId="37" fontId="2" fillId="0" borderId="4" xfId="0" applyFont="1" applyBorder="1" applyAlignment="1" applyProtection="1">
      <alignment horizontal="center"/>
    </xf>
    <xf numFmtId="168" fontId="2" fillId="0" borderId="0" xfId="0" applyNumberFormat="1" applyFont="1" applyAlignment="1" applyProtection="1">
      <alignment horizontal="center"/>
      <protection locked="0"/>
    </xf>
    <xf numFmtId="164" fontId="2" fillId="0" borderId="0" xfId="2" applyNumberFormat="1" applyFont="1" applyFill="1" applyProtection="1">
      <protection locked="0"/>
    </xf>
    <xf numFmtId="37" fontId="2" fillId="0" borderId="0" xfId="0" applyNumberFormat="1" applyFont="1" applyFill="1" applyAlignment="1" applyProtection="1">
      <alignment horizontal="center"/>
      <protection locked="0"/>
    </xf>
    <xf numFmtId="37" fontId="2" fillId="0" borderId="0" xfId="0" applyNumberFormat="1" applyFont="1" applyFill="1" applyProtection="1">
      <protection locked="0"/>
    </xf>
    <xf numFmtId="37" fontId="2" fillId="0" borderId="0" xfId="0" applyNumberFormat="1" applyFont="1" applyProtection="1">
      <protection locked="0"/>
    </xf>
    <xf numFmtId="168" fontId="2" fillId="0" borderId="0" xfId="0" applyNumberFormat="1" applyFont="1" applyAlignment="1">
      <alignment horizontal="center"/>
    </xf>
    <xf numFmtId="37" fontId="2" fillId="0" borderId="0" xfId="0" applyNumberFormat="1" applyFont="1" applyFill="1"/>
    <xf numFmtId="166" fontId="2" fillId="0" borderId="0" xfId="1" applyNumberFormat="1" applyFont="1" applyFill="1" applyProtection="1">
      <protection locked="0"/>
    </xf>
    <xf numFmtId="166" fontId="2" fillId="0" borderId="0" xfId="1" quotePrefix="1" applyNumberFormat="1" applyFont="1" applyFill="1" applyProtection="1"/>
    <xf numFmtId="37" fontId="9" fillId="0" borderId="0" xfId="0" applyFont="1"/>
    <xf numFmtId="37" fontId="2" fillId="0" borderId="0" xfId="0" applyFont="1" applyAlignment="1" applyProtection="1">
      <alignment horizontal="left" indent="1"/>
      <protection locked="0"/>
    </xf>
    <xf numFmtId="37" fontId="2" fillId="0" borderId="0" xfId="0" applyFont="1" applyFill="1" applyAlignment="1">
      <alignment horizontal="center"/>
    </xf>
    <xf numFmtId="166" fontId="2" fillId="0" borderId="0" xfId="1" quotePrefix="1" applyNumberFormat="1" applyFont="1" applyFill="1" applyProtection="1">
      <protection locked="0"/>
    </xf>
    <xf numFmtId="37" fontId="2" fillId="0" borderId="0" xfId="0" applyNumberFormat="1" applyFont="1" applyFill="1" applyAlignment="1" applyProtection="1">
      <alignment horizontal="center"/>
    </xf>
    <xf numFmtId="169" fontId="9" fillId="0" borderId="0" xfId="0" applyNumberFormat="1" applyFont="1" applyProtection="1"/>
    <xf numFmtId="37" fontId="9" fillId="0" borderId="0" xfId="0" applyNumberFormat="1" applyFont="1" applyProtection="1">
      <protection locked="0"/>
    </xf>
    <xf numFmtId="37" fontId="2" fillId="0" borderId="0" xfId="0" applyFont="1" applyFill="1" applyAlignment="1" applyProtection="1">
      <alignment horizontal="left" indent="1"/>
      <protection locked="0"/>
    </xf>
    <xf numFmtId="10" fontId="9" fillId="0" borderId="0" xfId="0" applyNumberFormat="1" applyFont="1" applyProtection="1"/>
    <xf numFmtId="37" fontId="2" fillId="0" borderId="1" xfId="0" applyNumberFormat="1" applyFont="1" applyBorder="1" applyProtection="1"/>
    <xf numFmtId="37" fontId="2" fillId="0" borderId="1" xfId="0" applyNumberFormat="1" applyFont="1" applyBorder="1" applyProtection="1">
      <protection locked="0"/>
    </xf>
    <xf numFmtId="37" fontId="2" fillId="0" borderId="2" xfId="0" applyNumberFormat="1" applyFont="1" applyBorder="1" applyProtection="1">
      <protection locked="0"/>
    </xf>
    <xf numFmtId="37" fontId="2" fillId="0" borderId="2" xfId="0" applyNumberFormat="1" applyFont="1" applyBorder="1" applyProtection="1"/>
    <xf numFmtId="37" fontId="2" fillId="0" borderId="0" xfId="0" applyNumberFormat="1" applyFont="1"/>
    <xf numFmtId="169" fontId="2" fillId="0" borderId="0" xfId="0" applyNumberFormat="1" applyFont="1" applyProtection="1"/>
    <xf numFmtId="37" fontId="2" fillId="0" borderId="0" xfId="0" applyNumberFormat="1" applyFont="1" applyAlignment="1" applyProtection="1">
      <alignment horizontal="center"/>
    </xf>
    <xf numFmtId="37" fontId="2" fillId="0" borderId="0" xfId="0" quotePrefix="1" applyNumberFormat="1" applyFont="1" applyProtection="1"/>
    <xf numFmtId="37" fontId="5" fillId="0" borderId="0" xfId="0" applyFont="1" applyAlignment="1">
      <alignment horizontal="right"/>
    </xf>
    <xf numFmtId="37" fontId="5" fillId="0" borderId="0" xfId="0" quotePrefix="1" applyNumberFormat="1" applyFont="1" applyProtection="1"/>
    <xf numFmtId="37" fontId="10" fillId="0" borderId="0" xfId="0" quotePrefix="1" applyFont="1"/>
    <xf numFmtId="37" fontId="11" fillId="0" borderId="0" xfId="0" quotePrefix="1" applyFont="1"/>
    <xf numFmtId="37" fontId="2" fillId="0" borderId="0" xfId="0" applyFont="1" applyBorder="1"/>
    <xf numFmtId="37" fontId="5" fillId="0" borderId="0" xfId="0" applyNumberFormat="1" applyFont="1" applyBorder="1" applyProtection="1"/>
    <xf numFmtId="37" fontId="12" fillId="0" borderId="0" xfId="0" applyFont="1"/>
    <xf numFmtId="37" fontId="12" fillId="0" borderId="0" xfId="0" applyFont="1" applyAlignment="1" applyProtection="1">
      <alignment horizontal="centerContinuous"/>
      <protection locked="0"/>
    </xf>
    <xf numFmtId="37" fontId="12" fillId="0" borderId="0" xfId="0" applyFont="1" applyAlignment="1">
      <alignment horizontal="centerContinuous"/>
    </xf>
    <xf numFmtId="37" fontId="12" fillId="0" borderId="0" xfId="0" applyFont="1" applyAlignment="1" applyProtection="1">
      <alignment horizontal="left"/>
    </xf>
    <xf numFmtId="37" fontId="12" fillId="0" borderId="0" xfId="0" applyFont="1" applyAlignment="1">
      <alignment horizontal="right"/>
    </xf>
    <xf numFmtId="37" fontId="12" fillId="0" borderId="0" xfId="0" applyFont="1" applyBorder="1" applyAlignment="1" applyProtection="1">
      <alignment horizontal="right"/>
      <protection locked="0"/>
    </xf>
    <xf numFmtId="37" fontId="12" fillId="0" borderId="1" xfId="0" applyFont="1" applyBorder="1" applyAlignment="1" applyProtection="1">
      <alignment horizontal="left"/>
    </xf>
    <xf numFmtId="37" fontId="12" fillId="0" borderId="1" xfId="0" applyFont="1" applyBorder="1"/>
    <xf numFmtId="37" fontId="12" fillId="0" borderId="2" xfId="0" applyFont="1" applyBorder="1" applyAlignment="1">
      <alignment horizontal="right"/>
    </xf>
    <xf numFmtId="37" fontId="12" fillId="0" borderId="0" xfId="0" applyFont="1" applyAlignment="1" applyProtection="1">
      <alignment horizontal="center"/>
      <protection locked="0"/>
    </xf>
    <xf numFmtId="37" fontId="12" fillId="0" borderId="0" xfId="0" applyFont="1" applyAlignment="1" applyProtection="1">
      <alignment horizontal="left"/>
      <protection locked="0"/>
    </xf>
    <xf numFmtId="37" fontId="12" fillId="0" borderId="1" xfId="0" applyFont="1" applyBorder="1" applyAlignment="1" applyProtection="1">
      <alignment horizontal="left"/>
      <protection locked="0"/>
    </xf>
    <xf numFmtId="37" fontId="12" fillId="0" borderId="1" xfId="0" applyFont="1" applyBorder="1" applyAlignment="1" applyProtection="1">
      <alignment horizontal="center"/>
      <protection locked="0"/>
    </xf>
    <xf numFmtId="37" fontId="12" fillId="0" borderId="0" xfId="0" applyFont="1" applyProtection="1">
      <protection locked="0"/>
    </xf>
    <xf numFmtId="37" fontId="13" fillId="0" borderId="0" xfId="0" applyFont="1" applyAlignment="1" applyProtection="1">
      <alignment horizontal="left"/>
      <protection locked="0"/>
    </xf>
    <xf numFmtId="37" fontId="12" fillId="0" borderId="0" xfId="0" applyFont="1" applyFill="1"/>
    <xf numFmtId="170" fontId="12" fillId="0" borderId="0" xfId="0" applyNumberFormat="1" applyFont="1" applyAlignment="1" applyProtection="1">
      <alignment horizontal="center"/>
      <protection locked="0"/>
    </xf>
    <xf numFmtId="37" fontId="12" fillId="0" borderId="0" xfId="0" applyFont="1" applyAlignment="1" applyProtection="1">
      <alignment horizontal="left" indent="2"/>
      <protection locked="0"/>
    </xf>
    <xf numFmtId="164" fontId="12" fillId="0" borderId="0" xfId="2" applyNumberFormat="1" applyFont="1" applyFill="1" applyProtection="1"/>
    <xf numFmtId="10" fontId="12" fillId="0" borderId="0" xfId="3" applyNumberFormat="1" applyFont="1"/>
    <xf numFmtId="170" fontId="12" fillId="0" borderId="0" xfId="0" applyNumberFormat="1" applyFont="1" applyFill="1" applyAlignment="1" applyProtection="1">
      <alignment horizontal="center"/>
      <protection locked="0"/>
    </xf>
    <xf numFmtId="37" fontId="12" fillId="0" borderId="0" xfId="0" applyFont="1" applyFill="1" applyAlignment="1" applyProtection="1">
      <alignment horizontal="left" indent="2"/>
      <protection locked="0"/>
    </xf>
    <xf numFmtId="166" fontId="12" fillId="0" borderId="0" xfId="1" applyNumberFormat="1" applyFont="1" applyFill="1" applyProtection="1"/>
    <xf numFmtId="166" fontId="12" fillId="0" borderId="2" xfId="1" applyNumberFormat="1" applyFont="1" applyFill="1" applyBorder="1" applyProtection="1"/>
    <xf numFmtId="37" fontId="12" fillId="0" borderId="0" xfId="0" applyFont="1" applyAlignment="1">
      <alignment horizontal="center"/>
    </xf>
    <xf numFmtId="166" fontId="12" fillId="0" borderId="0" xfId="1" applyNumberFormat="1" applyFont="1" applyFill="1" applyProtection="1">
      <protection locked="0"/>
    </xf>
    <xf numFmtId="170" fontId="12" fillId="0" borderId="0" xfId="0" applyNumberFormat="1" applyFont="1" applyBorder="1" applyAlignment="1" applyProtection="1">
      <alignment horizontal="center"/>
      <protection locked="0"/>
    </xf>
    <xf numFmtId="37" fontId="12" fillId="0" borderId="0" xfId="0" applyFont="1" applyBorder="1" applyAlignment="1" applyProtection="1">
      <alignment horizontal="left" indent="2"/>
      <protection locked="0"/>
    </xf>
    <xf numFmtId="37" fontId="14" fillId="0" borderId="0" xfId="0" applyFont="1"/>
    <xf numFmtId="164" fontId="12" fillId="0" borderId="4" xfId="2" applyNumberFormat="1" applyFont="1" applyFill="1" applyBorder="1" applyProtection="1"/>
    <xf numFmtId="37" fontId="14" fillId="0" borderId="0" xfId="0" applyFont="1" applyFill="1"/>
    <xf numFmtId="37" fontId="15" fillId="0" borderId="0" xfId="0" applyNumberFormat="1" applyFont="1" applyFill="1" applyProtection="1"/>
    <xf numFmtId="37" fontId="13" fillId="0" borderId="0" xfId="0" applyFont="1" applyAlignment="1" applyProtection="1">
      <alignment horizontal="left" indent="1"/>
      <protection locked="0"/>
    </xf>
    <xf numFmtId="166" fontId="12" fillId="0" borderId="0" xfId="1" applyNumberFormat="1" applyFont="1" applyFill="1"/>
    <xf numFmtId="170" fontId="12" fillId="0" borderId="0" xfId="0" applyNumberFormat="1" applyFont="1" applyAlignment="1" applyProtection="1">
      <alignment horizontal="center"/>
    </xf>
    <xf numFmtId="166" fontId="12" fillId="0" borderId="0" xfId="1" applyNumberFormat="1" applyFont="1" applyFill="1" applyBorder="1" applyProtection="1"/>
    <xf numFmtId="37" fontId="12" fillId="0" borderId="0" xfId="0" applyFont="1" applyAlignment="1" applyProtection="1">
      <alignment horizontal="left" indent="1"/>
      <protection locked="0"/>
    </xf>
    <xf numFmtId="164" fontId="12" fillId="0" borderId="2" xfId="2" applyNumberFormat="1" applyFont="1" applyFill="1" applyBorder="1" applyProtection="1"/>
    <xf numFmtId="164" fontId="12" fillId="0" borderId="0" xfId="2" applyNumberFormat="1" applyFont="1" applyFill="1" applyBorder="1" applyProtection="1"/>
    <xf numFmtId="170" fontId="12" fillId="0" borderId="0" xfId="0" applyNumberFormat="1" applyFont="1" applyAlignment="1">
      <alignment horizontal="center"/>
    </xf>
    <xf numFmtId="37" fontId="12" fillId="0" borderId="0" xfId="0" applyFont="1" applyAlignment="1" applyProtection="1">
      <alignment horizontal="left" indent="2"/>
    </xf>
    <xf numFmtId="37" fontId="12" fillId="0" borderId="0" xfId="0" quotePrefix="1" applyFont="1" applyAlignment="1">
      <alignment horizontal="center"/>
    </xf>
    <xf numFmtId="37" fontId="16" fillId="0" borderId="0" xfId="0" applyFont="1"/>
    <xf numFmtId="0" fontId="2" fillId="0" borderId="0" xfId="0" applyNumberFormat="1" applyFont="1" applyAlignment="1">
      <alignment horizontal="center"/>
    </xf>
    <xf numFmtId="37" fontId="0" fillId="0" borderId="0" xfId="0" applyFont="1"/>
    <xf numFmtId="37" fontId="13" fillId="0" borderId="0" xfId="0" applyFont="1" applyBorder="1" applyAlignment="1" applyProtection="1">
      <alignment horizontal="left" indent="1"/>
      <protection locked="0"/>
    </xf>
    <xf numFmtId="37" fontId="12" fillId="0" borderId="0" xfId="0" applyNumberFormat="1" applyFont="1" applyFill="1" applyProtection="1"/>
    <xf numFmtId="169" fontId="12" fillId="0" borderId="0" xfId="3" applyNumberFormat="1" applyFont="1"/>
    <xf numFmtId="171" fontId="12" fillId="0" borderId="0" xfId="0" applyNumberFormat="1" applyFont="1" applyAlignment="1" applyProtection="1">
      <alignment horizontal="center"/>
      <protection locked="0"/>
    </xf>
    <xf numFmtId="164" fontId="12" fillId="0" borderId="0" xfId="2" applyNumberFormat="1" applyFont="1" applyFill="1" applyProtection="1">
      <protection locked="0"/>
    </xf>
    <xf numFmtId="164" fontId="15" fillId="0" borderId="0" xfId="2" applyNumberFormat="1" applyFont="1" applyFill="1" applyProtection="1"/>
    <xf numFmtId="37" fontId="12" fillId="0" borderId="0" xfId="0" applyFont="1" applyAlignment="1" applyProtection="1">
      <protection locked="0"/>
    </xf>
    <xf numFmtId="37" fontId="12" fillId="0" borderId="0" xfId="0" applyFont="1" applyAlignment="1"/>
    <xf numFmtId="164" fontId="12" fillId="0" borderId="5" xfId="2" applyNumberFormat="1" applyFont="1" applyFill="1" applyBorder="1" applyProtection="1"/>
    <xf numFmtId="37" fontId="12" fillId="0" borderId="0" xfId="0" applyFont="1" applyAlignment="1" applyProtection="1"/>
    <xf numFmtId="37" fontId="2" fillId="0" borderId="0" xfId="0" applyFont="1" applyFill="1" applyBorder="1"/>
    <xf numFmtId="37" fontId="0" fillId="0" borderId="0" xfId="0" applyFill="1"/>
    <xf numFmtId="37" fontId="17" fillId="0" borderId="0" xfId="0" applyFont="1" applyFill="1" applyAlignment="1">
      <alignment horizontal="left"/>
    </xf>
    <xf numFmtId="37" fontId="2" fillId="0" borderId="0" xfId="0" applyFont="1" applyFill="1" applyAlignment="1" applyProtection="1">
      <alignment horizontal="left"/>
    </xf>
    <xf numFmtId="37" fontId="2" fillId="0" borderId="0" xfId="0" applyFont="1" applyFill="1" applyAlignment="1">
      <alignment horizontal="right"/>
    </xf>
    <xf numFmtId="37" fontId="9" fillId="0" borderId="0" xfId="0" applyFont="1" applyFill="1"/>
    <xf numFmtId="37" fontId="2" fillId="0" borderId="0" xfId="0" applyFont="1" applyFill="1" applyAlignment="1" applyProtection="1">
      <alignment horizontal="right"/>
      <protection locked="0"/>
    </xf>
    <xf numFmtId="37" fontId="2" fillId="0" borderId="2" xfId="0" applyFont="1" applyFill="1" applyBorder="1" applyAlignment="1" applyProtection="1">
      <alignment horizontal="left"/>
    </xf>
    <xf numFmtId="37" fontId="2" fillId="0" borderId="2" xfId="0" applyFont="1" applyFill="1" applyBorder="1"/>
    <xf numFmtId="37" fontId="2" fillId="0" borderId="1" xfId="0" applyFont="1" applyFill="1" applyBorder="1"/>
    <xf numFmtId="37" fontId="2" fillId="0" borderId="1" xfId="0" applyFont="1" applyFill="1" applyBorder="1" applyAlignment="1" applyProtection="1">
      <alignment horizontal="right"/>
      <protection locked="0"/>
    </xf>
    <xf numFmtId="37" fontId="2" fillId="0" borderId="6" xfId="0" applyFont="1" applyFill="1" applyBorder="1" applyAlignment="1">
      <alignment horizontal="center"/>
    </xf>
    <xf numFmtId="37" fontId="2" fillId="0" borderId="4" xfId="0" applyFont="1" applyFill="1" applyBorder="1" applyAlignment="1">
      <alignment horizontal="center"/>
    </xf>
    <xf numFmtId="37" fontId="2" fillId="0" borderId="4" xfId="0" applyFont="1" applyFill="1" applyBorder="1" applyAlignment="1" applyProtection="1">
      <alignment horizontal="center"/>
      <protection locked="0"/>
    </xf>
    <xf numFmtId="37" fontId="9" fillId="0" borderId="0" xfId="0" applyFont="1" applyFill="1" applyAlignment="1">
      <alignment horizontal="center"/>
    </xf>
    <xf numFmtId="37" fontId="2" fillId="0" borderId="7" xfId="0" applyFont="1" applyFill="1" applyBorder="1" applyAlignment="1">
      <alignment horizontal="center"/>
    </xf>
    <xf numFmtId="37" fontId="2" fillId="0" borderId="2" xfId="0" applyFont="1" applyFill="1" applyBorder="1" applyAlignment="1">
      <alignment horizontal="center"/>
    </xf>
    <xf numFmtId="37" fontId="2" fillId="0" borderId="2" xfId="0" applyFont="1" applyFill="1" applyBorder="1" applyAlignment="1" applyProtection="1">
      <alignment horizontal="center"/>
      <protection locked="0"/>
    </xf>
    <xf numFmtId="172" fontId="0" fillId="0" borderId="2" xfId="0" applyNumberFormat="1" applyFill="1" applyBorder="1" applyAlignment="1">
      <alignment horizontal="center"/>
    </xf>
    <xf numFmtId="37" fontId="2" fillId="0" borderId="8" xfId="0" applyFont="1" applyFill="1" applyBorder="1" applyAlignment="1">
      <alignment horizontal="center"/>
    </xf>
    <xf numFmtId="37" fontId="2" fillId="0" borderId="0" xfId="0" applyFont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37" fontId="0" fillId="0" borderId="0" xfId="0" applyFont="1" applyFill="1"/>
    <xf numFmtId="37" fontId="18" fillId="0" borderId="0" xfId="0" applyFont="1"/>
    <xf numFmtId="37" fontId="12" fillId="0" borderId="0" xfId="0" applyFont="1" applyFill="1" applyAlignment="1">
      <alignment horizontal="right"/>
    </xf>
    <xf numFmtId="37" fontId="18" fillId="0" borderId="0" xfId="0" applyFont="1" applyFill="1"/>
    <xf numFmtId="170" fontId="2" fillId="0" borderId="0" xfId="0" applyNumberFormat="1" applyFont="1" applyFill="1" applyAlignment="1">
      <alignment horizontal="left"/>
    </xf>
    <xf numFmtId="37" fontId="19" fillId="0" borderId="0" xfId="0" applyFont="1" applyFill="1"/>
    <xf numFmtId="37" fontId="19" fillId="0" borderId="0" xfId="0" applyFont="1"/>
    <xf numFmtId="37" fontId="17" fillId="0" borderId="0" xfId="0" applyFont="1"/>
    <xf numFmtId="37" fontId="20" fillId="0" borderId="0" xfId="0" applyFont="1"/>
    <xf numFmtId="170" fontId="17" fillId="0" borderId="0" xfId="0" applyNumberFormat="1" applyFont="1" applyAlignment="1" applyProtection="1">
      <alignment horizontal="left"/>
      <protection locked="0"/>
    </xf>
    <xf numFmtId="0" fontId="17" fillId="0" borderId="0" xfId="0" applyNumberFormat="1" applyFont="1" applyAlignment="1">
      <alignment horizontal="center"/>
    </xf>
    <xf numFmtId="170" fontId="2" fillId="0" borderId="0" xfId="0" applyNumberFormat="1" applyFont="1" applyAlignment="1" applyProtection="1">
      <alignment horizontal="left"/>
      <protection locked="0"/>
    </xf>
    <xf numFmtId="37" fontId="12" fillId="0" borderId="0" xfId="0" applyNumberFormat="1" applyFont="1" applyFill="1" applyBorder="1" applyProtection="1">
      <protection locked="0"/>
    </xf>
    <xf numFmtId="37" fontId="2" fillId="0" borderId="0" xfId="0" quotePrefix="1" applyFont="1" applyFill="1"/>
    <xf numFmtId="37" fontId="16" fillId="0" borderId="0" xfId="0" applyNumberFormat="1" applyFont="1" applyFill="1" applyBorder="1" applyProtection="1">
      <protection locked="0"/>
    </xf>
    <xf numFmtId="43" fontId="21" fillId="0" borderId="0" xfId="1" applyFont="1"/>
    <xf numFmtId="43" fontId="21" fillId="0" borderId="0" xfId="1" applyFont="1" applyFill="1"/>
    <xf numFmtId="5" fontId="2" fillId="0" borderId="3" xfId="0" applyNumberFormat="1" applyFont="1" applyBorder="1"/>
    <xf numFmtId="166" fontId="2" fillId="0" borderId="3" xfId="0" applyNumberFormat="1" applyFont="1" applyBorder="1"/>
    <xf numFmtId="5" fontId="2" fillId="0" borderId="0" xfId="0" applyNumberFormat="1" applyFont="1" applyBorder="1"/>
    <xf numFmtId="37" fontId="2" fillId="2" borderId="0" xfId="0" applyFont="1" applyFill="1"/>
    <xf numFmtId="10" fontId="2" fillId="0" borderId="0" xfId="3" applyNumberFormat="1" applyFont="1"/>
    <xf numFmtId="37" fontId="2" fillId="3" borderId="0" xfId="0" applyFont="1" applyFill="1"/>
    <xf numFmtId="37" fontId="0" fillId="3" borderId="0" xfId="0" applyFill="1"/>
    <xf numFmtId="37" fontId="9" fillId="0" borderId="0" xfId="0" applyFont="1" applyBorder="1"/>
    <xf numFmtId="39" fontId="0" fillId="0" borderId="0" xfId="0" applyNumberFormat="1"/>
    <xf numFmtId="37" fontId="2" fillId="0" borderId="0" xfId="0" applyFont="1" applyFill="1" applyAlignment="1">
      <alignment horizontal="centerContinuous"/>
    </xf>
    <xf numFmtId="37" fontId="4" fillId="0" borderId="0" xfId="0" applyFont="1" applyFill="1" applyAlignment="1">
      <alignment horizontal="centerContinuous"/>
    </xf>
    <xf numFmtId="37" fontId="22" fillId="0" borderId="0" xfId="0" applyFont="1" applyFill="1"/>
    <xf numFmtId="37" fontId="9" fillId="0" borderId="0" xfId="0" applyFont="1" applyFill="1" applyAlignment="1">
      <alignment horizontal="left"/>
    </xf>
    <xf numFmtId="37" fontId="2" fillId="0" borderId="1" xfId="0" applyFont="1" applyFill="1" applyBorder="1" applyAlignment="1" applyProtection="1">
      <alignment horizontal="left"/>
    </xf>
    <xf numFmtId="37" fontId="2" fillId="0" borderId="0" xfId="0" applyFont="1" applyFill="1" applyAlignment="1" applyProtection="1">
      <alignment horizontal="center"/>
      <protection locked="0"/>
    </xf>
    <xf numFmtId="37" fontId="2" fillId="4" borderId="0" xfId="0" applyFont="1" applyFill="1" applyAlignment="1" applyProtection="1">
      <alignment horizontal="center"/>
      <protection locked="0"/>
    </xf>
    <xf numFmtId="37" fontId="2" fillId="0" borderId="9" xfId="0" applyFont="1" applyFill="1" applyBorder="1" applyAlignment="1" applyProtection="1">
      <alignment horizontal="center"/>
      <protection locked="0"/>
    </xf>
    <xf numFmtId="17" fontId="2" fillId="0" borderId="8" xfId="0" applyNumberFormat="1" applyFont="1" applyFill="1" applyBorder="1" applyAlignment="1">
      <alignment horizontal="center"/>
    </xf>
    <xf numFmtId="17" fontId="2" fillId="4" borderId="8" xfId="0" applyNumberFormat="1" applyFont="1" applyFill="1" applyBorder="1" applyAlignment="1">
      <alignment horizontal="center"/>
    </xf>
    <xf numFmtId="37" fontId="2" fillId="4" borderId="0" xfId="0" applyFont="1" applyFill="1" applyAlignment="1" applyProtection="1">
      <alignment horizontal="center"/>
    </xf>
    <xf numFmtId="37" fontId="12" fillId="4" borderId="0" xfId="0" applyFont="1" applyFill="1" applyAlignment="1">
      <alignment horizontal="right"/>
    </xf>
    <xf numFmtId="0" fontId="21" fillId="0" borderId="0" xfId="4" applyFont="1" applyFill="1"/>
    <xf numFmtId="5" fontId="2" fillId="0" borderId="3" xfId="0" applyNumberFormat="1" applyFont="1" applyFill="1" applyBorder="1"/>
    <xf numFmtId="166" fontId="2" fillId="0" borderId="0" xfId="1" applyNumberFormat="1" applyFont="1" applyFill="1" applyAlignment="1">
      <alignment horizontal="center"/>
    </xf>
    <xf numFmtId="37" fontId="2" fillId="0" borderId="0" xfId="0" applyFont="1" applyFill="1" applyAlignment="1">
      <alignment horizontal="left" indent="1"/>
    </xf>
    <xf numFmtId="10" fontId="2" fillId="0" borderId="2" xfId="3" applyNumberFormat="1" applyFont="1" applyFill="1" applyBorder="1"/>
    <xf numFmtId="37" fontId="9" fillId="0" borderId="0" xfId="0" applyFont="1" applyFill="1" applyBorder="1"/>
    <xf numFmtId="37" fontId="2" fillId="0" borderId="0" xfId="0" applyFont="1" applyFill="1" applyBorder="1" applyAlignment="1">
      <alignment horizontal="right"/>
    </xf>
    <xf numFmtId="43" fontId="2" fillId="0" borderId="0" xfId="1" applyFont="1" applyFill="1"/>
    <xf numFmtId="37" fontId="0" fillId="0" borderId="0" xfId="0" applyFont="1" applyFill="1" applyAlignment="1">
      <alignment horizontal="center"/>
    </xf>
    <xf numFmtId="10" fontId="2" fillId="0" borderId="0" xfId="3" applyNumberFormat="1" applyFont="1" applyFill="1"/>
    <xf numFmtId="37" fontId="2" fillId="0" borderId="0" xfId="0" applyFont="1" applyFill="1" applyBorder="1" applyAlignment="1">
      <alignment horizontal="center"/>
    </xf>
    <xf numFmtId="5" fontId="2" fillId="0" borderId="0" xfId="0" applyNumberFormat="1" applyFont="1" applyFill="1" applyBorder="1"/>
    <xf numFmtId="0" fontId="2" fillId="0" borderId="0" xfId="0" applyNumberFormat="1" applyFont="1" applyFill="1" applyAlignment="1">
      <alignment horizontal="left"/>
    </xf>
    <xf numFmtId="166" fontId="2" fillId="0" borderId="0" xfId="1" applyNumberFormat="1" applyFont="1" applyFill="1" applyAlignment="1">
      <alignment horizontal="left"/>
    </xf>
    <xf numFmtId="5" fontId="23" fillId="0" borderId="0" xfId="1" applyNumberFormat="1" applyFont="1" applyFill="1" applyBorder="1"/>
    <xf numFmtId="170" fontId="2" fillId="0" borderId="0" xfId="0" applyNumberFormat="1" applyFont="1" applyFill="1" applyAlignment="1" applyProtection="1">
      <alignment horizontal="left"/>
      <protection locked="0"/>
    </xf>
    <xf numFmtId="37" fontId="0" fillId="0" borderId="0" xfId="0" quotePrefix="1" applyFont="1" applyFill="1"/>
    <xf numFmtId="0" fontId="2" fillId="0" borderId="0" xfId="0" quotePrefix="1" applyNumberFormat="1" applyFont="1" applyFill="1" applyAlignment="1">
      <alignment horizontal="center"/>
    </xf>
    <xf numFmtId="169" fontId="23" fillId="0" borderId="0" xfId="3" applyNumberFormat="1" applyFont="1" applyFill="1"/>
    <xf numFmtId="37" fontId="2" fillId="0" borderId="0" xfId="0" applyFont="1" applyAlignment="1">
      <alignment horizontal="centerContinuous"/>
    </xf>
    <xf numFmtId="37" fontId="2" fillId="0" borderId="0" xfId="0" applyFont="1" applyAlignment="1"/>
    <xf numFmtId="37" fontId="2" fillId="0" borderId="0" xfId="0" applyFont="1" applyAlignment="1" applyProtection="1"/>
    <xf numFmtId="37" fontId="2" fillId="0" borderId="0" xfId="0" applyFont="1" applyBorder="1" applyAlignment="1" applyProtection="1"/>
    <xf numFmtId="37" fontId="2" fillId="0" borderId="0" xfId="0" applyFont="1" applyBorder="1" applyAlignment="1"/>
    <xf numFmtId="37" fontId="2" fillId="0" borderId="1" xfId="0" applyFont="1" applyBorder="1" applyAlignment="1"/>
    <xf numFmtId="37" fontId="2" fillId="0" borderId="2" xfId="0" applyFont="1" applyBorder="1" applyAlignment="1"/>
    <xf numFmtId="37" fontId="2" fillId="0" borderId="0" xfId="0" applyFont="1" applyBorder="1" applyAlignment="1" applyProtection="1">
      <alignment horizontal="center"/>
    </xf>
    <xf numFmtId="37" fontId="2" fillId="0" borderId="1" xfId="0" applyFont="1" applyBorder="1" applyAlignment="1" applyProtection="1"/>
    <xf numFmtId="164" fontId="2" fillId="0" borderId="0" xfId="2" applyNumberFormat="1" applyFont="1" applyAlignment="1" applyProtection="1">
      <alignment horizontal="right"/>
    </xf>
    <xf numFmtId="37" fontId="2" fillId="0" borderId="0" xfId="0" applyNumberFormat="1" applyFont="1" applyAlignment="1" applyProtection="1">
      <alignment horizontal="right"/>
    </xf>
    <xf numFmtId="37" fontId="2" fillId="0" borderId="2" xfId="0" applyNumberFormat="1" applyFont="1" applyBorder="1" applyAlignment="1" applyProtection="1">
      <alignment horizontal="right"/>
    </xf>
    <xf numFmtId="169" fontId="2" fillId="0" borderId="2" xfId="3" applyNumberFormat="1" applyFont="1" applyBorder="1" applyAlignment="1" applyProtection="1">
      <alignment horizontal="right"/>
    </xf>
    <xf numFmtId="37" fontId="20" fillId="0" borderId="0" xfId="0" applyFont="1" applyAlignment="1">
      <alignment horizontal="left" indent="1"/>
    </xf>
    <xf numFmtId="164" fontId="2" fillId="0" borderId="5" xfId="2" applyNumberFormat="1" applyFont="1" applyBorder="1" applyAlignment="1" applyProtection="1">
      <alignment horizontal="right"/>
    </xf>
    <xf numFmtId="164" fontId="20" fillId="0" borderId="5" xfId="2" applyNumberFormat="1" applyFont="1" applyBorder="1" applyAlignment="1" applyProtection="1">
      <alignment horizontal="right"/>
    </xf>
    <xf numFmtId="37" fontId="2" fillId="0" borderId="0" xfId="0" applyNumberFormat="1" applyFont="1" applyBorder="1" applyAlignment="1" applyProtection="1">
      <alignment horizontal="right"/>
    </xf>
    <xf numFmtId="37" fontId="20" fillId="0" borderId="0" xfId="0" applyNumberFormat="1" applyFont="1" applyBorder="1" applyAlignment="1" applyProtection="1">
      <alignment horizontal="right"/>
    </xf>
    <xf numFmtId="37" fontId="13" fillId="0" borderId="0" xfId="0" applyFont="1" applyAlignment="1"/>
    <xf numFmtId="37" fontId="2" fillId="0" borderId="0" xfId="0" applyFont="1" applyAlignment="1">
      <alignment horizontal="left" indent="2"/>
    </xf>
    <xf numFmtId="164" fontId="2" fillId="0" borderId="0" xfId="2" applyNumberFormat="1" applyFont="1" applyFill="1" applyAlignment="1">
      <alignment horizontal="right"/>
    </xf>
    <xf numFmtId="37" fontId="2" fillId="0" borderId="0" xfId="0" applyNumberFormat="1" applyFont="1" applyAlignment="1">
      <alignment horizontal="right"/>
    </xf>
    <xf numFmtId="164" fontId="2" fillId="0" borderId="0" xfId="2" applyNumberFormat="1" applyFont="1" applyAlignment="1">
      <alignment horizontal="right"/>
    </xf>
    <xf numFmtId="10" fontId="2" fillId="0" borderId="2" xfId="3" applyNumberFormat="1" applyFont="1" applyBorder="1"/>
    <xf numFmtId="37" fontId="9" fillId="0" borderId="0" xfId="0" applyFont="1" applyAlignment="1"/>
    <xf numFmtId="37" fontId="2" fillId="0" borderId="0" xfId="0" applyFont="1" applyAlignment="1">
      <alignment horizontal="left" indent="3"/>
    </xf>
    <xf numFmtId="164" fontId="2" fillId="0" borderId="5" xfId="2" applyNumberFormat="1" applyFont="1" applyBorder="1"/>
    <xf numFmtId="37" fontId="13" fillId="0" borderId="0" xfId="0" applyFont="1" applyFill="1"/>
    <xf numFmtId="39" fontId="9" fillId="0" borderId="0" xfId="0" applyNumberFormat="1" applyFont="1"/>
    <xf numFmtId="37" fontId="2" fillId="0" borderId="0" xfId="0" applyFont="1" applyFill="1" applyAlignment="1">
      <alignment horizontal="left" indent="2"/>
    </xf>
    <xf numFmtId="37" fontId="2" fillId="0" borderId="0" xfId="0" applyFont="1" applyFill="1" applyAlignment="1"/>
    <xf numFmtId="10" fontId="2" fillId="0" borderId="0" xfId="3" applyNumberFormat="1" applyFont="1" applyFill="1" applyAlignment="1"/>
    <xf numFmtId="10" fontId="2" fillId="0" borderId="0" xfId="3" applyNumberFormat="1" applyFont="1" applyAlignment="1"/>
    <xf numFmtId="173" fontId="2" fillId="0" borderId="0" xfId="0" applyNumberFormat="1" applyFont="1" applyAlignment="1"/>
    <xf numFmtId="166" fontId="12" fillId="5" borderId="0" xfId="1" applyNumberFormat="1" applyFont="1" applyFill="1"/>
    <xf numFmtId="37" fontId="12" fillId="5" borderId="0" xfId="0" applyFont="1" applyFill="1"/>
    <xf numFmtId="37" fontId="12" fillId="5" borderId="0" xfId="0" applyFont="1" applyFill="1" applyAlignment="1">
      <alignment horizontal="right"/>
    </xf>
    <xf numFmtId="166" fontId="2" fillId="5" borderId="0" xfId="0" applyNumberFormat="1" applyFont="1" applyFill="1"/>
    <xf numFmtId="43" fontId="21" fillId="5" borderId="0" xfId="1" applyFont="1" applyFill="1"/>
    <xf numFmtId="37" fontId="2" fillId="0" borderId="0" xfId="0" applyFont="1" applyFill="1" applyAlignment="1">
      <alignment horizontal="center"/>
    </xf>
    <xf numFmtId="37" fontId="2" fillId="5" borderId="0" xfId="0" applyFont="1" applyFill="1" applyAlignment="1" applyProtection="1">
      <alignment horizontal="center"/>
    </xf>
    <xf numFmtId="37" fontId="0" fillId="5" borderId="0" xfId="0" applyFill="1"/>
    <xf numFmtId="5" fontId="2" fillId="5" borderId="3" xfId="0" applyNumberFormat="1" applyFont="1" applyFill="1" applyBorder="1"/>
    <xf numFmtId="37" fontId="2" fillId="0" borderId="0" xfId="0" applyFont="1" applyFill="1" applyAlignment="1">
      <alignment horizontal="center"/>
    </xf>
    <xf numFmtId="37" fontId="2" fillId="0" borderId="0" xfId="0" applyNumberFormat="1" applyFont="1" applyAlignment="1" applyProtection="1">
      <alignment horizontal="center"/>
      <protection locked="0"/>
    </xf>
    <xf numFmtId="37" fontId="2" fillId="0" borderId="0" xfId="0" applyFont="1" applyAlignment="1">
      <alignment horizontal="center"/>
    </xf>
    <xf numFmtId="37" fontId="12" fillId="0" borderId="0" xfId="0" applyFont="1" applyFill="1" applyAlignment="1" applyProtection="1">
      <alignment horizontal="center"/>
      <protection locked="0"/>
    </xf>
    <xf numFmtId="37" fontId="2" fillId="0" borderId="0" xfId="0" applyFont="1" applyFill="1" applyAlignment="1">
      <alignment horizontal="center"/>
    </xf>
    <xf numFmtId="37" fontId="12" fillId="0" borderId="0" xfId="0" applyFont="1" applyFill="1" applyAlignment="1" applyProtection="1">
      <alignment horizontal="center"/>
    </xf>
  </cellXfs>
  <cellStyles count="116">
    <cellStyle name="Actual Date" xfId="5"/>
    <cellStyle name="Affinity Input" xfId="6"/>
    <cellStyle name="Body" xfId="7"/>
    <cellStyle name="Comma" xfId="1" builtinId="3"/>
    <cellStyle name="Comma [0] 2" xfId="8"/>
    <cellStyle name="Comma 2" xfId="9"/>
    <cellStyle name="Comma 2 2" xfId="10"/>
    <cellStyle name="Comma 3" xfId="11"/>
    <cellStyle name="Comma 3 2" xfId="12"/>
    <cellStyle name="Comma 4" xfId="13"/>
    <cellStyle name="Comma 5" xfId="14"/>
    <cellStyle name="Comma 6" xfId="15"/>
    <cellStyle name="Comma 7" xfId="16"/>
    <cellStyle name="ContentsHyperlink" xfId="17"/>
    <cellStyle name="Currency" xfId="2" builtinId="4"/>
    <cellStyle name="Currency [0] 2" xfId="18"/>
    <cellStyle name="Currency [2]" xfId="19"/>
    <cellStyle name="Currency 2" xfId="20"/>
    <cellStyle name="Currency 3" xfId="21"/>
    <cellStyle name="Currency 4" xfId="22"/>
    <cellStyle name="Currency 5" xfId="23"/>
    <cellStyle name="Currency 6" xfId="24"/>
    <cellStyle name="Currency 7" xfId="25"/>
    <cellStyle name="Currency 8" xfId="26"/>
    <cellStyle name="Custom - Style1" xfId="27"/>
    <cellStyle name="Data   - Style2" xfId="28"/>
    <cellStyle name="Date" xfId="29"/>
    <cellStyle name="Edit" xfId="30"/>
    <cellStyle name="Engine" xfId="31"/>
    <cellStyle name="Fixed" xfId="32"/>
    <cellStyle name="Grey" xfId="33"/>
    <cellStyle name="HEADER" xfId="34"/>
    <cellStyle name="Header1" xfId="35"/>
    <cellStyle name="Header2" xfId="36"/>
    <cellStyle name="heading" xfId="37"/>
    <cellStyle name="Heading1" xfId="38"/>
    <cellStyle name="Heading2" xfId="39"/>
    <cellStyle name="HIGHLIGHT" xfId="40"/>
    <cellStyle name="Input [yellow]" xfId="41"/>
    <cellStyle name="Labels - Style3" xfId="42"/>
    <cellStyle name="Large Page Heading" xfId="43"/>
    <cellStyle name="no dec" xfId="44"/>
    <cellStyle name="No Edit" xfId="45"/>
    <cellStyle name="Normal" xfId="0" builtinId="0"/>
    <cellStyle name="Normal - Style1" xfId="46"/>
    <cellStyle name="Normal - Style1 2" xfId="47"/>
    <cellStyle name="Normal - Style2" xfId="48"/>
    <cellStyle name="Normal - Style3" xfId="49"/>
    <cellStyle name="Normal - Style4" xfId="50"/>
    <cellStyle name="Normal - Style5" xfId="51"/>
    <cellStyle name="Normal - Style6" xfId="52"/>
    <cellStyle name="Normal - Style7" xfId="53"/>
    <cellStyle name="Normal - Style8" xfId="54"/>
    <cellStyle name="Normal 10" xfId="55"/>
    <cellStyle name="Normal 11" xfId="56"/>
    <cellStyle name="Normal 12" xfId="57"/>
    <cellStyle name="Normal 13" xfId="58"/>
    <cellStyle name="Normal 14" xfId="59"/>
    <cellStyle name="Normal 15" xfId="60"/>
    <cellStyle name="Normal 16" xfId="61"/>
    <cellStyle name="Normal 17" xfId="62"/>
    <cellStyle name="Normal 18" xfId="63"/>
    <cellStyle name="Normal 19" xfId="64"/>
    <cellStyle name="Normal 2" xfId="65"/>
    <cellStyle name="Normal 2 2" xfId="66"/>
    <cellStyle name="Normal 2 2 2" xfId="67"/>
    <cellStyle name="Normal 2 3" xfId="68"/>
    <cellStyle name="Normal 20" xfId="69"/>
    <cellStyle name="Normal 21" xfId="70"/>
    <cellStyle name="Normal 22" xfId="71"/>
    <cellStyle name="Normal 23" xfId="72"/>
    <cellStyle name="Normal 24" xfId="73"/>
    <cellStyle name="Normal 25" xfId="74"/>
    <cellStyle name="Normal 3" xfId="75"/>
    <cellStyle name="Normal 3 2" xfId="76"/>
    <cellStyle name="Normal 4" xfId="77"/>
    <cellStyle name="Normal 4 2" xfId="78"/>
    <cellStyle name="Normal 4_4264 Div 9" xfId="79"/>
    <cellStyle name="Normal 5" xfId="80"/>
    <cellStyle name="Normal 5 2" xfId="81"/>
    <cellStyle name="Normal 5_4264 Div 9" xfId="82"/>
    <cellStyle name="Normal 6" xfId="83"/>
    <cellStyle name="Normal 7" xfId="84"/>
    <cellStyle name="Normal 8" xfId="85"/>
    <cellStyle name="Normal 9" xfId="86"/>
    <cellStyle name="Normal_C.2.2 B" xfId="4"/>
    <cellStyle name="nPlosion" xfId="87"/>
    <cellStyle name="Output Amounts" xfId="88"/>
    <cellStyle name="Output Amounts 2" xfId="89"/>
    <cellStyle name="Output Column Headings" xfId="90"/>
    <cellStyle name="Output Column Headings 2" xfId="91"/>
    <cellStyle name="Output Line Items" xfId="92"/>
    <cellStyle name="Output Report Heading" xfId="93"/>
    <cellStyle name="Output Report Heading 2" xfId="94"/>
    <cellStyle name="Output Report Title" xfId="95"/>
    <cellStyle name="Output Report Title 2" xfId="96"/>
    <cellStyle name="Percent" xfId="3" builtinId="5"/>
    <cellStyle name="Percent [2]" xfId="97"/>
    <cellStyle name="Percent 2" xfId="98"/>
    <cellStyle name="Percent 2 2" xfId="99"/>
    <cellStyle name="Percent 3" xfId="100"/>
    <cellStyle name="Percent 4" xfId="101"/>
    <cellStyle name="Percent 5" xfId="102"/>
    <cellStyle name="Percent 7" xfId="103"/>
    <cellStyle name="PSChar" xfId="104"/>
    <cellStyle name="Reset  - Style4" xfId="105"/>
    <cellStyle name="Small Page Heading" xfId="106"/>
    <cellStyle name="Table  - Style5" xfId="107"/>
    <cellStyle name="Title  - Style6" xfId="108"/>
    <cellStyle name="title1" xfId="109"/>
    <cellStyle name="TotCol - Style7" xfId="110"/>
    <cellStyle name="TotRow - Style8" xfId="111"/>
    <cellStyle name="Unprot" xfId="112"/>
    <cellStyle name="Unprot$" xfId="113"/>
    <cellStyle name="Unprotect" xfId="114"/>
    <cellStyle name="一般_dept code" xfId="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abSelected="1" view="pageBreakPreview" zoomScale="80" zoomScaleNormal="90" zoomScaleSheetLayoutView="80" workbookViewId="0">
      <selection sqref="A1:J1"/>
    </sheetView>
  </sheetViews>
  <sheetFormatPr defaultColWidth="10.109375" defaultRowHeight="15"/>
  <cols>
    <col min="1" max="1" width="5.21875" style="1" customWidth="1"/>
    <col min="2" max="2" width="2.21875" style="1" customWidth="1"/>
    <col min="3" max="3" width="26.109375" style="1" customWidth="1"/>
    <col min="4" max="4" width="13.21875" style="1" customWidth="1"/>
    <col min="5" max="5" width="2.33203125" style="1" customWidth="1"/>
    <col min="6" max="6" width="13.21875" style="1" customWidth="1"/>
    <col min="7" max="7" width="2.109375" style="1" customWidth="1"/>
    <col min="8" max="8" width="12.88671875" style="1" customWidth="1"/>
    <col min="9" max="9" width="2.109375" style="1" customWidth="1"/>
    <col min="10" max="10" width="13.88671875" style="1" customWidth="1"/>
    <col min="11" max="11" width="4.88671875" style="1" customWidth="1"/>
    <col min="12" max="12" width="6.5546875" style="1" bestFit="1" customWidth="1"/>
    <col min="13" max="13" width="11.109375" style="1" customWidth="1"/>
    <col min="14" max="14" width="8" style="1" bestFit="1" customWidth="1"/>
    <col min="15" max="15" width="12" style="1" customWidth="1"/>
    <col min="16" max="16" width="10.109375" style="1" customWidth="1"/>
    <col min="17" max="17" width="3.21875" style="1" customWidth="1"/>
    <col min="18" max="18" width="11.88671875" style="1" customWidth="1"/>
    <col min="19" max="19" width="1.33203125" style="1" customWidth="1"/>
    <col min="20" max="20" width="12.33203125" style="1" customWidth="1"/>
    <col min="21" max="21" width="1.6640625" style="1" customWidth="1"/>
    <col min="22" max="22" width="10.5546875" style="1" bestFit="1" customWidth="1"/>
    <col min="23" max="23" width="0.88671875" style="1" customWidth="1"/>
    <col min="24" max="24" width="10.44140625" style="1" bestFit="1" customWidth="1"/>
    <col min="25" max="16384" width="10.109375" style="1"/>
  </cols>
  <sheetData>
    <row r="1" spans="1:24">
      <c r="A1" s="276" t="s">
        <v>360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24">
      <c r="A2" s="276" t="s">
        <v>361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24">
      <c r="A3" s="276" t="s">
        <v>0</v>
      </c>
      <c r="B3" s="276"/>
      <c r="C3" s="276"/>
      <c r="D3" s="276"/>
      <c r="E3" s="276"/>
      <c r="F3" s="276"/>
      <c r="G3" s="276"/>
      <c r="H3" s="276"/>
      <c r="I3" s="276"/>
      <c r="J3" s="276"/>
    </row>
    <row r="4" spans="1:24">
      <c r="A4" s="276" t="s">
        <v>362</v>
      </c>
      <c r="B4" s="276"/>
      <c r="C4" s="276"/>
      <c r="D4" s="276"/>
      <c r="E4" s="276"/>
      <c r="F4" s="276"/>
      <c r="G4" s="276"/>
      <c r="H4" s="276"/>
      <c r="I4" s="276"/>
      <c r="J4" s="276"/>
    </row>
    <row r="5" spans="1:24">
      <c r="A5" s="2"/>
      <c r="B5" s="2"/>
      <c r="C5" s="2"/>
      <c r="D5" s="2"/>
      <c r="E5" s="2"/>
      <c r="F5" s="2"/>
      <c r="G5" s="2"/>
      <c r="H5" s="2"/>
      <c r="I5" s="2"/>
      <c r="J5" s="2"/>
    </row>
    <row r="7" spans="1:24">
      <c r="A7" s="3" t="s">
        <v>1</v>
      </c>
      <c r="I7" s="3"/>
      <c r="J7" s="4" t="s">
        <v>2</v>
      </c>
    </row>
    <row r="8" spans="1:24">
      <c r="A8" s="3" t="s">
        <v>3</v>
      </c>
      <c r="H8" s="3"/>
      <c r="I8" s="3"/>
      <c r="J8" s="5" t="s">
        <v>4</v>
      </c>
    </row>
    <row r="9" spans="1:24">
      <c r="A9" s="6" t="s">
        <v>5</v>
      </c>
      <c r="B9" s="7"/>
      <c r="C9" s="7"/>
      <c r="D9" s="7"/>
      <c r="E9" s="7"/>
      <c r="F9" s="7"/>
      <c r="G9" s="7"/>
      <c r="H9" s="6"/>
      <c r="I9" s="6"/>
      <c r="J9" s="8" t="s">
        <v>6</v>
      </c>
    </row>
    <row r="10" spans="1:24">
      <c r="D10" s="9" t="s">
        <v>7</v>
      </c>
      <c r="F10" s="10" t="s">
        <v>8</v>
      </c>
      <c r="J10" s="10" t="s">
        <v>8</v>
      </c>
      <c r="R10" s="11"/>
      <c r="S10" s="11"/>
      <c r="T10" s="11"/>
      <c r="U10" s="11"/>
      <c r="V10" s="11"/>
      <c r="W10" s="11"/>
      <c r="X10" s="11"/>
    </row>
    <row r="11" spans="1:24">
      <c r="A11" s="10" t="s">
        <v>9</v>
      </c>
      <c r="D11" s="10" t="s">
        <v>10</v>
      </c>
      <c r="F11" s="10" t="s">
        <v>10</v>
      </c>
      <c r="H11" s="10" t="s">
        <v>11</v>
      </c>
      <c r="J11" s="10" t="s">
        <v>10</v>
      </c>
      <c r="R11" s="11"/>
      <c r="S11" s="11"/>
      <c r="T11" s="11"/>
      <c r="U11" s="11"/>
      <c r="V11" s="11"/>
      <c r="W11" s="11"/>
      <c r="X11" s="11"/>
    </row>
    <row r="12" spans="1:24">
      <c r="A12" s="12" t="s">
        <v>12</v>
      </c>
      <c r="B12" s="7"/>
      <c r="C12" s="6" t="s">
        <v>13</v>
      </c>
      <c r="D12" s="12" t="s">
        <v>14</v>
      </c>
      <c r="E12" s="7"/>
      <c r="F12" s="12" t="s">
        <v>14</v>
      </c>
      <c r="G12" s="7"/>
      <c r="H12" s="12" t="s">
        <v>15</v>
      </c>
      <c r="I12" s="7"/>
      <c r="J12" s="12" t="s">
        <v>16</v>
      </c>
      <c r="L12" s="11"/>
      <c r="O12" s="13"/>
      <c r="P12" s="14"/>
      <c r="R12" s="11"/>
      <c r="S12" s="11"/>
      <c r="T12" s="11"/>
      <c r="U12" s="11"/>
      <c r="V12" s="15"/>
      <c r="W12" s="15"/>
      <c r="X12" s="11"/>
    </row>
    <row r="13" spans="1:24">
      <c r="D13" s="10"/>
      <c r="F13" s="10"/>
      <c r="H13" s="10"/>
      <c r="J13" s="10"/>
      <c r="L13" s="11"/>
      <c r="O13" s="14"/>
      <c r="P13" s="14"/>
      <c r="R13" s="16"/>
      <c r="S13" s="11"/>
      <c r="T13" s="11"/>
      <c r="U13" s="11"/>
      <c r="V13" s="16"/>
      <c r="W13" s="16"/>
      <c r="X13" s="11"/>
    </row>
    <row r="14" spans="1:24">
      <c r="F14" s="17"/>
      <c r="L14" s="11"/>
      <c r="O14" s="18"/>
      <c r="P14" s="18"/>
      <c r="R14" s="11"/>
      <c r="S14" s="11"/>
      <c r="T14" s="11"/>
      <c r="U14" s="11"/>
      <c r="V14" s="11"/>
      <c r="W14" s="11"/>
      <c r="X14" s="11"/>
    </row>
    <row r="15" spans="1:24">
      <c r="A15" s="10">
        <v>1</v>
      </c>
      <c r="C15" s="3" t="s">
        <v>17</v>
      </c>
      <c r="D15" s="19">
        <f>+'C.2'!D14</f>
        <v>180854481.05000001</v>
      </c>
      <c r="E15" s="17"/>
      <c r="F15" s="19">
        <f>'C.2'!O14</f>
        <v>169717865.83695579</v>
      </c>
      <c r="G15" s="20"/>
      <c r="H15" s="21">
        <v>15919310</v>
      </c>
      <c r="I15" s="20"/>
      <c r="J15" s="21">
        <f>+F15+H15</f>
        <v>185637175.83695579</v>
      </c>
      <c r="K15" s="20"/>
      <c r="L15" s="22"/>
      <c r="M15" s="21"/>
      <c r="N15" s="20"/>
      <c r="O15" s="23"/>
      <c r="P15" s="24"/>
      <c r="Q15" s="20"/>
      <c r="R15" s="25"/>
      <c r="S15" s="25"/>
      <c r="T15" s="25"/>
      <c r="U15" s="11"/>
      <c r="V15" s="11"/>
      <c r="W15" s="11"/>
      <c r="X15" s="11"/>
    </row>
    <row r="16" spans="1:24">
      <c r="D16" s="17"/>
      <c r="E16" s="17"/>
      <c r="F16" s="26"/>
      <c r="G16" s="20"/>
      <c r="H16" s="20"/>
      <c r="I16" s="20"/>
      <c r="J16" s="20"/>
      <c r="K16" s="20"/>
      <c r="L16" s="27"/>
      <c r="M16" s="20"/>
      <c r="N16" s="20"/>
      <c r="O16" s="28"/>
      <c r="P16" s="24"/>
      <c r="Q16" s="20"/>
      <c r="R16" s="29"/>
      <c r="S16" s="29"/>
      <c r="T16" s="30"/>
      <c r="U16" s="11"/>
      <c r="V16" s="11"/>
      <c r="W16" s="11"/>
      <c r="X16" s="11"/>
    </row>
    <row r="17" spans="1:24">
      <c r="A17" s="10">
        <v>2</v>
      </c>
      <c r="C17" s="3" t="s">
        <v>18</v>
      </c>
      <c r="D17" s="17"/>
      <c r="E17" s="17"/>
      <c r="F17" s="26"/>
      <c r="G17" s="20"/>
      <c r="H17" s="20"/>
      <c r="I17" s="20"/>
      <c r="J17" s="20"/>
      <c r="K17" s="20"/>
      <c r="L17" s="27"/>
      <c r="M17" s="20"/>
      <c r="N17" s="20"/>
      <c r="O17" s="28"/>
      <c r="P17" s="24"/>
      <c r="Q17" s="20"/>
      <c r="R17" s="29"/>
      <c r="S17" s="29"/>
      <c r="T17" s="30"/>
      <c r="U17" s="11"/>
      <c r="V17" s="11"/>
      <c r="W17" s="11"/>
      <c r="X17" s="11"/>
    </row>
    <row r="18" spans="1:24">
      <c r="A18" s="10">
        <v>3</v>
      </c>
      <c r="C18" s="31" t="s">
        <v>19</v>
      </c>
      <c r="D18" s="32">
        <f>+'C.2'!D17</f>
        <v>89006235.689999998</v>
      </c>
      <c r="E18" s="33"/>
      <c r="F18" s="32">
        <f>'C.2'!O17</f>
        <v>78382354.15325588</v>
      </c>
      <c r="G18" s="32"/>
      <c r="H18" s="32"/>
      <c r="I18" s="32"/>
      <c r="J18" s="32">
        <f>+F18+H18</f>
        <v>78382354.15325588</v>
      </c>
      <c r="K18" s="20"/>
      <c r="L18" s="22"/>
      <c r="M18" s="20"/>
      <c r="O18" s="23"/>
      <c r="P18" s="24"/>
      <c r="Q18" s="20"/>
      <c r="R18" s="25"/>
      <c r="S18" s="34"/>
      <c r="T18" s="25"/>
      <c r="U18" s="11"/>
      <c r="V18" s="11"/>
      <c r="W18" s="11"/>
      <c r="X18" s="11"/>
    </row>
    <row r="19" spans="1:24">
      <c r="A19" s="10">
        <v>4</v>
      </c>
      <c r="C19" s="31" t="s">
        <v>20</v>
      </c>
      <c r="D19" s="32">
        <f>SUM('C.2'!D18:D25)</f>
        <v>29337924</v>
      </c>
      <c r="E19" s="33"/>
      <c r="F19" s="32">
        <f>SUM('C.2'!O18:O25)</f>
        <v>27224981.353791106</v>
      </c>
      <c r="G19" s="32"/>
      <c r="H19" s="32">
        <v>79596.55</v>
      </c>
      <c r="I19" s="32"/>
      <c r="J19" s="32">
        <f>+F19+H19</f>
        <v>27304577.903791107</v>
      </c>
      <c r="K19" s="20"/>
      <c r="L19" s="22"/>
      <c r="M19" s="24"/>
      <c r="N19" s="35"/>
      <c r="O19" s="23"/>
      <c r="P19" s="24"/>
      <c r="Q19" s="20"/>
      <c r="R19" s="25"/>
      <c r="S19" s="34"/>
      <c r="T19" s="25"/>
      <c r="U19" s="11"/>
      <c r="V19" s="11"/>
      <c r="W19" s="11"/>
      <c r="X19" s="11"/>
    </row>
    <row r="20" spans="1:24">
      <c r="A20" s="10">
        <v>5</v>
      </c>
      <c r="C20" s="3" t="s">
        <v>21</v>
      </c>
      <c r="D20" s="32">
        <f>+'C.2'!D26</f>
        <v>20792783.009999998</v>
      </c>
      <c r="E20" s="33"/>
      <c r="F20" s="32">
        <f>+'C.2'!O26</f>
        <v>22541773.891691476</v>
      </c>
      <c r="G20" s="36"/>
      <c r="H20" s="32"/>
      <c r="I20" s="36"/>
      <c r="J20" s="36">
        <f>+F20+H20</f>
        <v>22541773.891691476</v>
      </c>
      <c r="K20" s="20"/>
      <c r="L20" s="22"/>
      <c r="M20" s="20"/>
      <c r="N20" s="37"/>
      <c r="O20" s="23"/>
      <c r="P20" s="24"/>
      <c r="Q20" s="20"/>
      <c r="R20" s="25"/>
      <c r="S20" s="34"/>
      <c r="T20" s="25"/>
      <c r="U20" s="11"/>
      <c r="V20" s="11"/>
      <c r="W20" s="11"/>
      <c r="X20" s="11"/>
    </row>
    <row r="21" spans="1:24">
      <c r="A21" s="10">
        <v>6</v>
      </c>
      <c r="C21" s="3" t="s">
        <v>22</v>
      </c>
      <c r="D21" s="32">
        <f>+'C.2'!D27</f>
        <v>6454875.1700000009</v>
      </c>
      <c r="E21" s="33"/>
      <c r="F21" s="32">
        <f>+'C.2'!O27</f>
        <v>7511836.9326441754</v>
      </c>
      <c r="G21" s="36"/>
      <c r="H21" s="32">
        <v>31838.62</v>
      </c>
      <c r="I21" s="36"/>
      <c r="J21" s="36">
        <f>+F21+H21</f>
        <v>7543675.5526441755</v>
      </c>
      <c r="K21" s="20"/>
      <c r="L21" s="22"/>
      <c r="M21" s="24"/>
      <c r="N21" s="35"/>
      <c r="O21" s="23"/>
      <c r="P21" s="24"/>
      <c r="Q21" s="20"/>
      <c r="R21" s="25"/>
      <c r="S21" s="34"/>
      <c r="T21" s="25"/>
      <c r="U21" s="11"/>
      <c r="V21" s="11"/>
      <c r="W21" s="11"/>
      <c r="X21" s="11"/>
    </row>
    <row r="22" spans="1:24">
      <c r="A22" s="10">
        <v>7</v>
      </c>
      <c r="C22" s="3"/>
      <c r="D22" s="38"/>
      <c r="E22" s="38"/>
      <c r="F22" s="36"/>
      <c r="G22" s="36"/>
      <c r="H22" s="32"/>
      <c r="I22" s="36"/>
      <c r="J22" s="36"/>
      <c r="K22" s="20"/>
      <c r="L22" s="27"/>
      <c r="M22" s="20"/>
      <c r="O22" s="23"/>
      <c r="P22" s="24"/>
      <c r="Q22" s="20"/>
      <c r="R22" s="39"/>
      <c r="S22" s="39"/>
      <c r="T22" s="40"/>
      <c r="U22" s="11"/>
      <c r="V22" s="11"/>
      <c r="W22" s="11"/>
      <c r="X22" s="11"/>
    </row>
    <row r="23" spans="1:24">
      <c r="A23" s="10">
        <v>8</v>
      </c>
      <c r="C23" s="3" t="s">
        <v>23</v>
      </c>
      <c r="D23" s="41">
        <f>+E!E23</f>
        <v>6843914.3503280915</v>
      </c>
      <c r="E23" s="38"/>
      <c r="F23" s="41">
        <f>E!G23</f>
        <v>6159951.6034848206</v>
      </c>
      <c r="G23" s="36"/>
      <c r="H23" s="41">
        <f>((+H15-H19-H21)*0.06)+((+H15-H19-H21-((+H15-H19-H21)*0.06))*0.21)</f>
        <v>4068946.9812419997</v>
      </c>
      <c r="I23" s="36"/>
      <c r="J23" s="42">
        <f>+F23+H23</f>
        <v>10228898.58472682</v>
      </c>
      <c r="K23" s="20"/>
      <c r="L23" s="22"/>
      <c r="M23" s="20"/>
      <c r="N23" s="20"/>
      <c r="O23" s="23"/>
      <c r="P23" s="24"/>
      <c r="Q23" s="20"/>
      <c r="R23" s="25"/>
      <c r="S23" s="34"/>
      <c r="T23" s="25"/>
      <c r="U23" s="11"/>
      <c r="V23" s="11"/>
      <c r="W23" s="11"/>
      <c r="X23" s="11"/>
    </row>
    <row r="24" spans="1:24">
      <c r="A24" s="10">
        <v>9</v>
      </c>
      <c r="C24" s="3" t="s">
        <v>24</v>
      </c>
      <c r="D24" s="21">
        <f>SUM(D18:D23)</f>
        <v>152435732.22032806</v>
      </c>
      <c r="F24" s="19">
        <f>SUM(F18:F23)</f>
        <v>141820897.93486744</v>
      </c>
      <c r="G24" s="20"/>
      <c r="H24" s="21">
        <f>SUM(H18:H23)</f>
        <v>4180382.1512419996</v>
      </c>
      <c r="I24" s="20"/>
      <c r="J24" s="21">
        <f>SUM(J18:J23)</f>
        <v>146001280.08610943</v>
      </c>
      <c r="K24" s="20"/>
      <c r="L24" s="22"/>
      <c r="M24" s="20"/>
      <c r="N24" s="20"/>
      <c r="O24" s="23"/>
      <c r="P24" s="24"/>
      <c r="Q24" s="20"/>
      <c r="R24" s="25"/>
      <c r="S24" s="34"/>
      <c r="T24" s="25"/>
      <c r="U24" s="11"/>
      <c r="V24" s="11"/>
      <c r="W24" s="11"/>
      <c r="X24" s="11"/>
    </row>
    <row r="25" spans="1:24">
      <c r="D25" s="20"/>
      <c r="F25" s="26"/>
      <c r="G25" s="20"/>
      <c r="H25" s="20"/>
      <c r="I25" s="20"/>
      <c r="J25" s="20"/>
      <c r="K25" s="20"/>
      <c r="L25" s="27"/>
      <c r="M25" s="20"/>
      <c r="N25" s="20"/>
      <c r="O25" s="28"/>
      <c r="P25" s="24"/>
      <c r="Q25" s="20"/>
      <c r="R25" s="25"/>
      <c r="S25" s="34"/>
      <c r="T25" s="25"/>
      <c r="U25" s="11"/>
      <c r="V25" s="11"/>
      <c r="W25" s="11"/>
      <c r="X25" s="11"/>
    </row>
    <row r="26" spans="1:24" ht="15.75" thickBot="1">
      <c r="A26" s="10">
        <v>10</v>
      </c>
      <c r="C26" s="3" t="s">
        <v>25</v>
      </c>
      <c r="D26" s="43">
        <f>D15-D24</f>
        <v>28418748.829671949</v>
      </c>
      <c r="F26" s="44">
        <f>F15-F24</f>
        <v>27896967.902088344</v>
      </c>
      <c r="G26" s="20"/>
      <c r="H26" s="44">
        <f>H15-H24</f>
        <v>11738927.848758001</v>
      </c>
      <c r="I26" s="20"/>
      <c r="J26" s="43">
        <f>J15-J24</f>
        <v>39635895.750846356</v>
      </c>
      <c r="K26" s="20"/>
      <c r="L26" s="22"/>
      <c r="M26" s="20"/>
      <c r="N26" s="20"/>
      <c r="O26" s="23"/>
      <c r="P26" s="24"/>
      <c r="Q26" s="20"/>
      <c r="R26" s="25"/>
      <c r="S26" s="34"/>
      <c r="T26" s="25"/>
      <c r="U26" s="11"/>
      <c r="V26" s="11"/>
      <c r="W26" s="11"/>
      <c r="X26" s="11"/>
    </row>
    <row r="27" spans="1:24" ht="15.75" thickTop="1">
      <c r="F27" s="26"/>
      <c r="G27" s="20"/>
      <c r="H27" s="20"/>
      <c r="I27" s="20"/>
      <c r="J27" s="20"/>
      <c r="K27" s="20"/>
      <c r="L27" s="27"/>
      <c r="M27" s="20"/>
      <c r="N27" s="20"/>
      <c r="O27" s="20"/>
      <c r="P27" s="20"/>
      <c r="Q27" s="20"/>
      <c r="R27" s="11"/>
      <c r="S27" s="39"/>
      <c r="T27" s="30"/>
      <c r="U27" s="11"/>
      <c r="V27" s="11"/>
      <c r="W27" s="11"/>
      <c r="X27" s="11"/>
    </row>
    <row r="28" spans="1:24">
      <c r="A28" s="10">
        <v>11</v>
      </c>
      <c r="C28" s="3" t="s">
        <v>26</v>
      </c>
      <c r="D28" s="32">
        <v>414187472.09436655</v>
      </c>
      <c r="E28" s="38"/>
      <c r="F28" s="32">
        <v>496111427.09512687</v>
      </c>
      <c r="G28" s="36"/>
      <c r="H28" s="36"/>
      <c r="I28" s="36"/>
      <c r="J28" s="36">
        <v>496111427.09512687</v>
      </c>
      <c r="K28" s="20"/>
      <c r="L28" s="27"/>
      <c r="M28" s="20"/>
      <c r="N28" s="20"/>
      <c r="O28" s="20"/>
      <c r="P28" s="20"/>
      <c r="Q28" s="20"/>
      <c r="R28" s="25"/>
      <c r="S28" s="39"/>
      <c r="T28" s="25"/>
      <c r="U28" s="11"/>
      <c r="V28" s="11"/>
      <c r="W28" s="11"/>
      <c r="X28" s="11"/>
    </row>
    <row r="29" spans="1:24"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1"/>
      <c r="S29" s="11"/>
      <c r="T29" s="27"/>
      <c r="U29" s="11"/>
      <c r="V29" s="11"/>
      <c r="W29" s="11"/>
      <c r="X29" s="11"/>
    </row>
    <row r="30" spans="1:24">
      <c r="A30" s="10">
        <v>12</v>
      </c>
      <c r="C30" s="3" t="s">
        <v>27</v>
      </c>
      <c r="D30" s="45">
        <f>(D26/D28)</f>
        <v>6.8613250627718531E-2</v>
      </c>
      <c r="F30" s="45">
        <f>(F26/F28)</f>
        <v>5.6231254469248981E-2</v>
      </c>
      <c r="H30" s="46"/>
      <c r="J30" s="45">
        <f>(J26/J28)</f>
        <v>7.9893132038755421E-2</v>
      </c>
      <c r="K30" s="20"/>
      <c r="L30" s="20"/>
      <c r="M30" s="20"/>
      <c r="R30" s="47"/>
      <c r="S30" s="11"/>
      <c r="T30" s="47"/>
      <c r="U30" s="11"/>
      <c r="V30" s="47"/>
      <c r="W30" s="47"/>
      <c r="X30" s="47"/>
    </row>
    <row r="31" spans="1:24">
      <c r="F31" s="20"/>
      <c r="H31" s="46"/>
      <c r="J31" s="20"/>
      <c r="K31" s="20"/>
      <c r="L31" s="20"/>
      <c r="M31" s="20"/>
      <c r="R31" s="11"/>
      <c r="S31" s="11"/>
      <c r="T31" s="11"/>
      <c r="U31" s="11"/>
      <c r="V31" s="11"/>
      <c r="W31" s="11"/>
      <c r="X31" s="11"/>
    </row>
    <row r="32" spans="1:24">
      <c r="F32" s="20"/>
      <c r="H32" s="20"/>
      <c r="J32" s="20"/>
      <c r="K32" s="20"/>
      <c r="L32" s="20"/>
      <c r="M32" s="20"/>
      <c r="R32" s="11"/>
      <c r="S32" s="11"/>
      <c r="T32" s="11"/>
      <c r="U32" s="11"/>
      <c r="V32" s="11"/>
      <c r="W32" s="11"/>
      <c r="X32" s="11"/>
    </row>
    <row r="33" spans="3:24">
      <c r="C33" s="48"/>
      <c r="D33" s="49"/>
      <c r="E33" s="49"/>
      <c r="F33" s="49"/>
      <c r="G33" s="49"/>
      <c r="H33" s="49"/>
      <c r="I33" s="49"/>
      <c r="J33" s="49"/>
      <c r="K33" s="20"/>
      <c r="L33" s="20"/>
      <c r="M33" s="20"/>
      <c r="R33" s="11"/>
      <c r="S33" s="11"/>
      <c r="T33" s="11"/>
      <c r="U33" s="11"/>
      <c r="V33" s="11"/>
      <c r="W33" s="11"/>
      <c r="X33" s="11"/>
    </row>
    <row r="34" spans="3:24">
      <c r="F34" s="20"/>
      <c r="K34" s="20"/>
      <c r="L34" s="20"/>
      <c r="M34" s="20"/>
    </row>
    <row r="35" spans="3:24">
      <c r="F35" s="20"/>
      <c r="K35" s="20"/>
      <c r="L35" s="20"/>
      <c r="M35" s="20"/>
    </row>
  </sheetData>
  <mergeCells count="4">
    <mergeCell ref="A1:J1"/>
    <mergeCell ref="A2:J2"/>
    <mergeCell ref="A3:J3"/>
    <mergeCell ref="A4:J4"/>
  </mergeCells>
  <printOptions horizontalCentered="1"/>
  <pageMargins left="0.75" right="0.69" top="0.8" bottom="0.5" header="0.25" footer="0.5"/>
  <pageSetup orientation="landscape" verticalDpi="300" r:id="rId1"/>
  <headerFooter alignWithMargins="0">
    <oddHeader>&amp;R&amp;8CASE NO. 2018-00281
ATTACHMENT 1
TO STAFF DR NO. 1-46
(SUPPLEMENT 03-29-19)</oddHeader>
    <oddFooter>&amp;RSchedule 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5"/>
  <sheetViews>
    <sheetView view="pageBreakPreview" zoomScale="70" zoomScaleNormal="90" zoomScaleSheetLayoutView="70" workbookViewId="0">
      <selection sqref="A1:O1"/>
    </sheetView>
  </sheetViews>
  <sheetFormatPr defaultColWidth="7.109375" defaultRowHeight="15"/>
  <cols>
    <col min="1" max="1" width="3.5546875" style="1" customWidth="1"/>
    <col min="2" max="2" width="2.21875" style="1" customWidth="1"/>
    <col min="3" max="3" width="27.5546875" style="1" customWidth="1"/>
    <col min="4" max="4" width="13.109375" style="1" bestFit="1" customWidth="1"/>
    <col min="5" max="5" width="1.33203125" style="1" customWidth="1"/>
    <col min="6" max="6" width="12.6640625" style="1" customWidth="1"/>
    <col min="7" max="7" width="6.21875" style="1" bestFit="1" customWidth="1"/>
    <col min="8" max="8" width="7.33203125" style="1" customWidth="1"/>
    <col min="9" max="9" width="6" style="1" customWidth="1"/>
    <col min="10" max="10" width="1.44140625" style="1" customWidth="1"/>
    <col min="11" max="11" width="12.88671875" style="1" customWidth="1"/>
    <col min="12" max="12" width="1.44140625" style="1" customWidth="1"/>
    <col min="13" max="13" width="11.5546875" style="1" customWidth="1"/>
    <col min="14" max="14" width="17.6640625" style="1" customWidth="1"/>
    <col min="15" max="15" width="13.44140625" style="1" customWidth="1"/>
    <col min="16" max="16" width="11.77734375" style="1" bestFit="1" customWidth="1"/>
    <col min="17" max="17" width="2.109375" style="1" customWidth="1"/>
    <col min="18" max="18" width="8.5546875" style="1" customWidth="1"/>
    <col min="19" max="21" width="7.109375" style="1"/>
    <col min="22" max="22" width="8" style="1" bestFit="1" customWidth="1"/>
    <col min="23" max="23" width="9.21875" style="1" customWidth="1"/>
    <col min="24" max="16384" width="7.109375" style="1"/>
  </cols>
  <sheetData>
    <row r="1" spans="1:20">
      <c r="A1" s="277" t="s">
        <v>360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1:20">
      <c r="A2" s="277" t="s">
        <v>361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</row>
    <row r="3" spans="1:20">
      <c r="A3" s="277" t="s">
        <v>28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</row>
    <row r="4" spans="1:20">
      <c r="A4" s="277" t="s">
        <v>363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</row>
    <row r="5" spans="1:20">
      <c r="A5" s="277" t="s">
        <v>362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</row>
    <row r="6" spans="1:20">
      <c r="C6" s="50"/>
    </row>
    <row r="7" spans="1:20">
      <c r="A7" s="3" t="str">
        <f>'C.1'!A7</f>
        <v>Data:__X____Base Period___X___Forecasted Period</v>
      </c>
      <c r="K7" s="51"/>
      <c r="O7" s="4" t="s">
        <v>29</v>
      </c>
    </row>
    <row r="8" spans="1:20">
      <c r="A8" s="3" t="str">
        <f>'C.1'!A8</f>
        <v>Type of Filing:___X____Original________Updated ________Revised</v>
      </c>
      <c r="K8" s="51"/>
      <c r="O8" s="52" t="s">
        <v>30</v>
      </c>
    </row>
    <row r="9" spans="1:20">
      <c r="A9" s="53" t="str">
        <f>'C.1'!A9</f>
        <v>Workpaper Reference No(s).____________________</v>
      </c>
      <c r="B9" s="7"/>
      <c r="C9" s="7"/>
      <c r="D9" s="7"/>
      <c r="E9" s="7"/>
      <c r="F9" s="7"/>
      <c r="G9" s="7"/>
      <c r="H9" s="7"/>
      <c r="I9" s="7"/>
      <c r="J9" s="7"/>
      <c r="K9" s="54"/>
      <c r="L9" s="7"/>
      <c r="M9" s="55"/>
      <c r="N9" s="55"/>
      <c r="O9" s="56" t="str">
        <f>'C.1'!J9</f>
        <v>Witness: Waller, Densman</v>
      </c>
    </row>
    <row r="10" spans="1:20">
      <c r="D10" s="10" t="s">
        <v>31</v>
      </c>
      <c r="G10" s="57"/>
      <c r="H10" s="9" t="s">
        <v>32</v>
      </c>
      <c r="K10" s="10" t="s">
        <v>8</v>
      </c>
      <c r="O10" s="9" t="s">
        <v>33</v>
      </c>
    </row>
    <row r="11" spans="1:20">
      <c r="A11" s="58" t="s">
        <v>9</v>
      </c>
      <c r="C11" s="10" t="s">
        <v>34</v>
      </c>
      <c r="D11" s="58" t="s">
        <v>35</v>
      </c>
      <c r="F11" s="9" t="s">
        <v>36</v>
      </c>
      <c r="G11" s="9" t="s">
        <v>37</v>
      </c>
      <c r="H11" s="10" t="s">
        <v>38</v>
      </c>
      <c r="I11" s="9" t="s">
        <v>37</v>
      </c>
      <c r="K11" s="58" t="s">
        <v>35</v>
      </c>
      <c r="M11" s="9" t="s">
        <v>39</v>
      </c>
      <c r="N11" s="9" t="s">
        <v>37</v>
      </c>
      <c r="O11" s="9" t="s">
        <v>40</v>
      </c>
    </row>
    <row r="12" spans="1:20">
      <c r="A12" s="59" t="s">
        <v>12</v>
      </c>
      <c r="B12" s="7"/>
      <c r="C12" s="59" t="s">
        <v>41</v>
      </c>
      <c r="D12" s="12" t="s">
        <v>42</v>
      </c>
      <c r="E12" s="7"/>
      <c r="F12" s="12" t="s">
        <v>43</v>
      </c>
      <c r="G12" s="60" t="s">
        <v>44</v>
      </c>
      <c r="H12" s="12" t="s">
        <v>45</v>
      </c>
      <c r="I12" s="60" t="s">
        <v>44</v>
      </c>
      <c r="J12" s="7"/>
      <c r="K12" s="12" t="s">
        <v>42</v>
      </c>
      <c r="L12" s="7"/>
      <c r="M12" s="61" t="s">
        <v>43</v>
      </c>
      <c r="N12" s="60" t="s">
        <v>44</v>
      </c>
      <c r="O12" s="62" t="s">
        <v>46</v>
      </c>
    </row>
    <row r="13" spans="1:20">
      <c r="C13" s="63"/>
      <c r="D13" s="10"/>
      <c r="F13" s="10"/>
      <c r="H13" s="10"/>
      <c r="K13" s="64"/>
      <c r="M13" s="65"/>
      <c r="O13" s="10"/>
    </row>
    <row r="14" spans="1:20">
      <c r="A14" s="66">
        <v>1</v>
      </c>
      <c r="C14" s="3" t="s">
        <v>17</v>
      </c>
      <c r="D14" s="67">
        <f>+'C.2.1 B'!D33</f>
        <v>180854481.05000001</v>
      </c>
      <c r="E14" s="17"/>
      <c r="F14" s="19">
        <f>+K14-D14</f>
        <v>-11136615.213044226</v>
      </c>
      <c r="G14" s="68" t="s">
        <v>47</v>
      </c>
      <c r="H14" s="26"/>
      <c r="I14" s="17"/>
      <c r="J14" s="17"/>
      <c r="K14" s="67">
        <v>169717865.83695579</v>
      </c>
      <c r="L14" s="69"/>
      <c r="M14" s="19">
        <v>0</v>
      </c>
      <c r="N14" s="69"/>
      <c r="O14" s="19">
        <f>+K14+M14</f>
        <v>169717865.83695579</v>
      </c>
      <c r="P14" s="70"/>
    </row>
    <row r="15" spans="1:20">
      <c r="A15" s="71">
        <v>2</v>
      </c>
      <c r="C15" s="57"/>
      <c r="D15" s="69"/>
      <c r="E15" s="17"/>
      <c r="F15" s="69"/>
      <c r="G15" s="69"/>
      <c r="H15" s="69"/>
      <c r="I15" s="17"/>
      <c r="J15" s="17"/>
      <c r="K15" s="69"/>
      <c r="L15" s="69"/>
      <c r="M15" s="72"/>
      <c r="N15" s="69"/>
      <c r="O15" s="72"/>
      <c r="P15" s="70"/>
    </row>
    <row r="16" spans="1:20">
      <c r="A16" s="66">
        <v>3</v>
      </c>
      <c r="C16" s="3" t="s">
        <v>18</v>
      </c>
      <c r="D16" s="17"/>
      <c r="E16" s="17"/>
      <c r="F16" s="17"/>
      <c r="G16" s="17"/>
      <c r="H16" s="17"/>
      <c r="I16" s="17"/>
      <c r="J16" s="17"/>
      <c r="K16" s="17"/>
      <c r="L16" s="17"/>
      <c r="M16" s="72"/>
      <c r="N16" s="17"/>
      <c r="O16" s="72"/>
      <c r="P16" s="70"/>
      <c r="Q16" s="46"/>
      <c r="S16" s="46"/>
      <c r="T16" s="70"/>
    </row>
    <row r="17" spans="1:23">
      <c r="A17" s="71">
        <v>4</v>
      </c>
      <c r="C17" s="31" t="s">
        <v>19</v>
      </c>
      <c r="D17" s="73">
        <f>+'C.2.1 B'!D105</f>
        <v>89006235.689999998</v>
      </c>
      <c r="E17" s="17"/>
      <c r="F17" s="32">
        <f t="shared" ref="F17:F28" si="0">+K17-D17-H17</f>
        <v>-10623881.536744118</v>
      </c>
      <c r="G17" s="68" t="s">
        <v>47</v>
      </c>
      <c r="H17" s="26"/>
      <c r="I17" s="17"/>
      <c r="J17" s="17"/>
      <c r="K17" s="73">
        <v>78382354.15325588</v>
      </c>
      <c r="L17" s="69"/>
      <c r="M17" s="32">
        <v>0</v>
      </c>
      <c r="N17" s="69"/>
      <c r="O17" s="32">
        <f t="shared" ref="O17:O22" si="1">+K17+M17</f>
        <v>78382354.15325588</v>
      </c>
      <c r="P17" s="70"/>
      <c r="Q17" s="46"/>
      <c r="S17" s="46"/>
      <c r="T17" s="70"/>
    </row>
    <row r="18" spans="1:23">
      <c r="A18" s="66">
        <v>5</v>
      </c>
      <c r="C18" s="31" t="s">
        <v>48</v>
      </c>
      <c r="D18" s="74">
        <f>+'C.2.1 B'!D39+'C.2.1 B'!D43</f>
        <v>0</v>
      </c>
      <c r="E18" s="17"/>
      <c r="F18" s="32">
        <f t="shared" si="0"/>
        <v>0</v>
      </c>
      <c r="G18" s="68" t="s">
        <v>47</v>
      </c>
      <c r="H18" s="26"/>
      <c r="I18" s="17"/>
      <c r="J18" s="17"/>
      <c r="K18" s="73">
        <v>0</v>
      </c>
      <c r="L18" s="26"/>
      <c r="M18" s="32">
        <v>0</v>
      </c>
      <c r="N18" s="26"/>
      <c r="O18" s="32">
        <f t="shared" si="1"/>
        <v>0</v>
      </c>
      <c r="P18" s="70"/>
    </row>
    <row r="19" spans="1:23">
      <c r="A19" s="71">
        <v>6</v>
      </c>
      <c r="C19" s="31" t="s">
        <v>49</v>
      </c>
      <c r="D19" s="74">
        <f>+'C.2.1 B'!D55+'C.2.1 B'!D65</f>
        <v>709797.99</v>
      </c>
      <c r="E19" s="17"/>
      <c r="F19" s="32">
        <f t="shared" si="0"/>
        <v>-220883.88029090711</v>
      </c>
      <c r="G19" s="68" t="s">
        <v>47</v>
      </c>
      <c r="H19" s="26"/>
      <c r="I19" s="17"/>
      <c r="J19" s="17"/>
      <c r="K19" s="73">
        <v>488914.10970909288</v>
      </c>
      <c r="L19" s="26"/>
      <c r="M19" s="32">
        <v>0</v>
      </c>
      <c r="N19" s="26"/>
      <c r="O19" s="32">
        <f t="shared" si="1"/>
        <v>488914.10970909288</v>
      </c>
      <c r="P19" s="70"/>
    </row>
    <row r="20" spans="1:23">
      <c r="A20" s="66">
        <v>7</v>
      </c>
      <c r="C20" s="31" t="s">
        <v>50</v>
      </c>
      <c r="D20" s="74">
        <f>+'C.2.1 B'!D75+'C.2.1 B'!D83</f>
        <v>479476.08</v>
      </c>
      <c r="E20" s="17"/>
      <c r="F20" s="32">
        <f t="shared" si="0"/>
        <v>-69373.030415530433</v>
      </c>
      <c r="G20" s="68" t="s">
        <v>47</v>
      </c>
      <c r="H20" s="26"/>
      <c r="I20" s="17"/>
      <c r="J20" s="17"/>
      <c r="K20" s="73">
        <v>410103.04958446958</v>
      </c>
      <c r="L20" s="26"/>
      <c r="M20" s="32">
        <v>0</v>
      </c>
      <c r="N20" s="26"/>
      <c r="O20" s="32">
        <f t="shared" si="1"/>
        <v>410103.04958446958</v>
      </c>
      <c r="P20" s="70"/>
      <c r="R20" s="75"/>
      <c r="S20" s="75"/>
      <c r="T20" s="75"/>
      <c r="U20" s="75"/>
      <c r="V20" s="75"/>
      <c r="W20" s="75"/>
    </row>
    <row r="21" spans="1:23">
      <c r="A21" s="71">
        <v>8</v>
      </c>
      <c r="C21" s="76" t="s">
        <v>51</v>
      </c>
      <c r="D21" s="74">
        <f>+'C.2.1 B'!D120+'C.2.1 B'!D133</f>
        <v>9376799.950000003</v>
      </c>
      <c r="E21" s="17"/>
      <c r="F21" s="32">
        <f t="shared" si="0"/>
        <v>-2031259.1491300724</v>
      </c>
      <c r="G21" s="68" t="s">
        <v>47</v>
      </c>
      <c r="H21" s="26"/>
      <c r="I21" s="77" t="s">
        <v>52</v>
      </c>
      <c r="J21" s="17"/>
      <c r="K21" s="78">
        <v>7345540.8008699305</v>
      </c>
      <c r="L21" s="26"/>
      <c r="M21" s="32">
        <v>0</v>
      </c>
      <c r="N21" s="79"/>
      <c r="O21" s="32">
        <f t="shared" si="1"/>
        <v>7345540.8008699305</v>
      </c>
      <c r="P21" s="70"/>
      <c r="R21" s="75"/>
      <c r="S21" s="75"/>
      <c r="T21" s="75"/>
      <c r="U21" s="75"/>
      <c r="V21" s="75"/>
      <c r="W21" s="75"/>
    </row>
    <row r="22" spans="1:23">
      <c r="A22" s="66">
        <v>9</v>
      </c>
      <c r="C22" s="76" t="s">
        <v>53</v>
      </c>
      <c r="D22" s="74">
        <f>+'C.2.1 B'!D140</f>
        <v>3471519.4699999997</v>
      </c>
      <c r="E22" s="17"/>
      <c r="F22" s="32">
        <f t="shared" si="0"/>
        <v>-824619.55318991374</v>
      </c>
      <c r="G22" s="68" t="s">
        <v>47</v>
      </c>
      <c r="H22" s="26"/>
      <c r="I22" s="77" t="s">
        <v>52</v>
      </c>
      <c r="J22" s="17"/>
      <c r="K22" s="73">
        <v>2646899.916810086</v>
      </c>
      <c r="L22" s="26"/>
      <c r="M22" s="32">
        <v>0</v>
      </c>
      <c r="N22" s="26"/>
      <c r="O22" s="32">
        <f t="shared" si="1"/>
        <v>2646899.916810086</v>
      </c>
      <c r="P22" s="70"/>
      <c r="R22" s="75"/>
      <c r="S22" s="75"/>
      <c r="T22" s="80"/>
      <c r="U22" s="75"/>
      <c r="V22" s="75"/>
      <c r="W22" s="75"/>
    </row>
    <row r="23" spans="1:23">
      <c r="A23" s="71">
        <v>10</v>
      </c>
      <c r="C23" s="31" t="s">
        <v>54</v>
      </c>
      <c r="D23" s="73">
        <f>+'C.2.1 B'!D147</f>
        <v>113725.03</v>
      </c>
      <c r="E23" s="17"/>
      <c r="F23" s="32">
        <f t="shared" si="0"/>
        <v>14546.617179905123</v>
      </c>
      <c r="G23" s="68" t="s">
        <v>47</v>
      </c>
      <c r="H23" s="26"/>
      <c r="I23" s="77" t="s">
        <v>52</v>
      </c>
      <c r="J23" s="17"/>
      <c r="K23" s="73">
        <v>128271.64717990512</v>
      </c>
      <c r="L23" s="69"/>
      <c r="M23" s="32">
        <v>0</v>
      </c>
      <c r="N23" s="79"/>
      <c r="O23" s="32">
        <f>+K23+M23</f>
        <v>128271.64717990512</v>
      </c>
      <c r="P23" s="70"/>
      <c r="R23" s="75"/>
      <c r="S23" s="75"/>
      <c r="T23" s="81"/>
      <c r="U23" s="75"/>
      <c r="V23" s="75"/>
      <c r="W23" s="75"/>
    </row>
    <row r="24" spans="1:23">
      <c r="A24" s="66">
        <v>11</v>
      </c>
      <c r="C24" s="76" t="s">
        <v>55</v>
      </c>
      <c r="D24" s="73">
        <f>+'C.2.1 B'!D154</f>
        <v>416913.23000000004</v>
      </c>
      <c r="E24" s="17"/>
      <c r="F24" s="32">
        <f t="shared" si="0"/>
        <v>-12338.100525853748</v>
      </c>
      <c r="G24" s="68" t="s">
        <v>47</v>
      </c>
      <c r="H24" s="26"/>
      <c r="I24" s="77" t="s">
        <v>52</v>
      </c>
      <c r="J24" s="17"/>
      <c r="K24" s="73">
        <v>404575.12947414629</v>
      </c>
      <c r="L24" s="69"/>
      <c r="M24" s="32">
        <v>-196297.42596782028</v>
      </c>
      <c r="N24" s="79" t="s">
        <v>56</v>
      </c>
      <c r="O24" s="32">
        <f>+K24+M24</f>
        <v>208277.70350632601</v>
      </c>
      <c r="P24" s="70"/>
      <c r="R24" s="75"/>
      <c r="S24" s="75"/>
      <c r="T24" s="81"/>
      <c r="U24" s="75"/>
      <c r="V24" s="75"/>
      <c r="W24" s="75"/>
    </row>
    <row r="25" spans="1:23">
      <c r="A25" s="71">
        <v>12</v>
      </c>
      <c r="C25" s="76" t="s">
        <v>57</v>
      </c>
      <c r="D25" s="73">
        <f>+'C.2.1 B'!D168+'C.2.1 B'!D172</f>
        <v>14769692.249999998</v>
      </c>
      <c r="E25" s="17"/>
      <c r="F25" s="32">
        <f t="shared" si="0"/>
        <v>2821136.293557601</v>
      </c>
      <c r="G25" s="68" t="s">
        <v>47</v>
      </c>
      <c r="H25" s="26"/>
      <c r="I25" s="77" t="s">
        <v>52</v>
      </c>
      <c r="J25" s="17"/>
      <c r="K25" s="73">
        <v>17590828.543557599</v>
      </c>
      <c r="L25" s="69"/>
      <c r="M25" s="32">
        <v>-1593854.417426303</v>
      </c>
      <c r="N25" s="79" t="s">
        <v>58</v>
      </c>
      <c r="O25" s="32">
        <f>+K25+M25</f>
        <v>15996974.126131296</v>
      </c>
      <c r="P25" s="70"/>
      <c r="Q25" s="46"/>
      <c r="R25" s="75"/>
      <c r="S25" s="75"/>
      <c r="T25" s="81"/>
      <c r="U25" s="75"/>
      <c r="V25" s="75"/>
      <c r="W25" s="75"/>
    </row>
    <row r="26" spans="1:23">
      <c r="A26" s="66">
        <v>13</v>
      </c>
      <c r="C26" s="82" t="s">
        <v>59</v>
      </c>
      <c r="D26" s="73">
        <f>+'C.2.1 B'!D176</f>
        <v>20792783.009999998</v>
      </c>
      <c r="E26" s="17"/>
      <c r="F26" s="32">
        <f t="shared" si="0"/>
        <v>1748990.8816914782</v>
      </c>
      <c r="G26" s="68" t="s">
        <v>47</v>
      </c>
      <c r="H26" s="26"/>
      <c r="I26" s="17"/>
      <c r="J26" s="17"/>
      <c r="K26" s="73">
        <v>22541773.891691476</v>
      </c>
      <c r="L26" s="69"/>
      <c r="M26" s="32">
        <f>O26-K26</f>
        <v>0</v>
      </c>
      <c r="N26" s="69"/>
      <c r="O26" s="73">
        <v>22541773.891691476</v>
      </c>
      <c r="P26" s="70"/>
      <c r="Q26" s="46"/>
      <c r="R26" s="75"/>
      <c r="S26" s="83"/>
      <c r="T26" s="81"/>
      <c r="U26" s="75"/>
      <c r="V26" s="75"/>
      <c r="W26" s="75"/>
    </row>
    <row r="27" spans="1:23">
      <c r="A27" s="71">
        <v>14</v>
      </c>
      <c r="C27" s="76" t="s">
        <v>60</v>
      </c>
      <c r="D27" s="73">
        <f>+'C.2.1 B'!D178</f>
        <v>6454875.1700000009</v>
      </c>
      <c r="F27" s="36">
        <f t="shared" si="0"/>
        <v>1056961.7626441745</v>
      </c>
      <c r="G27" s="2" t="s">
        <v>47</v>
      </c>
      <c r="H27" s="20"/>
      <c r="K27" s="73">
        <v>7511836.9326441754</v>
      </c>
      <c r="L27" s="26"/>
      <c r="M27" s="32">
        <v>0</v>
      </c>
      <c r="N27" s="79"/>
      <c r="O27" s="36">
        <f>+K27+M27</f>
        <v>7511836.9326441754</v>
      </c>
      <c r="P27" s="70"/>
      <c r="Q27" s="46"/>
      <c r="S27" s="46"/>
      <c r="T27" s="20"/>
    </row>
    <row r="28" spans="1:23">
      <c r="A28" s="66">
        <v>15</v>
      </c>
      <c r="C28" s="82" t="s">
        <v>61</v>
      </c>
      <c r="D28" s="73">
        <f>+'C.2.1 B'!D179</f>
        <v>6843914.3503280915</v>
      </c>
      <c r="F28" s="36">
        <f t="shared" si="0"/>
        <v>-488918.18705356959</v>
      </c>
      <c r="H28" s="20"/>
      <c r="K28" s="73">
        <v>6354996.1632745219</v>
      </c>
      <c r="L28" s="69"/>
      <c r="M28" s="73">
        <f>+O28-K28</f>
        <v>-195044.55978970136</v>
      </c>
      <c r="N28" s="68"/>
      <c r="O28" s="73">
        <f>+E!G23</f>
        <v>6159951.6034848206</v>
      </c>
      <c r="P28" s="70"/>
      <c r="Q28" s="46"/>
      <c r="S28" s="46"/>
      <c r="T28" s="70"/>
    </row>
    <row r="29" spans="1:23">
      <c r="A29" s="71">
        <v>16</v>
      </c>
      <c r="C29" s="51"/>
      <c r="D29" s="84"/>
      <c r="F29" s="85"/>
      <c r="H29" s="86"/>
      <c r="K29" s="84"/>
      <c r="L29" s="20"/>
      <c r="M29" s="87"/>
      <c r="N29" s="20"/>
      <c r="O29" s="87"/>
      <c r="P29" s="70"/>
    </row>
    <row r="30" spans="1:23">
      <c r="A30" s="66">
        <v>17</v>
      </c>
      <c r="C30" s="50"/>
      <c r="D30" s="20"/>
      <c r="F30" s="20"/>
      <c r="H30" s="20"/>
      <c r="K30" s="20"/>
      <c r="L30" s="20"/>
      <c r="M30" s="88"/>
      <c r="N30" s="20"/>
      <c r="O30" s="88"/>
      <c r="P30" s="70"/>
      <c r="T30" s="89"/>
    </row>
    <row r="31" spans="1:23">
      <c r="A31" s="71">
        <v>18</v>
      </c>
      <c r="C31" s="3" t="s">
        <v>24</v>
      </c>
      <c r="D31" s="21">
        <f>SUM(D17:D29)</f>
        <v>152435732.22032806</v>
      </c>
      <c r="F31" s="21">
        <f>SUM(F17:F29)</f>
        <v>-8629637.882276807</v>
      </c>
      <c r="H31" s="21">
        <f>SUM(H21:H29)</f>
        <v>0</v>
      </c>
      <c r="K31" s="21">
        <f>SUM(K17:K29)</f>
        <v>143806094.33805129</v>
      </c>
      <c r="L31" s="20"/>
      <c r="M31" s="21">
        <f>SUM(M17:M29)</f>
        <v>-1985196.4031838246</v>
      </c>
      <c r="N31" s="20"/>
      <c r="O31" s="21">
        <f>SUM(O17:O29)</f>
        <v>141820897.93486744</v>
      </c>
      <c r="P31" s="70"/>
    </row>
    <row r="32" spans="1:23">
      <c r="A32" s="66">
        <v>19</v>
      </c>
      <c r="D32" s="70"/>
      <c r="F32" s="70"/>
      <c r="H32" s="70"/>
      <c r="K32" s="70"/>
      <c r="L32" s="70"/>
      <c r="M32" s="70"/>
      <c r="N32" s="70"/>
      <c r="O32" s="70"/>
      <c r="P32" s="70"/>
    </row>
    <row r="33" spans="1:21" ht="15.75" thickBot="1">
      <c r="A33" s="71">
        <v>20</v>
      </c>
      <c r="C33" s="3" t="s">
        <v>62</v>
      </c>
      <c r="D33" s="43">
        <f>D14-D31</f>
        <v>28418748.829671949</v>
      </c>
      <c r="F33" s="43">
        <f>F14-F31</f>
        <v>-2506977.3307674192</v>
      </c>
      <c r="H33" s="43">
        <f>H14-H31</f>
        <v>0</v>
      </c>
      <c r="K33" s="43">
        <f>K14-K31</f>
        <v>25911771.498904496</v>
      </c>
      <c r="L33" s="20"/>
      <c r="M33" s="43">
        <f>M14-M31</f>
        <v>1985196.4031838246</v>
      </c>
      <c r="N33" s="20"/>
      <c r="O33" s="43">
        <f>O14-O31</f>
        <v>27896967.902088344</v>
      </c>
      <c r="P33" s="70"/>
      <c r="Q33" s="46"/>
      <c r="S33" s="46"/>
      <c r="T33" s="20"/>
      <c r="U33" s="20"/>
    </row>
    <row r="34" spans="1:21" ht="15.75" thickTop="1">
      <c r="A34" s="71"/>
      <c r="D34" s="20"/>
      <c r="F34" s="20"/>
      <c r="G34" s="20"/>
      <c r="H34" s="20"/>
      <c r="K34" s="90"/>
      <c r="L34" s="20"/>
      <c r="M34" s="90"/>
      <c r="N34" s="20"/>
      <c r="O34" s="20"/>
      <c r="P34" s="20"/>
      <c r="Q34" s="46"/>
      <c r="S34" s="46"/>
      <c r="T34" s="20"/>
      <c r="U34" s="20"/>
    </row>
    <row r="35" spans="1:21">
      <c r="A35" s="66"/>
      <c r="D35" s="91"/>
      <c r="F35" s="20"/>
      <c r="G35" s="20"/>
      <c r="H35" s="20"/>
      <c r="K35" s="91"/>
      <c r="L35" s="20"/>
      <c r="M35" s="46"/>
      <c r="N35" s="20"/>
      <c r="O35" s="91"/>
      <c r="P35" s="20"/>
    </row>
    <row r="36" spans="1:21">
      <c r="A36" s="66"/>
      <c r="C36" s="92"/>
      <c r="D36" s="24"/>
      <c r="E36" s="18"/>
      <c r="F36" s="24"/>
      <c r="G36" s="24"/>
      <c r="H36" s="24"/>
      <c r="I36" s="18"/>
      <c r="J36" s="18"/>
      <c r="K36" s="24"/>
      <c r="L36" s="20"/>
      <c r="M36" s="32"/>
      <c r="N36" s="20"/>
      <c r="O36" s="91"/>
      <c r="P36" s="20"/>
    </row>
    <row r="37" spans="1:21">
      <c r="A37" s="66"/>
      <c r="C37" s="18"/>
      <c r="D37" s="93"/>
      <c r="E37" s="18"/>
      <c r="F37" s="24"/>
      <c r="G37" s="24"/>
      <c r="H37" s="24"/>
      <c r="I37" s="18"/>
      <c r="J37" s="18"/>
      <c r="K37" s="93"/>
      <c r="L37" s="20"/>
      <c r="M37" s="46"/>
      <c r="N37" s="20"/>
      <c r="O37" s="91"/>
      <c r="P37" s="20"/>
    </row>
    <row r="38" spans="1:21">
      <c r="A38" s="71"/>
      <c r="B38" s="94"/>
      <c r="C38" s="92"/>
      <c r="D38" s="24"/>
      <c r="E38" s="18"/>
      <c r="F38" s="24"/>
      <c r="G38" s="24"/>
      <c r="H38" s="24"/>
      <c r="I38" s="18"/>
      <c r="J38" s="18"/>
      <c r="K38" s="24"/>
      <c r="L38" s="20"/>
      <c r="N38" s="20"/>
      <c r="P38" s="20"/>
    </row>
    <row r="39" spans="1:21">
      <c r="A39" s="66"/>
      <c r="B39" s="95"/>
      <c r="C39" s="92"/>
      <c r="D39" s="24"/>
      <c r="E39" s="18"/>
      <c r="F39" s="24"/>
      <c r="G39" s="24"/>
      <c r="H39" s="24"/>
      <c r="I39" s="18"/>
      <c r="J39" s="18"/>
      <c r="K39" s="24"/>
      <c r="L39" s="20"/>
      <c r="M39" s="46"/>
      <c r="N39" s="20"/>
      <c r="O39" s="46"/>
      <c r="P39" s="20"/>
      <c r="T39" s="89"/>
    </row>
    <row r="40" spans="1:21">
      <c r="D40" s="20"/>
      <c r="F40" s="20"/>
      <c r="G40" s="20"/>
      <c r="K40" s="20"/>
      <c r="L40" s="20"/>
      <c r="M40" s="24"/>
      <c r="N40" s="18"/>
    </row>
    <row r="41" spans="1:21">
      <c r="D41" s="20"/>
      <c r="F41" s="20"/>
      <c r="G41" s="20"/>
      <c r="H41" s="46"/>
      <c r="K41" s="20"/>
      <c r="L41" s="20"/>
      <c r="M41" s="24"/>
      <c r="N41" s="24"/>
      <c r="O41" s="46"/>
      <c r="P41" s="20"/>
    </row>
    <row r="42" spans="1:21">
      <c r="A42" s="50"/>
      <c r="D42" s="20"/>
      <c r="F42" s="20"/>
      <c r="G42" s="20"/>
      <c r="K42" s="20"/>
      <c r="L42" s="20"/>
      <c r="M42" s="24"/>
      <c r="N42" s="24"/>
      <c r="P42" s="20"/>
      <c r="Q42" s="46"/>
      <c r="S42" s="46"/>
      <c r="T42" s="20"/>
      <c r="U42" s="20"/>
    </row>
    <row r="43" spans="1:21">
      <c r="A43" s="50"/>
      <c r="D43" s="20"/>
      <c r="F43" s="20"/>
      <c r="G43" s="20"/>
      <c r="H43" s="46"/>
      <c r="K43" s="20"/>
      <c r="L43" s="20"/>
      <c r="M43" s="96"/>
      <c r="N43" s="24"/>
      <c r="O43" s="46"/>
      <c r="P43" s="20"/>
      <c r="Q43" s="46"/>
      <c r="S43" s="46"/>
      <c r="T43" s="20"/>
      <c r="U43" s="20"/>
    </row>
    <row r="44" spans="1:21">
      <c r="A44" s="50"/>
      <c r="C44" s="50"/>
      <c r="D44" s="20"/>
      <c r="F44" s="20"/>
      <c r="G44" s="20"/>
      <c r="M44" s="97"/>
      <c r="N44" s="18"/>
    </row>
    <row r="45" spans="1:21">
      <c r="A45" s="50"/>
      <c r="C45" s="50"/>
      <c r="D45" s="20"/>
      <c r="F45" s="20"/>
      <c r="G45" s="20"/>
    </row>
    <row r="46" spans="1:21">
      <c r="D46" s="20"/>
      <c r="F46" s="20"/>
      <c r="G46" s="20"/>
      <c r="K46" s="89"/>
      <c r="L46" s="89"/>
      <c r="N46" s="89"/>
      <c r="P46" s="89"/>
      <c r="T46" s="89"/>
    </row>
    <row r="47" spans="1:21">
      <c r="A47" s="50"/>
      <c r="D47" s="20"/>
      <c r="F47" s="20"/>
      <c r="G47" s="20"/>
    </row>
    <row r="48" spans="1:21">
      <c r="C48" s="57"/>
      <c r="E48" s="20"/>
      <c r="G48" s="20"/>
    </row>
    <row r="49" spans="1:23">
      <c r="A49" s="50"/>
      <c r="C49" s="50"/>
      <c r="E49" s="20"/>
      <c r="F49" s="46"/>
      <c r="G49" s="20"/>
      <c r="H49" s="46"/>
      <c r="K49" s="46"/>
      <c r="L49" s="70"/>
      <c r="M49" s="46"/>
      <c r="N49" s="70"/>
      <c r="O49" s="46"/>
      <c r="P49" s="70"/>
      <c r="Q49" s="46"/>
      <c r="S49" s="46"/>
      <c r="T49" s="20"/>
      <c r="V49" s="50"/>
    </row>
    <row r="50" spans="1:23">
      <c r="C50" s="50"/>
      <c r="D50" s="46"/>
      <c r="E50" s="20"/>
      <c r="F50" s="46"/>
      <c r="G50" s="20"/>
      <c r="H50" s="46"/>
      <c r="K50" s="46"/>
      <c r="L50" s="70"/>
      <c r="M50" s="46"/>
      <c r="N50" s="70"/>
      <c r="O50" s="46"/>
      <c r="P50" s="70"/>
      <c r="Q50" s="46"/>
      <c r="S50" s="46"/>
      <c r="T50" s="20"/>
    </row>
    <row r="51" spans="1:23">
      <c r="D51" s="46"/>
      <c r="V51" s="50"/>
    </row>
    <row r="52" spans="1:23">
      <c r="V52" s="70"/>
      <c r="W52" s="20"/>
    </row>
    <row r="53" spans="1:23">
      <c r="V53" s="70"/>
      <c r="W53" s="20"/>
    </row>
    <row r="56" spans="1:23">
      <c r="V56" s="89"/>
    </row>
    <row r="58" spans="1:23">
      <c r="S58" s="20"/>
      <c r="T58" s="20"/>
    </row>
    <row r="59" spans="1:23">
      <c r="E59" s="70"/>
      <c r="R59" s="70"/>
      <c r="S59" s="20"/>
      <c r="T59" s="20"/>
    </row>
    <row r="62" spans="1:23">
      <c r="R62" s="89"/>
    </row>
    <row r="63" spans="1:23">
      <c r="R63" s="70"/>
    </row>
    <row r="64" spans="1:23">
      <c r="R64" s="70"/>
    </row>
    <row r="65" spans="1:18">
      <c r="R65" s="70"/>
    </row>
    <row r="67" spans="1:18">
      <c r="A67" s="50"/>
    </row>
    <row r="68" spans="1:18">
      <c r="A68" s="50"/>
      <c r="C68" s="50"/>
      <c r="G68" s="89"/>
      <c r="I68" s="89"/>
      <c r="J68" s="89"/>
      <c r="L68" s="89"/>
      <c r="N68" s="89"/>
      <c r="P68" s="89"/>
      <c r="R68" s="89"/>
    </row>
    <row r="69" spans="1:18">
      <c r="G69" s="70"/>
      <c r="R69" s="70"/>
    </row>
    <row r="70" spans="1:18">
      <c r="A70" s="50"/>
    </row>
    <row r="71" spans="1:18">
      <c r="A71" s="50"/>
    </row>
    <row r="72" spans="1:18">
      <c r="A72" s="50"/>
    </row>
    <row r="73" spans="1:18">
      <c r="A73" s="50"/>
    </row>
    <row r="75" spans="1:18">
      <c r="A75" s="50"/>
    </row>
    <row r="76" spans="1:18">
      <c r="A76" s="50"/>
    </row>
    <row r="79" spans="1:18">
      <c r="A79" s="50"/>
    </row>
    <row r="80" spans="1:18">
      <c r="C80" s="50"/>
    </row>
    <row r="86" spans="7:18">
      <c r="G86" s="70"/>
      <c r="I86" s="70"/>
      <c r="J86" s="70"/>
      <c r="L86" s="70"/>
      <c r="N86" s="70"/>
      <c r="P86" s="70"/>
      <c r="R86" s="70"/>
    </row>
    <row r="87" spans="7:18">
      <c r="G87" s="70"/>
      <c r="I87" s="70"/>
      <c r="J87" s="70"/>
      <c r="L87" s="70"/>
      <c r="N87" s="70"/>
      <c r="P87" s="70"/>
      <c r="R87" s="70"/>
    </row>
    <row r="88" spans="7:18">
      <c r="G88" s="70"/>
      <c r="I88" s="70"/>
      <c r="J88" s="70"/>
      <c r="L88" s="70"/>
      <c r="N88" s="70"/>
      <c r="P88" s="70"/>
      <c r="R88" s="70"/>
    </row>
    <row r="89" spans="7:18">
      <c r="G89" s="70"/>
      <c r="I89" s="70"/>
      <c r="J89" s="70"/>
      <c r="L89" s="70"/>
      <c r="N89" s="70"/>
      <c r="P89" s="70"/>
      <c r="R89" s="70"/>
    </row>
    <row r="90" spans="7:18">
      <c r="G90" s="70"/>
      <c r="I90" s="70"/>
      <c r="J90" s="70"/>
      <c r="L90" s="70"/>
      <c r="N90" s="70"/>
      <c r="P90" s="70"/>
      <c r="R90" s="70"/>
    </row>
    <row r="91" spans="7:18">
      <c r="G91" s="70"/>
      <c r="I91" s="70"/>
      <c r="J91" s="70"/>
      <c r="L91" s="70"/>
      <c r="N91" s="70"/>
      <c r="P91" s="70"/>
      <c r="R91" s="70"/>
    </row>
    <row r="92" spans="7:18">
      <c r="G92" s="70"/>
      <c r="I92" s="70"/>
      <c r="J92" s="70"/>
      <c r="L92" s="70"/>
      <c r="N92" s="70"/>
      <c r="P92" s="70"/>
      <c r="R92" s="70"/>
    </row>
    <row r="93" spans="7:18">
      <c r="G93" s="70"/>
      <c r="I93" s="70"/>
      <c r="J93" s="70"/>
      <c r="L93" s="70"/>
      <c r="N93" s="70"/>
      <c r="P93" s="70"/>
      <c r="R93" s="70"/>
    </row>
    <row r="94" spans="7:18">
      <c r="G94" s="70"/>
      <c r="I94" s="70"/>
      <c r="J94" s="70"/>
      <c r="L94" s="70"/>
      <c r="N94" s="70"/>
      <c r="P94" s="70"/>
      <c r="R94" s="70"/>
    </row>
    <row r="95" spans="7:18">
      <c r="G95" s="70"/>
      <c r="I95" s="70"/>
      <c r="J95" s="70"/>
      <c r="L95" s="70"/>
      <c r="N95" s="70"/>
      <c r="P95" s="70"/>
      <c r="R95" s="70"/>
    </row>
  </sheetData>
  <mergeCells count="5">
    <mergeCell ref="A1:O1"/>
    <mergeCell ref="A2:O2"/>
    <mergeCell ref="A3:O3"/>
    <mergeCell ref="A4:O4"/>
    <mergeCell ref="A5:O5"/>
  </mergeCells>
  <printOptions horizontalCentered="1"/>
  <pageMargins left="0.38" right="0.5" top="0.75" bottom="0.5" header="0.25" footer="0.5"/>
  <pageSetup scale="78" orientation="landscape" verticalDpi="300" r:id="rId1"/>
  <headerFooter alignWithMargins="0">
    <oddHeader>&amp;R&amp;9CASE NO. 2018-00281
ATTACHMENT 1
TO STAFF DR NO. 1-46
(SUPPLEMENT 03-29-19)</oddHeader>
    <oddFooter>&amp;RSchedule 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7"/>
  <sheetViews>
    <sheetView view="pageBreakPreview" zoomScale="80" zoomScaleNormal="80" zoomScaleSheetLayoutView="80" workbookViewId="0">
      <pane ySplit="11" topLeftCell="A12" activePane="bottomLeft" state="frozen"/>
      <selection sqref="A1:J1"/>
      <selection pane="bottomLeft" activeCell="A12" sqref="A12"/>
    </sheetView>
  </sheetViews>
  <sheetFormatPr defaultColWidth="8.44140625" defaultRowHeight="15.75" customHeight="1"/>
  <cols>
    <col min="1" max="1" width="4.77734375" style="98" customWidth="1"/>
    <col min="2" max="2" width="11.88671875" style="98" customWidth="1"/>
    <col min="3" max="3" width="49.109375" style="98" customWidth="1"/>
    <col min="4" max="4" width="15.5546875" style="98" customWidth="1"/>
    <col min="5" max="5" width="7.21875" style="98" customWidth="1"/>
    <col min="6" max="6" width="11.44140625" style="98" bestFit="1" customWidth="1"/>
    <col min="7" max="7" width="10" style="98" bestFit="1" customWidth="1"/>
    <col min="8" max="8" width="10.21875" style="98" customWidth="1"/>
    <col min="9" max="16384" width="8.44140625" style="98"/>
  </cols>
  <sheetData>
    <row r="1" spans="1:7" ht="15.75" customHeight="1">
      <c r="A1" s="278" t="s">
        <v>360</v>
      </c>
      <c r="B1" s="278"/>
      <c r="C1" s="278"/>
      <c r="D1" s="278"/>
    </row>
    <row r="2" spans="1:7" ht="15.75" customHeight="1">
      <c r="A2" s="278" t="s">
        <v>361</v>
      </c>
      <c r="B2" s="278"/>
      <c r="C2" s="278"/>
      <c r="D2" s="278"/>
    </row>
    <row r="3" spans="1:7" ht="15.75" customHeight="1">
      <c r="A3" s="278" t="s">
        <v>63</v>
      </c>
      <c r="B3" s="278"/>
      <c r="C3" s="278"/>
      <c r="D3" s="278"/>
    </row>
    <row r="4" spans="1:7" ht="15.75" customHeight="1">
      <c r="A4" s="278" t="s">
        <v>363</v>
      </c>
      <c r="B4" s="278"/>
      <c r="C4" s="278"/>
      <c r="D4" s="278"/>
    </row>
    <row r="5" spans="1:7" ht="15.75" customHeight="1">
      <c r="A5" s="99"/>
      <c r="B5" s="99"/>
      <c r="C5" s="100"/>
      <c r="D5" s="100"/>
    </row>
    <row r="6" spans="1:7" ht="15.75" customHeight="1">
      <c r="A6" s="101" t="s">
        <v>64</v>
      </c>
      <c r="D6" s="102" t="s">
        <v>65</v>
      </c>
    </row>
    <row r="7" spans="1:7" ht="15.75" customHeight="1">
      <c r="A7" s="3" t="s">
        <v>3</v>
      </c>
      <c r="D7" s="103" t="s">
        <v>66</v>
      </c>
    </row>
    <row r="8" spans="1:7" ht="15.75" customHeight="1">
      <c r="A8" s="104" t="s">
        <v>5</v>
      </c>
      <c r="B8" s="105"/>
      <c r="C8" s="105"/>
      <c r="D8" s="106" t="str">
        <f>'C.1'!J9</f>
        <v>Witness: Waller, Densman</v>
      </c>
    </row>
    <row r="9" spans="1:7" ht="15.75" customHeight="1">
      <c r="D9" s="107"/>
    </row>
    <row r="10" spans="1:7" ht="15.75" customHeight="1">
      <c r="A10" s="108" t="s">
        <v>9</v>
      </c>
      <c r="B10" s="107" t="s">
        <v>67</v>
      </c>
      <c r="C10" s="108" t="s">
        <v>67</v>
      </c>
      <c r="D10" s="107" t="s">
        <v>68</v>
      </c>
    </row>
    <row r="11" spans="1:7" ht="15.75" customHeight="1">
      <c r="A11" s="109" t="s">
        <v>12</v>
      </c>
      <c r="B11" s="110" t="s">
        <v>69</v>
      </c>
      <c r="C11" s="109" t="s">
        <v>70</v>
      </c>
      <c r="D11" s="110" t="s">
        <v>71</v>
      </c>
    </row>
    <row r="12" spans="1:7" ht="15.75" customHeight="1">
      <c r="D12" s="107" t="s">
        <v>72</v>
      </c>
    </row>
    <row r="13" spans="1:7" ht="15.75" customHeight="1">
      <c r="A13" s="107">
        <v>1</v>
      </c>
      <c r="B13" s="111"/>
      <c r="C13" s="112" t="s">
        <v>73</v>
      </c>
    </row>
    <row r="14" spans="1:7" ht="15.75" customHeight="1">
      <c r="A14" s="107">
        <f>A13+1</f>
        <v>2</v>
      </c>
      <c r="B14" s="111"/>
      <c r="C14" s="112" t="s">
        <v>74</v>
      </c>
      <c r="D14" s="113"/>
    </row>
    <row r="15" spans="1:7" ht="15.75" customHeight="1">
      <c r="A15" s="107">
        <f t="shared" ref="A15:A78" si="0">A14+1</f>
        <v>3</v>
      </c>
      <c r="B15" s="114">
        <v>4800</v>
      </c>
      <c r="C15" s="115" t="s">
        <v>75</v>
      </c>
      <c r="D15" s="116">
        <f>-'C.2.2 B 09'!R18</f>
        <v>104140252.17000003</v>
      </c>
      <c r="F15" s="117"/>
      <c r="G15" s="117"/>
    </row>
    <row r="16" spans="1:7" ht="15.75" customHeight="1">
      <c r="A16" s="107">
        <f t="shared" si="0"/>
        <v>4</v>
      </c>
      <c r="B16" s="118">
        <v>4805</v>
      </c>
      <c r="C16" s="119" t="s">
        <v>76</v>
      </c>
      <c r="D16" s="120">
        <f>-'C.2.2 B 09'!R19</f>
        <v>-1203269.9999999991</v>
      </c>
      <c r="F16" s="117"/>
      <c r="G16" s="117"/>
    </row>
    <row r="17" spans="1:8" ht="15.75" customHeight="1">
      <c r="A17" s="107">
        <f t="shared" si="0"/>
        <v>5</v>
      </c>
      <c r="B17" s="118">
        <v>4811</v>
      </c>
      <c r="C17" s="119" t="s">
        <v>77</v>
      </c>
      <c r="D17" s="120">
        <f>-'C.2.2 B 09'!R20</f>
        <v>44941378.350000001</v>
      </c>
      <c r="F17" s="117"/>
      <c r="G17" s="117"/>
    </row>
    <row r="18" spans="1:8" ht="15.75" customHeight="1">
      <c r="A18" s="107">
        <f t="shared" si="0"/>
        <v>6</v>
      </c>
      <c r="B18" s="118">
        <v>4812</v>
      </c>
      <c r="C18" s="119" t="s">
        <v>78</v>
      </c>
      <c r="D18" s="120">
        <f>-'C.2.2 B 09'!R21</f>
        <v>6556064.4399999995</v>
      </c>
      <c r="F18" s="117"/>
      <c r="G18" s="117"/>
    </row>
    <row r="19" spans="1:8" ht="15.75" customHeight="1">
      <c r="A19" s="107">
        <f t="shared" si="0"/>
        <v>7</v>
      </c>
      <c r="B19" s="118">
        <v>4815</v>
      </c>
      <c r="C19" s="119" t="s">
        <v>79</v>
      </c>
      <c r="D19" s="120">
        <f>-'C.2.2 B 09'!R22</f>
        <v>-381550.36999999988</v>
      </c>
      <c r="F19" s="117"/>
      <c r="G19" s="117"/>
    </row>
    <row r="20" spans="1:8" ht="15.75" customHeight="1">
      <c r="A20" s="107">
        <f t="shared" si="0"/>
        <v>8</v>
      </c>
      <c r="B20" s="118">
        <v>4816</v>
      </c>
      <c r="C20" s="119" t="s">
        <v>80</v>
      </c>
      <c r="D20" s="120">
        <f>-'C.2.2 B 09'!R23</f>
        <v>252796.27999999985</v>
      </c>
      <c r="F20" s="117"/>
      <c r="G20" s="117"/>
    </row>
    <row r="21" spans="1:8" ht="15.75" customHeight="1">
      <c r="A21" s="107">
        <f t="shared" si="0"/>
        <v>9</v>
      </c>
      <c r="B21" s="118">
        <v>4820</v>
      </c>
      <c r="C21" s="119" t="s">
        <v>81</v>
      </c>
      <c r="D21" s="120">
        <f>-'C.2.2 B 09'!R24</f>
        <v>7381197.1900000013</v>
      </c>
      <c r="F21" s="117"/>
      <c r="G21" s="117"/>
    </row>
    <row r="22" spans="1:8" ht="15.75" customHeight="1">
      <c r="A22" s="107">
        <f t="shared" si="0"/>
        <v>10</v>
      </c>
      <c r="B22" s="118">
        <v>4825</v>
      </c>
      <c r="C22" s="119" t="s">
        <v>82</v>
      </c>
      <c r="D22" s="121">
        <f>-'C.2.2 B 09'!R25</f>
        <v>-102757.12</v>
      </c>
      <c r="F22" s="117"/>
      <c r="G22" s="117"/>
    </row>
    <row r="23" spans="1:8" ht="15.75" customHeight="1">
      <c r="A23" s="107">
        <f t="shared" si="0"/>
        <v>11</v>
      </c>
      <c r="B23" s="107"/>
      <c r="C23" s="108" t="s">
        <v>83</v>
      </c>
      <c r="D23" s="116">
        <f>SUM(D15:D22)</f>
        <v>161584110.94000003</v>
      </c>
    </row>
    <row r="24" spans="1:8" ht="15.75" customHeight="1">
      <c r="A24" s="107">
        <f t="shared" si="0"/>
        <v>12</v>
      </c>
      <c r="B24" s="107"/>
      <c r="D24" s="113"/>
    </row>
    <row r="25" spans="1:8" ht="15.75" customHeight="1">
      <c r="A25" s="107">
        <f t="shared" si="0"/>
        <v>13</v>
      </c>
      <c r="B25" s="122"/>
      <c r="C25" s="112" t="s">
        <v>84</v>
      </c>
      <c r="D25" s="123"/>
    </row>
    <row r="26" spans="1:8" ht="15.75" customHeight="1">
      <c r="A26" s="107">
        <f t="shared" si="0"/>
        <v>14</v>
      </c>
      <c r="B26" s="114">
        <v>4870</v>
      </c>
      <c r="C26" s="115" t="s">
        <v>85</v>
      </c>
      <c r="D26" s="116">
        <f>-'C.2.2 B 09'!R26</f>
        <v>1373536.7699999998</v>
      </c>
    </row>
    <row r="27" spans="1:8" ht="15.75" customHeight="1">
      <c r="A27" s="107">
        <f t="shared" si="0"/>
        <v>15</v>
      </c>
      <c r="B27" s="114">
        <v>4880</v>
      </c>
      <c r="C27" s="115" t="s">
        <v>86</v>
      </c>
      <c r="D27" s="120">
        <f>-'C.2.2 B 09'!R27</f>
        <v>783570.45</v>
      </c>
    </row>
    <row r="28" spans="1:8" ht="15.75" customHeight="1">
      <c r="A28" s="107">
        <f t="shared" si="0"/>
        <v>16</v>
      </c>
      <c r="B28" s="124">
        <v>4893</v>
      </c>
      <c r="C28" s="125" t="s">
        <v>87</v>
      </c>
      <c r="D28" s="120">
        <f>-'C.2.2 B 09'!R28</f>
        <v>18537372.689999998</v>
      </c>
      <c r="F28" s="126"/>
    </row>
    <row r="29" spans="1:8" ht="15.75" customHeight="1">
      <c r="A29" s="107">
        <f t="shared" si="0"/>
        <v>17</v>
      </c>
      <c r="B29" s="114">
        <v>4950</v>
      </c>
      <c r="C29" s="115" t="s">
        <v>88</v>
      </c>
      <c r="D29" s="120">
        <f>-'C.2.2 B 09'!R29</f>
        <v>1.19</v>
      </c>
      <c r="F29" s="113"/>
      <c r="G29" s="113"/>
      <c r="H29" s="126"/>
    </row>
    <row r="30" spans="1:8" ht="15.75" customHeight="1">
      <c r="A30" s="107"/>
      <c r="B30" s="114">
        <v>4960</v>
      </c>
      <c r="C30" s="115" t="s">
        <v>89</v>
      </c>
      <c r="D30" s="120">
        <f>-'C.2.2 B 09'!R30</f>
        <v>-1424110.99</v>
      </c>
      <c r="F30" s="113"/>
      <c r="G30" s="113"/>
      <c r="H30" s="126"/>
    </row>
    <row r="31" spans="1:8" ht="15.75" customHeight="1">
      <c r="A31" s="107">
        <f>A29+1</f>
        <v>18</v>
      </c>
      <c r="B31" s="122"/>
      <c r="C31" s="108" t="s">
        <v>90</v>
      </c>
      <c r="D31" s="127">
        <f>SUM(D26:D30)</f>
        <v>19270370.109999999</v>
      </c>
    </row>
    <row r="32" spans="1:8" ht="15.75" customHeight="1">
      <c r="A32" s="107">
        <f t="shared" si="0"/>
        <v>19</v>
      </c>
      <c r="B32" s="122"/>
      <c r="D32" s="123"/>
      <c r="F32" s="128"/>
      <c r="G32" s="113"/>
    </row>
    <row r="33" spans="1:8" ht="15.75" customHeight="1">
      <c r="A33" s="107">
        <f t="shared" si="0"/>
        <v>20</v>
      </c>
      <c r="B33" s="107"/>
      <c r="C33" s="108" t="s">
        <v>91</v>
      </c>
      <c r="D33" s="116">
        <f>D23+D31</f>
        <v>180854481.05000001</v>
      </c>
      <c r="E33" s="129"/>
      <c r="F33" s="113"/>
      <c r="G33" s="113"/>
      <c r="H33" s="126"/>
    </row>
    <row r="34" spans="1:8" ht="15.75" customHeight="1">
      <c r="A34" s="107">
        <f t="shared" si="0"/>
        <v>21</v>
      </c>
      <c r="B34" s="122"/>
      <c r="D34" s="123"/>
      <c r="F34" s="113"/>
      <c r="G34" s="113"/>
    </row>
    <row r="35" spans="1:8" ht="15.75" customHeight="1">
      <c r="A35" s="107">
        <f t="shared" si="0"/>
        <v>22</v>
      </c>
      <c r="B35" s="122"/>
      <c r="C35" s="112" t="s">
        <v>92</v>
      </c>
      <c r="D35" s="123"/>
    </row>
    <row r="36" spans="1:8" ht="15.75" customHeight="1">
      <c r="A36" s="107">
        <f t="shared" si="0"/>
        <v>23</v>
      </c>
      <c r="B36" s="122"/>
      <c r="C36" s="130" t="s">
        <v>93</v>
      </c>
      <c r="D36" s="131"/>
    </row>
    <row r="37" spans="1:8" ht="15.75" customHeight="1">
      <c r="A37" s="107">
        <f t="shared" si="0"/>
        <v>24</v>
      </c>
      <c r="B37" s="132">
        <v>7560</v>
      </c>
      <c r="C37" s="115" t="s">
        <v>94</v>
      </c>
      <c r="D37" s="133">
        <f>'C.2.2 B 09'!R31</f>
        <v>0</v>
      </c>
    </row>
    <row r="38" spans="1:8" ht="15.75" customHeight="1">
      <c r="A38" s="107">
        <f t="shared" si="0"/>
        <v>25</v>
      </c>
      <c r="B38" s="132">
        <v>7590</v>
      </c>
      <c r="C38" s="115" t="s">
        <v>95</v>
      </c>
      <c r="D38" s="121">
        <f>'C.2.2 B 09'!R32</f>
        <v>0</v>
      </c>
    </row>
    <row r="39" spans="1:8" ht="15.75" customHeight="1">
      <c r="A39" s="107">
        <f t="shared" si="0"/>
        <v>26</v>
      </c>
      <c r="B39" s="122"/>
      <c r="C39" s="134" t="s">
        <v>96</v>
      </c>
      <c r="D39" s="116">
        <f>SUM(D37:D38)</f>
        <v>0</v>
      </c>
    </row>
    <row r="40" spans="1:8" ht="15.75" customHeight="1">
      <c r="A40" s="107">
        <f t="shared" si="0"/>
        <v>27</v>
      </c>
      <c r="B40" s="122"/>
      <c r="C40" s="134"/>
      <c r="D40" s="116"/>
    </row>
    <row r="41" spans="1:8" ht="15.75" customHeight="1">
      <c r="A41" s="107">
        <f t="shared" si="0"/>
        <v>28</v>
      </c>
      <c r="B41" s="122"/>
      <c r="C41" s="130" t="s">
        <v>97</v>
      </c>
      <c r="D41" s="120"/>
    </row>
    <row r="42" spans="1:8" ht="15.75" customHeight="1">
      <c r="A42" s="107">
        <f t="shared" si="0"/>
        <v>29</v>
      </c>
      <c r="B42" s="132">
        <v>7610</v>
      </c>
      <c r="C42" s="115" t="s">
        <v>98</v>
      </c>
      <c r="D42" s="135">
        <v>0</v>
      </c>
    </row>
    <row r="43" spans="1:8" ht="15.75" customHeight="1">
      <c r="A43" s="107">
        <f t="shared" si="0"/>
        <v>30</v>
      </c>
      <c r="B43" s="122"/>
      <c r="C43" s="101"/>
      <c r="D43" s="116">
        <f>SUM(D42)</f>
        <v>0</v>
      </c>
    </row>
    <row r="44" spans="1:8" ht="15.75" customHeight="1">
      <c r="A44" s="107">
        <f t="shared" si="0"/>
        <v>31</v>
      </c>
      <c r="B44" s="122"/>
      <c r="C44" s="130" t="s">
        <v>99</v>
      </c>
      <c r="D44" s="131"/>
    </row>
    <row r="45" spans="1:8" ht="15.75" customHeight="1">
      <c r="A45" s="107">
        <f t="shared" si="0"/>
        <v>32</v>
      </c>
      <c r="B45" s="132">
        <v>8140</v>
      </c>
      <c r="C45" s="115" t="s">
        <v>100</v>
      </c>
      <c r="D45" s="136">
        <f>'C.2.2 B 09'!R48</f>
        <v>0</v>
      </c>
    </row>
    <row r="46" spans="1:8" ht="15.75" customHeight="1">
      <c r="A46" s="107">
        <f t="shared" si="0"/>
        <v>33</v>
      </c>
      <c r="B46" s="132">
        <v>8150</v>
      </c>
      <c r="C46" s="115" t="s">
        <v>101</v>
      </c>
      <c r="D46" s="133">
        <v>0</v>
      </c>
    </row>
    <row r="47" spans="1:8" ht="15.75" customHeight="1">
      <c r="A47" s="107">
        <f t="shared" si="0"/>
        <v>34</v>
      </c>
      <c r="B47" s="132">
        <v>8160</v>
      </c>
      <c r="C47" s="115" t="s">
        <v>102</v>
      </c>
      <c r="D47" s="133">
        <f>'C.2.2 B 09'!R49</f>
        <v>434474.25000000006</v>
      </c>
    </row>
    <row r="48" spans="1:8" ht="15.75" customHeight="1">
      <c r="A48" s="107">
        <f t="shared" si="0"/>
        <v>35</v>
      </c>
      <c r="B48" s="132">
        <v>8170</v>
      </c>
      <c r="C48" s="115" t="s">
        <v>103</v>
      </c>
      <c r="D48" s="133">
        <f>'C.2.2 B 09'!R50</f>
        <v>32250.74</v>
      </c>
    </row>
    <row r="49" spans="1:4" ht="15.75" customHeight="1">
      <c r="A49" s="107">
        <f t="shared" si="0"/>
        <v>36</v>
      </c>
      <c r="B49" s="132">
        <v>8180</v>
      </c>
      <c r="C49" s="115" t="s">
        <v>104</v>
      </c>
      <c r="D49" s="133">
        <f>'C.2.2 B 09'!R51</f>
        <v>35243.47</v>
      </c>
    </row>
    <row r="50" spans="1:4" ht="15.75" customHeight="1">
      <c r="A50" s="107">
        <f t="shared" si="0"/>
        <v>37</v>
      </c>
      <c r="B50" s="137">
        <v>8190</v>
      </c>
      <c r="C50" s="138" t="s">
        <v>105</v>
      </c>
      <c r="D50" s="133">
        <f>'C.2.2 B 09'!R52</f>
        <v>1039.6000000000001</v>
      </c>
    </row>
    <row r="51" spans="1:4" ht="15.75" customHeight="1">
      <c r="A51" s="107">
        <f t="shared" si="0"/>
        <v>38</v>
      </c>
      <c r="B51" s="137">
        <v>8200</v>
      </c>
      <c r="C51" s="138" t="s">
        <v>106</v>
      </c>
      <c r="D51" s="133">
        <f>'C.2.2 B 09'!R53</f>
        <v>6873.4499999999989</v>
      </c>
    </row>
    <row r="52" spans="1:4" ht="15.75" customHeight="1">
      <c r="A52" s="107">
        <f t="shared" si="0"/>
        <v>39</v>
      </c>
      <c r="B52" s="137">
        <v>8210</v>
      </c>
      <c r="C52" s="138" t="s">
        <v>107</v>
      </c>
      <c r="D52" s="133">
        <f>'C.2.2 B 09'!R54</f>
        <v>50443.05</v>
      </c>
    </row>
    <row r="53" spans="1:4" ht="15.75" customHeight="1">
      <c r="A53" s="107">
        <f t="shared" si="0"/>
        <v>40</v>
      </c>
      <c r="B53" s="137">
        <v>8240</v>
      </c>
      <c r="C53" s="138" t="s">
        <v>108</v>
      </c>
      <c r="D53" s="133">
        <f>'C.2.2 B 09'!R55</f>
        <v>0</v>
      </c>
    </row>
    <row r="54" spans="1:4" ht="15.75" customHeight="1">
      <c r="A54" s="107">
        <f t="shared" si="0"/>
        <v>41</v>
      </c>
      <c r="B54" s="137">
        <v>8250</v>
      </c>
      <c r="C54" s="138" t="s">
        <v>109</v>
      </c>
      <c r="D54" s="121">
        <f>'C.2.2 B 09'!R56</f>
        <v>9841.1099999999988</v>
      </c>
    </row>
    <row r="55" spans="1:4" ht="15.75" customHeight="1">
      <c r="A55" s="107">
        <f t="shared" si="0"/>
        <v>42</v>
      </c>
      <c r="B55" s="122"/>
      <c r="C55" s="134" t="s">
        <v>110</v>
      </c>
      <c r="D55" s="116">
        <f>SUM(D45:D54)</f>
        <v>570165.67000000004</v>
      </c>
    </row>
    <row r="56" spans="1:4" ht="15.75" customHeight="1">
      <c r="A56" s="107">
        <f t="shared" si="0"/>
        <v>43</v>
      </c>
      <c r="B56" s="122"/>
      <c r="C56" s="101"/>
      <c r="D56" s="120"/>
    </row>
    <row r="57" spans="1:4" ht="15.75" customHeight="1">
      <c r="A57" s="107">
        <f t="shared" si="0"/>
        <v>44</v>
      </c>
      <c r="B57" s="122"/>
      <c r="C57" s="130" t="s">
        <v>111</v>
      </c>
      <c r="D57" s="120"/>
    </row>
    <row r="58" spans="1:4" ht="15.75" customHeight="1">
      <c r="A58" s="107">
        <f t="shared" si="0"/>
        <v>45</v>
      </c>
      <c r="B58" s="137">
        <v>8310</v>
      </c>
      <c r="C58" s="138" t="s">
        <v>112</v>
      </c>
      <c r="D58" s="136">
        <f>'C.2.2 B 09'!R57</f>
        <v>26909.34</v>
      </c>
    </row>
    <row r="59" spans="1:4" ht="15.75" customHeight="1">
      <c r="A59" s="107">
        <f t="shared" si="0"/>
        <v>46</v>
      </c>
      <c r="B59" s="137">
        <v>8320</v>
      </c>
      <c r="C59" s="138" t="s">
        <v>113</v>
      </c>
      <c r="D59" s="133">
        <v>0</v>
      </c>
    </row>
    <row r="60" spans="1:4" ht="15.75" customHeight="1">
      <c r="A60" s="107">
        <f t="shared" si="0"/>
        <v>47</v>
      </c>
      <c r="B60" s="137">
        <v>8340</v>
      </c>
      <c r="C60" s="138" t="s">
        <v>114</v>
      </c>
      <c r="D60" s="133">
        <f>'C.2.2 B 09'!R58</f>
        <v>3962.0299999999997</v>
      </c>
    </row>
    <row r="61" spans="1:4" ht="15.75" customHeight="1">
      <c r="A61" s="107">
        <f t="shared" si="0"/>
        <v>48</v>
      </c>
      <c r="B61" s="137">
        <v>8350</v>
      </c>
      <c r="C61" s="138" t="s">
        <v>115</v>
      </c>
      <c r="D61" s="133">
        <f>'C.2.2 B 09'!R59</f>
        <v>19.91</v>
      </c>
    </row>
    <row r="62" spans="1:4" ht="15.75" customHeight="1">
      <c r="A62" s="107">
        <f t="shared" si="0"/>
        <v>49</v>
      </c>
      <c r="B62" s="137">
        <v>8360</v>
      </c>
      <c r="C62" s="138" t="s">
        <v>116</v>
      </c>
      <c r="D62" s="133">
        <f>'C.2.2 B 09'!R60</f>
        <v>0</v>
      </c>
    </row>
    <row r="63" spans="1:4" ht="15.75" customHeight="1">
      <c r="A63" s="107">
        <f t="shared" si="0"/>
        <v>50</v>
      </c>
      <c r="B63" s="137">
        <v>8370</v>
      </c>
      <c r="C63" s="138" t="s">
        <v>117</v>
      </c>
      <c r="D63" s="133">
        <f>'C.2.2 B 09'!R61</f>
        <v>0</v>
      </c>
    </row>
    <row r="64" spans="1:4" ht="15.75" customHeight="1">
      <c r="A64" s="107">
        <f t="shared" si="0"/>
        <v>51</v>
      </c>
      <c r="B64" s="139" t="s">
        <v>118</v>
      </c>
      <c r="C64" s="138" t="s">
        <v>119</v>
      </c>
      <c r="D64" s="133">
        <f>'C.2.2 B 09'!R62</f>
        <v>108741.04000000001</v>
      </c>
    </row>
    <row r="65" spans="1:7" ht="15.75" customHeight="1">
      <c r="A65" s="107">
        <f t="shared" si="0"/>
        <v>52</v>
      </c>
      <c r="B65" s="122"/>
      <c r="C65" s="134" t="s">
        <v>120</v>
      </c>
      <c r="D65" s="127">
        <f>SUM(D58:D64)</f>
        <v>139632.32000000001</v>
      </c>
    </row>
    <row r="66" spans="1:7" ht="15.75" customHeight="1">
      <c r="A66" s="107">
        <f t="shared" si="0"/>
        <v>53</v>
      </c>
      <c r="B66" s="122"/>
      <c r="C66" s="101"/>
      <c r="D66" s="120"/>
    </row>
    <row r="67" spans="1:7" ht="15.75" customHeight="1">
      <c r="A67" s="107">
        <f t="shared" si="0"/>
        <v>54</v>
      </c>
      <c r="B67" s="122"/>
      <c r="C67" s="130" t="s">
        <v>121</v>
      </c>
      <c r="D67" s="120"/>
    </row>
    <row r="68" spans="1:7" ht="15.75" customHeight="1">
      <c r="A68" s="107">
        <f t="shared" si="0"/>
        <v>55</v>
      </c>
      <c r="B68" s="137">
        <v>8500</v>
      </c>
      <c r="C68" s="138" t="s">
        <v>100</v>
      </c>
      <c r="D68" s="136">
        <f>'C.2.2 B 09'!R63</f>
        <v>28.57</v>
      </c>
    </row>
    <row r="69" spans="1:7" ht="15.75" customHeight="1">
      <c r="A69" s="107">
        <f t="shared" si="0"/>
        <v>56</v>
      </c>
      <c r="B69" s="137">
        <v>8520</v>
      </c>
      <c r="C69" s="138" t="s">
        <v>122</v>
      </c>
      <c r="D69" s="133">
        <f>'C.2.2 B 09'!R64</f>
        <v>0</v>
      </c>
      <c r="G69" s="140"/>
    </row>
    <row r="70" spans="1:7" ht="15.75" customHeight="1">
      <c r="A70" s="107">
        <f t="shared" si="0"/>
        <v>57</v>
      </c>
      <c r="B70" s="137">
        <v>8550</v>
      </c>
      <c r="C70" s="138" t="s">
        <v>123</v>
      </c>
      <c r="D70" s="133">
        <f>'C.2.2 B 09'!R65</f>
        <v>415.74000000000007</v>
      </c>
      <c r="G70" s="140"/>
    </row>
    <row r="71" spans="1:7" ht="15.75" customHeight="1">
      <c r="A71" s="107">
        <f t="shared" si="0"/>
        <v>58</v>
      </c>
      <c r="B71" s="137">
        <v>8560</v>
      </c>
      <c r="C71" s="138" t="s">
        <v>124</v>
      </c>
      <c r="D71" s="133">
        <f>'C.2.2 B 09'!R66</f>
        <v>425187.32</v>
      </c>
    </row>
    <row r="72" spans="1:7" ht="15.75" customHeight="1">
      <c r="A72" s="107">
        <f t="shared" si="0"/>
        <v>59</v>
      </c>
      <c r="B72" s="137">
        <v>8570</v>
      </c>
      <c r="C72" s="138" t="s">
        <v>125</v>
      </c>
      <c r="D72" s="133">
        <f>'C.2.2 B 09'!R67</f>
        <v>24759.549999999996</v>
      </c>
    </row>
    <row r="73" spans="1:7" ht="15.75" customHeight="1">
      <c r="A73" s="107">
        <f t="shared" si="0"/>
        <v>60</v>
      </c>
      <c r="B73" s="137">
        <v>8590</v>
      </c>
      <c r="C73" s="138" t="s">
        <v>126</v>
      </c>
      <c r="D73" s="133">
        <v>0</v>
      </c>
    </row>
    <row r="74" spans="1:7" ht="15.75" customHeight="1">
      <c r="A74" s="107">
        <f t="shared" si="0"/>
        <v>61</v>
      </c>
      <c r="B74" s="137">
        <v>8600</v>
      </c>
      <c r="C74" s="138" t="s">
        <v>127</v>
      </c>
      <c r="D74" s="121">
        <v>0</v>
      </c>
    </row>
    <row r="75" spans="1:7" ht="15.75" customHeight="1">
      <c r="A75" s="107">
        <f t="shared" si="0"/>
        <v>62</v>
      </c>
      <c r="B75" s="122"/>
      <c r="C75" s="134" t="s">
        <v>128</v>
      </c>
      <c r="D75" s="116">
        <f>SUM(D68:D74)</f>
        <v>450391.18</v>
      </c>
    </row>
    <row r="76" spans="1:7" ht="15.75" customHeight="1">
      <c r="A76" s="107">
        <f t="shared" si="0"/>
        <v>63</v>
      </c>
      <c r="B76" s="122"/>
      <c r="C76" s="101"/>
      <c r="D76" s="120"/>
    </row>
    <row r="77" spans="1:7" ht="15.75" customHeight="1">
      <c r="A77" s="107">
        <f t="shared" si="0"/>
        <v>64</v>
      </c>
      <c r="B77" s="122"/>
      <c r="C77" s="130" t="s">
        <v>129</v>
      </c>
      <c r="D77" s="120"/>
    </row>
    <row r="78" spans="1:7" ht="15.75" customHeight="1">
      <c r="A78" s="107">
        <f t="shared" si="0"/>
        <v>65</v>
      </c>
      <c r="B78" s="137">
        <v>8620</v>
      </c>
      <c r="C78" s="138" t="s">
        <v>130</v>
      </c>
      <c r="D78" s="136">
        <v>0</v>
      </c>
    </row>
    <row r="79" spans="1:7" ht="15.75" customHeight="1">
      <c r="A79" s="107">
        <f t="shared" ref="A79:A142" si="1">A78+1</f>
        <v>66</v>
      </c>
      <c r="B79" s="137">
        <v>8630</v>
      </c>
      <c r="C79" s="138" t="s">
        <v>131</v>
      </c>
      <c r="D79" s="133">
        <f>'C.2.2 B 09'!R68</f>
        <v>28804.320000000003</v>
      </c>
    </row>
    <row r="80" spans="1:7" ht="15.75" customHeight="1">
      <c r="A80" s="107">
        <f t="shared" si="1"/>
        <v>67</v>
      </c>
      <c r="B80" s="137">
        <v>8640</v>
      </c>
      <c r="C80" s="138" t="s">
        <v>132</v>
      </c>
      <c r="D80" s="133">
        <f>'C.2.2 B 09'!R69</f>
        <v>0</v>
      </c>
    </row>
    <row r="81" spans="1:5" ht="15.75" customHeight="1">
      <c r="A81" s="107">
        <f t="shared" si="1"/>
        <v>68</v>
      </c>
      <c r="B81" s="137">
        <v>8650</v>
      </c>
      <c r="C81" s="138" t="s">
        <v>133</v>
      </c>
      <c r="D81" s="133">
        <f>'C.2.2 B 09'!R70</f>
        <v>280.58</v>
      </c>
    </row>
    <row r="82" spans="1:5" ht="15.75" customHeight="1">
      <c r="A82" s="107">
        <f t="shared" si="1"/>
        <v>69</v>
      </c>
      <c r="B82" s="137">
        <v>8670</v>
      </c>
      <c r="C82" s="138" t="s">
        <v>134</v>
      </c>
      <c r="D82" s="121">
        <v>0</v>
      </c>
    </row>
    <row r="83" spans="1:5" ht="15.75" customHeight="1">
      <c r="A83" s="107">
        <f t="shared" si="1"/>
        <v>70</v>
      </c>
      <c r="B83" s="122"/>
      <c r="C83" s="134" t="s">
        <v>135</v>
      </c>
      <c r="D83" s="116">
        <f>SUM(D78:D82)</f>
        <v>29084.900000000005</v>
      </c>
    </row>
    <row r="84" spans="1:5" ht="15.75" customHeight="1">
      <c r="A84" s="107">
        <f t="shared" si="1"/>
        <v>71</v>
      </c>
      <c r="B84" s="122"/>
      <c r="C84" s="101"/>
      <c r="D84" s="120"/>
    </row>
    <row r="85" spans="1:5" ht="15.75" customHeight="1">
      <c r="A85" s="107">
        <f t="shared" si="1"/>
        <v>72</v>
      </c>
      <c r="B85" s="122"/>
      <c r="C85" s="130" t="s">
        <v>136</v>
      </c>
      <c r="D85" s="123"/>
    </row>
    <row r="86" spans="1:5" ht="15.75" customHeight="1">
      <c r="A86" s="107">
        <f t="shared" si="1"/>
        <v>73</v>
      </c>
      <c r="B86" s="114">
        <v>8001</v>
      </c>
      <c r="C86" s="115" t="s">
        <v>137</v>
      </c>
      <c r="D86" s="136">
        <f>'C.2.2 B 09'!R33</f>
        <v>0</v>
      </c>
      <c r="E86" s="141"/>
    </row>
    <row r="87" spans="1:5" ht="15.75" customHeight="1">
      <c r="A87" s="107">
        <f t="shared" si="1"/>
        <v>74</v>
      </c>
      <c r="B87" s="114">
        <v>8010</v>
      </c>
      <c r="C87" s="142" t="s">
        <v>138</v>
      </c>
      <c r="D87" s="133">
        <f>'C.2.2 B 09'!R34</f>
        <v>67330.52</v>
      </c>
      <c r="E87" s="141"/>
    </row>
    <row r="88" spans="1:5" ht="15.75" customHeight="1">
      <c r="A88" s="107">
        <f t="shared" si="1"/>
        <v>75</v>
      </c>
      <c r="B88" s="114">
        <v>8040</v>
      </c>
      <c r="C88" s="108" t="s">
        <v>139</v>
      </c>
      <c r="D88" s="133">
        <f>'C.2.2 B 09'!R35</f>
        <v>56233271.459999993</v>
      </c>
      <c r="E88" s="141"/>
    </row>
    <row r="89" spans="1:5" ht="15.75" customHeight="1">
      <c r="A89" s="107">
        <f t="shared" si="1"/>
        <v>76</v>
      </c>
      <c r="B89" s="114">
        <v>8045</v>
      </c>
      <c r="C89" s="108" t="s">
        <v>140</v>
      </c>
      <c r="D89" s="133">
        <v>0</v>
      </c>
      <c r="E89" s="141"/>
    </row>
    <row r="90" spans="1:5" ht="15.75" customHeight="1">
      <c r="A90" s="107">
        <f t="shared" si="1"/>
        <v>77</v>
      </c>
      <c r="B90" s="114">
        <v>8050</v>
      </c>
      <c r="C90" s="115" t="s">
        <v>141</v>
      </c>
      <c r="D90" s="133">
        <f>'C.2.2 B 09'!R36</f>
        <v>-11267.03</v>
      </c>
      <c r="E90" s="141"/>
    </row>
    <row r="91" spans="1:5" ht="15.75" customHeight="1">
      <c r="A91" s="107">
        <f t="shared" si="1"/>
        <v>78</v>
      </c>
      <c r="B91" s="114">
        <v>8051</v>
      </c>
      <c r="C91" s="108" t="s">
        <v>142</v>
      </c>
      <c r="D91" s="133">
        <f>'C.2.2 B 09'!R37</f>
        <v>52922515.230000004</v>
      </c>
      <c r="E91" s="141"/>
    </row>
    <row r="92" spans="1:5" ht="15.75" customHeight="1">
      <c r="A92" s="107">
        <f t="shared" si="1"/>
        <v>79</v>
      </c>
      <c r="B92" s="114">
        <v>8052</v>
      </c>
      <c r="C92" s="108" t="s">
        <v>143</v>
      </c>
      <c r="D92" s="133">
        <f>'C.2.2 B 09'!R38</f>
        <v>26915065.560000006</v>
      </c>
      <c r="E92" s="141"/>
    </row>
    <row r="93" spans="1:5" ht="15.75" customHeight="1">
      <c r="A93" s="107">
        <f t="shared" si="1"/>
        <v>80</v>
      </c>
      <c r="B93" s="114">
        <v>8053</v>
      </c>
      <c r="C93" s="108" t="s">
        <v>144</v>
      </c>
      <c r="D93" s="133">
        <f>'C.2.2 B 09'!R39</f>
        <v>5527388.4499999993</v>
      </c>
      <c r="E93" s="141"/>
    </row>
    <row r="94" spans="1:5" ht="15.75" customHeight="1">
      <c r="A94" s="107">
        <f t="shared" si="1"/>
        <v>81</v>
      </c>
      <c r="B94" s="114">
        <v>8054</v>
      </c>
      <c r="C94" s="108" t="s">
        <v>145</v>
      </c>
      <c r="D94" s="133">
        <f>'C.2.2 B 09'!R40</f>
        <v>5048907.84</v>
      </c>
      <c r="E94" s="141"/>
    </row>
    <row r="95" spans="1:5" ht="15.75" customHeight="1">
      <c r="A95" s="107">
        <f t="shared" si="1"/>
        <v>82</v>
      </c>
      <c r="B95" s="114">
        <v>8057</v>
      </c>
      <c r="C95" s="108" t="s">
        <v>146</v>
      </c>
      <c r="D95" s="133">
        <v>0</v>
      </c>
      <c r="E95" s="141"/>
    </row>
    <row r="96" spans="1:5" ht="15.75" customHeight="1">
      <c r="A96" s="107">
        <f t="shared" si="1"/>
        <v>83</v>
      </c>
      <c r="B96" s="114">
        <v>8058</v>
      </c>
      <c r="C96" s="108" t="s">
        <v>147</v>
      </c>
      <c r="D96" s="133">
        <f>'C.2.2 B 09'!R41</f>
        <v>-1385119.1600000011</v>
      </c>
      <c r="E96" s="141"/>
    </row>
    <row r="97" spans="1:6" ht="15.75" customHeight="1">
      <c r="A97" s="107">
        <f t="shared" si="1"/>
        <v>84</v>
      </c>
      <c r="B97" s="114">
        <v>8059</v>
      </c>
      <c r="C97" s="108" t="s">
        <v>148</v>
      </c>
      <c r="D97" s="133">
        <f>'C.2.2 B 09'!R42</f>
        <v>-80918760.420000002</v>
      </c>
      <c r="E97" s="141"/>
    </row>
    <row r="98" spans="1:6" ht="15.75" customHeight="1">
      <c r="A98" s="107">
        <f t="shared" si="1"/>
        <v>85</v>
      </c>
      <c r="B98" s="114">
        <v>8060</v>
      </c>
      <c r="C98" s="108" t="s">
        <v>149</v>
      </c>
      <c r="D98" s="133">
        <f>'C.2.2 B 09'!R43</f>
        <v>661486.43999999948</v>
      </c>
      <c r="E98" s="141"/>
    </row>
    <row r="99" spans="1:6" ht="15.75" customHeight="1">
      <c r="A99" s="107">
        <f t="shared" si="1"/>
        <v>86</v>
      </c>
      <c r="B99" s="114">
        <v>8081</v>
      </c>
      <c r="C99" s="108" t="s">
        <v>150</v>
      </c>
      <c r="D99" s="133">
        <f>'C.2.2 B 09'!R44</f>
        <v>14089929.169999998</v>
      </c>
      <c r="E99" s="141"/>
    </row>
    <row r="100" spans="1:6" ht="15.75" customHeight="1">
      <c r="A100" s="107">
        <f t="shared" si="1"/>
        <v>87</v>
      </c>
      <c r="B100" s="114">
        <v>8082</v>
      </c>
      <c r="C100" s="108" t="s">
        <v>151</v>
      </c>
      <c r="D100" s="133">
        <f>'C.2.2 B 09'!R45</f>
        <v>-14902550.960000001</v>
      </c>
      <c r="E100" s="141"/>
    </row>
    <row r="101" spans="1:6" ht="15.75" customHeight="1">
      <c r="A101" s="107">
        <f t="shared" si="1"/>
        <v>88</v>
      </c>
      <c r="B101" s="114">
        <v>8110</v>
      </c>
      <c r="C101" s="108" t="s">
        <v>152</v>
      </c>
      <c r="D101" s="133">
        <v>0</v>
      </c>
      <c r="E101" s="141"/>
    </row>
    <row r="102" spans="1:6" ht="15.75" customHeight="1">
      <c r="A102" s="107">
        <f t="shared" si="1"/>
        <v>89</v>
      </c>
      <c r="B102" s="114">
        <v>8120</v>
      </c>
      <c r="C102" s="108" t="s">
        <v>153</v>
      </c>
      <c r="D102" s="133">
        <f>'C.2.2 B 09'!R46</f>
        <v>-22522.33</v>
      </c>
      <c r="E102" s="141"/>
    </row>
    <row r="103" spans="1:6" ht="15.75" customHeight="1">
      <c r="A103" s="107">
        <f t="shared" si="1"/>
        <v>90</v>
      </c>
      <c r="B103" s="114">
        <v>8130</v>
      </c>
      <c r="C103" s="108" t="s">
        <v>153</v>
      </c>
      <c r="D103" s="133">
        <v>0</v>
      </c>
      <c r="E103" s="141"/>
    </row>
    <row r="104" spans="1:6" ht="15.75" customHeight="1">
      <c r="A104" s="107">
        <f t="shared" si="1"/>
        <v>91</v>
      </c>
      <c r="B104" s="114">
        <v>8580</v>
      </c>
      <c r="C104" s="108" t="s">
        <v>154</v>
      </c>
      <c r="D104" s="121">
        <f>'C.2.2 B 09'!R47</f>
        <v>24780560.920000002</v>
      </c>
      <c r="E104" s="141"/>
      <c r="F104" s="75"/>
    </row>
    <row r="105" spans="1:6" ht="15.75" customHeight="1">
      <c r="A105" s="107">
        <f t="shared" si="1"/>
        <v>92</v>
      </c>
      <c r="B105" s="122"/>
      <c r="C105" s="143" t="s">
        <v>155</v>
      </c>
      <c r="D105" s="116">
        <f>SUM(D86:D104)</f>
        <v>89006235.689999998</v>
      </c>
      <c r="F105" s="144"/>
    </row>
    <row r="106" spans="1:6" ht="15.75" customHeight="1">
      <c r="A106" s="107">
        <f t="shared" si="1"/>
        <v>93</v>
      </c>
      <c r="B106" s="122"/>
      <c r="D106" s="131"/>
    </row>
    <row r="107" spans="1:6" ht="15.75" customHeight="1">
      <c r="A107" s="107">
        <f t="shared" si="1"/>
        <v>94</v>
      </c>
      <c r="B107" s="122"/>
      <c r="C107" s="130" t="s">
        <v>156</v>
      </c>
      <c r="D107" s="131"/>
    </row>
    <row r="108" spans="1:6" ht="15.75" customHeight="1">
      <c r="A108" s="107">
        <f t="shared" si="1"/>
        <v>95</v>
      </c>
      <c r="B108" s="114">
        <v>8700</v>
      </c>
      <c r="C108" s="115" t="s">
        <v>157</v>
      </c>
      <c r="D108" s="136">
        <f>'C.2.2 B 09'!R71</f>
        <v>1549674.0100000012</v>
      </c>
    </row>
    <row r="109" spans="1:6" ht="15.75" customHeight="1">
      <c r="A109" s="107">
        <f t="shared" si="1"/>
        <v>96</v>
      </c>
      <c r="B109" s="114">
        <v>8710</v>
      </c>
      <c r="C109" s="115" t="s">
        <v>158</v>
      </c>
      <c r="D109" s="133">
        <f>'C.2.2 B 09'!R72</f>
        <v>969.81</v>
      </c>
    </row>
    <row r="110" spans="1:6" ht="15.75" customHeight="1">
      <c r="A110" s="107">
        <f t="shared" si="1"/>
        <v>97</v>
      </c>
      <c r="B110" s="114">
        <v>8711</v>
      </c>
      <c r="C110" s="108" t="s">
        <v>159</v>
      </c>
      <c r="D110" s="133">
        <f>'C.2.2 B 09'!R73</f>
        <v>42445.58</v>
      </c>
    </row>
    <row r="111" spans="1:6" ht="15.75" customHeight="1">
      <c r="A111" s="107">
        <f t="shared" si="1"/>
        <v>98</v>
      </c>
      <c r="B111" s="114">
        <v>8720</v>
      </c>
      <c r="C111" s="115" t="s">
        <v>160</v>
      </c>
      <c r="D111" s="133">
        <f>'C.2.2 B 09'!R74</f>
        <v>0</v>
      </c>
    </row>
    <row r="112" spans="1:6" ht="15.75" customHeight="1">
      <c r="A112" s="107">
        <f t="shared" si="1"/>
        <v>99</v>
      </c>
      <c r="B112" s="114">
        <v>8740</v>
      </c>
      <c r="C112" s="115" t="s">
        <v>161</v>
      </c>
      <c r="D112" s="133">
        <f>'C.2.2 B 09'!R75</f>
        <v>5253515.9700000007</v>
      </c>
    </row>
    <row r="113" spans="1:4" ht="15.75" customHeight="1">
      <c r="A113" s="107">
        <f t="shared" si="1"/>
        <v>100</v>
      </c>
      <c r="B113" s="114">
        <v>8750</v>
      </c>
      <c r="C113" s="115" t="s">
        <v>162</v>
      </c>
      <c r="D113" s="133">
        <f>'C.2.2 B 09'!R76</f>
        <v>600716.4800000001</v>
      </c>
    </row>
    <row r="114" spans="1:4" ht="15.75" customHeight="1">
      <c r="A114" s="107">
        <f t="shared" si="1"/>
        <v>101</v>
      </c>
      <c r="B114" s="114">
        <v>8760</v>
      </c>
      <c r="C114" s="115" t="s">
        <v>163</v>
      </c>
      <c r="D114" s="133">
        <f>'C.2.2 B 09'!R77</f>
        <v>155175.59999999998</v>
      </c>
    </row>
    <row r="115" spans="1:4" ht="15.75" customHeight="1">
      <c r="A115" s="107">
        <f t="shared" si="1"/>
        <v>102</v>
      </c>
      <c r="B115" s="114">
        <v>8770</v>
      </c>
      <c r="C115" s="115" t="s">
        <v>164</v>
      </c>
      <c r="D115" s="133">
        <f>'C.2.2 B 09'!R78</f>
        <v>56817.969999999987</v>
      </c>
    </row>
    <row r="116" spans="1:4" ht="15.75" customHeight="1">
      <c r="A116" s="107">
        <f t="shared" si="1"/>
        <v>103</v>
      </c>
      <c r="B116" s="114">
        <v>8780</v>
      </c>
      <c r="C116" s="115" t="s">
        <v>165</v>
      </c>
      <c r="D116" s="133">
        <f>'C.2.2 B 09'!R79</f>
        <v>1057754.6700000002</v>
      </c>
    </row>
    <row r="117" spans="1:4" ht="15.75" customHeight="1">
      <c r="A117" s="107">
        <f t="shared" si="1"/>
        <v>104</v>
      </c>
      <c r="B117" s="114">
        <v>8790</v>
      </c>
      <c r="C117" s="115" t="s">
        <v>166</v>
      </c>
      <c r="D117" s="133">
        <f>'C.2.2 B 09'!R80</f>
        <v>2055.34</v>
      </c>
    </row>
    <row r="118" spans="1:4" ht="15.75" customHeight="1">
      <c r="A118" s="107">
        <f t="shared" si="1"/>
        <v>105</v>
      </c>
      <c r="B118" s="114">
        <v>8800</v>
      </c>
      <c r="C118" s="115" t="s">
        <v>167</v>
      </c>
      <c r="D118" s="133">
        <f>'C.2.2 B 09'!R81</f>
        <v>7990.0500000000011</v>
      </c>
    </row>
    <row r="119" spans="1:4" ht="15.75" customHeight="1">
      <c r="A119" s="107">
        <f t="shared" si="1"/>
        <v>106</v>
      </c>
      <c r="B119" s="114">
        <v>8810</v>
      </c>
      <c r="C119" s="115" t="s">
        <v>127</v>
      </c>
      <c r="D119" s="121">
        <f>'C.2.2 B 09'!R82</f>
        <v>514574.05000000005</v>
      </c>
    </row>
    <row r="120" spans="1:4" ht="15.75" customHeight="1">
      <c r="A120" s="107">
        <f t="shared" si="1"/>
        <v>107</v>
      </c>
      <c r="B120" s="122"/>
      <c r="C120" s="134" t="s">
        <v>168</v>
      </c>
      <c r="D120" s="116">
        <f>SUM(D108:D119)</f>
        <v>9241689.5300000031</v>
      </c>
    </row>
    <row r="121" spans="1:4" ht="15.75" customHeight="1">
      <c r="A121" s="107">
        <f t="shared" si="1"/>
        <v>108</v>
      </c>
      <c r="B121" s="122"/>
      <c r="C121" s="101"/>
      <c r="D121" s="120"/>
    </row>
    <row r="122" spans="1:4" ht="15.75" customHeight="1">
      <c r="A122" s="107">
        <f t="shared" si="1"/>
        <v>109</v>
      </c>
      <c r="B122" s="107"/>
      <c r="C122" s="130" t="s">
        <v>169</v>
      </c>
      <c r="D122" s="123"/>
    </row>
    <row r="123" spans="1:4" ht="15.75" customHeight="1">
      <c r="A123" s="107">
        <f t="shared" si="1"/>
        <v>110</v>
      </c>
      <c r="B123" s="114">
        <v>8850</v>
      </c>
      <c r="C123" s="115" t="s">
        <v>157</v>
      </c>
      <c r="D123" s="136">
        <f>'C.2.2 B 09'!R83</f>
        <v>1141.57</v>
      </c>
    </row>
    <row r="124" spans="1:4" ht="15.75" customHeight="1">
      <c r="A124" s="107">
        <f t="shared" si="1"/>
        <v>111</v>
      </c>
      <c r="B124" s="114">
        <v>8860</v>
      </c>
      <c r="C124" s="115" t="s">
        <v>130</v>
      </c>
      <c r="D124" s="133">
        <f>'C.2.2 B 09'!R84</f>
        <v>119.19</v>
      </c>
    </row>
    <row r="125" spans="1:4" ht="15.75" customHeight="1">
      <c r="A125" s="107">
        <f t="shared" si="1"/>
        <v>112</v>
      </c>
      <c r="B125" s="114">
        <v>8870</v>
      </c>
      <c r="C125" s="115" t="s">
        <v>131</v>
      </c>
      <c r="D125" s="133">
        <f>'C.2.2 B 09'!R85</f>
        <v>43910.619999999995</v>
      </c>
    </row>
    <row r="126" spans="1:4" ht="15.75" customHeight="1">
      <c r="A126" s="107">
        <f t="shared" si="1"/>
        <v>113</v>
      </c>
      <c r="B126" s="114">
        <v>8890</v>
      </c>
      <c r="C126" s="115" t="s">
        <v>162</v>
      </c>
      <c r="D126" s="133">
        <f>'C.2.2 B 09'!R86</f>
        <v>69570.410000000018</v>
      </c>
    </row>
    <row r="127" spans="1:4" ht="15.75" customHeight="1">
      <c r="A127" s="107">
        <f t="shared" si="1"/>
        <v>114</v>
      </c>
      <c r="B127" s="114">
        <v>8900</v>
      </c>
      <c r="C127" s="115" t="s">
        <v>163</v>
      </c>
      <c r="D127" s="133">
        <f>'C.2.2 B 09'!R87</f>
        <v>1441.2099999999998</v>
      </c>
    </row>
    <row r="128" spans="1:4" ht="15.75" customHeight="1">
      <c r="A128" s="107">
        <f t="shared" si="1"/>
        <v>115</v>
      </c>
      <c r="B128" s="114">
        <v>8910</v>
      </c>
      <c r="C128" s="115" t="s">
        <v>164</v>
      </c>
      <c r="D128" s="133">
        <f>'C.2.2 B 09'!R88</f>
        <v>1007.35</v>
      </c>
    </row>
    <row r="129" spans="1:5" ht="15.75" customHeight="1">
      <c r="A129" s="107">
        <f t="shared" si="1"/>
        <v>116</v>
      </c>
      <c r="B129" s="114">
        <v>8920</v>
      </c>
      <c r="C129" s="115" t="s">
        <v>170</v>
      </c>
      <c r="D129" s="133">
        <f>'C.2.2 B 09'!R89</f>
        <v>5467.9399999999987</v>
      </c>
    </row>
    <row r="130" spans="1:5" ht="15.75" customHeight="1">
      <c r="A130" s="107">
        <f t="shared" si="1"/>
        <v>117</v>
      </c>
      <c r="B130" s="114">
        <v>8930</v>
      </c>
      <c r="C130" s="115" t="s">
        <v>171</v>
      </c>
      <c r="D130" s="133">
        <f>'C.2.2 B 09'!R90</f>
        <v>378.49</v>
      </c>
    </row>
    <row r="131" spans="1:5" ht="15.75" customHeight="1">
      <c r="A131" s="107">
        <f t="shared" si="1"/>
        <v>118</v>
      </c>
      <c r="B131" s="114">
        <v>8940</v>
      </c>
      <c r="C131" s="115" t="s">
        <v>134</v>
      </c>
      <c r="D131" s="133">
        <f>'C.2.2 B 09'!R91</f>
        <v>12073.639999999998</v>
      </c>
    </row>
    <row r="132" spans="1:5" ht="15.75" customHeight="1">
      <c r="A132" s="107">
        <f t="shared" si="1"/>
        <v>119</v>
      </c>
      <c r="B132" s="114">
        <v>8950</v>
      </c>
      <c r="C132" s="115" t="s">
        <v>172</v>
      </c>
      <c r="D132" s="121">
        <v>0</v>
      </c>
    </row>
    <row r="133" spans="1:5" ht="15.75" customHeight="1">
      <c r="A133" s="107">
        <f t="shared" si="1"/>
        <v>120</v>
      </c>
      <c r="B133" s="122"/>
      <c r="C133" s="134" t="s">
        <v>173</v>
      </c>
      <c r="D133" s="116">
        <f>SUM(D123:D132)</f>
        <v>135110.42000000001</v>
      </c>
    </row>
    <row r="134" spans="1:5" ht="15.75" customHeight="1">
      <c r="A134" s="107">
        <f t="shared" si="1"/>
        <v>121</v>
      </c>
      <c r="B134" s="122"/>
      <c r="C134" s="134"/>
      <c r="D134" s="120"/>
    </row>
    <row r="135" spans="1:5" ht="15.75" customHeight="1">
      <c r="A135" s="107">
        <f t="shared" si="1"/>
        <v>122</v>
      </c>
      <c r="B135" s="107"/>
      <c r="C135" s="130" t="s">
        <v>174</v>
      </c>
      <c r="D135" s="123"/>
    </row>
    <row r="136" spans="1:5" ht="15.75" customHeight="1">
      <c r="A136" s="107">
        <f t="shared" si="1"/>
        <v>123</v>
      </c>
      <c r="B136" s="114">
        <v>9010</v>
      </c>
      <c r="C136" s="115" t="s">
        <v>175</v>
      </c>
      <c r="D136" s="136">
        <f>'C.2.2 B 09'!R92</f>
        <v>0</v>
      </c>
    </row>
    <row r="137" spans="1:5" ht="15.75" customHeight="1">
      <c r="A137" s="107">
        <f t="shared" si="1"/>
        <v>124</v>
      </c>
      <c r="B137" s="114">
        <v>9020</v>
      </c>
      <c r="C137" s="115" t="s">
        <v>176</v>
      </c>
      <c r="D137" s="133">
        <f>'C.2.2 B 09'!R93</f>
        <v>1221384.77</v>
      </c>
    </row>
    <row r="138" spans="1:5" ht="15.75" customHeight="1">
      <c r="A138" s="107">
        <f t="shared" si="1"/>
        <v>125</v>
      </c>
      <c r="B138" s="114">
        <v>9030</v>
      </c>
      <c r="C138" s="115" t="s">
        <v>177</v>
      </c>
      <c r="D138" s="133">
        <f>'C.2.2 B 09'!R94</f>
        <v>1326590.8299999998</v>
      </c>
    </row>
    <row r="139" spans="1:5" ht="15.75" customHeight="1">
      <c r="A139" s="107">
        <f t="shared" si="1"/>
        <v>126</v>
      </c>
      <c r="B139" s="114">
        <v>9040</v>
      </c>
      <c r="C139" s="115" t="s">
        <v>178</v>
      </c>
      <c r="D139" s="121">
        <f>'C.2.2 B 09'!R95</f>
        <v>923543.87</v>
      </c>
      <c r="E139" s="145"/>
    </row>
    <row r="140" spans="1:5" ht="15.75" customHeight="1">
      <c r="A140" s="107">
        <f t="shared" si="1"/>
        <v>127</v>
      </c>
      <c r="B140" s="107"/>
      <c r="C140" s="134" t="s">
        <v>179</v>
      </c>
      <c r="D140" s="116">
        <f>SUM(D136:D139)</f>
        <v>3471519.4699999997</v>
      </c>
    </row>
    <row r="141" spans="1:5" ht="15.75" customHeight="1">
      <c r="A141" s="107">
        <f t="shared" si="1"/>
        <v>128</v>
      </c>
      <c r="B141" s="122"/>
      <c r="C141" s="134"/>
      <c r="D141" s="120"/>
    </row>
    <row r="142" spans="1:5" ht="15.75" customHeight="1">
      <c r="A142" s="107">
        <f t="shared" si="1"/>
        <v>129</v>
      </c>
      <c r="B142" s="122"/>
      <c r="C142" s="130" t="s">
        <v>180</v>
      </c>
      <c r="D142" s="131"/>
    </row>
    <row r="143" spans="1:5" ht="15.75" customHeight="1">
      <c r="A143" s="107">
        <f t="shared" ref="A143:A183" si="2">A142+1</f>
        <v>130</v>
      </c>
      <c r="B143" s="114">
        <v>9070</v>
      </c>
      <c r="C143" s="115" t="s">
        <v>175</v>
      </c>
      <c r="D143" s="136">
        <v>0</v>
      </c>
    </row>
    <row r="144" spans="1:5" ht="15.75" customHeight="1">
      <c r="A144" s="107">
        <f t="shared" si="2"/>
        <v>131</v>
      </c>
      <c r="B144" s="114">
        <v>9080</v>
      </c>
      <c r="C144" s="115" t="s">
        <v>181</v>
      </c>
      <c r="D144" s="133">
        <v>0</v>
      </c>
    </row>
    <row r="145" spans="1:4" ht="15.75" customHeight="1">
      <c r="A145" s="107">
        <f t="shared" si="2"/>
        <v>132</v>
      </c>
      <c r="B145" s="114">
        <v>9090</v>
      </c>
      <c r="C145" s="115" t="s">
        <v>182</v>
      </c>
      <c r="D145" s="133">
        <f>'C.2.2 B 09'!R96</f>
        <v>113640.03</v>
      </c>
    </row>
    <row r="146" spans="1:4" ht="15.75" customHeight="1">
      <c r="A146" s="107">
        <f t="shared" si="2"/>
        <v>133</v>
      </c>
      <c r="B146" s="114">
        <v>9100</v>
      </c>
      <c r="C146" s="115" t="s">
        <v>183</v>
      </c>
      <c r="D146" s="121">
        <f>'C.2.2 B 09'!R97</f>
        <v>85</v>
      </c>
    </row>
    <row r="147" spans="1:4" ht="15.75" customHeight="1">
      <c r="A147" s="107">
        <f t="shared" si="2"/>
        <v>134</v>
      </c>
      <c r="B147" s="107"/>
      <c r="C147" s="134" t="s">
        <v>184</v>
      </c>
      <c r="D147" s="116">
        <f>SUM(D143:D146)</f>
        <v>113725.03</v>
      </c>
    </row>
    <row r="148" spans="1:4" ht="15.75" customHeight="1">
      <c r="A148" s="107">
        <f t="shared" si="2"/>
        <v>135</v>
      </c>
      <c r="B148" s="107"/>
      <c r="C148" s="111"/>
      <c r="D148" s="123"/>
    </row>
    <row r="149" spans="1:4" ht="15.75" customHeight="1">
      <c r="A149" s="107">
        <f t="shared" si="2"/>
        <v>136</v>
      </c>
      <c r="B149" s="107"/>
      <c r="C149" s="130" t="s">
        <v>55</v>
      </c>
      <c r="D149" s="123"/>
    </row>
    <row r="150" spans="1:4" ht="15.75" customHeight="1">
      <c r="A150" s="107">
        <f t="shared" si="2"/>
        <v>137</v>
      </c>
      <c r="B150" s="114">
        <v>9110</v>
      </c>
      <c r="C150" s="115" t="s">
        <v>175</v>
      </c>
      <c r="D150" s="136">
        <f>'C.2.2 B 09'!R98</f>
        <v>263258.08</v>
      </c>
    </row>
    <row r="151" spans="1:4" ht="15.75" customHeight="1">
      <c r="A151" s="107">
        <f t="shared" si="2"/>
        <v>138</v>
      </c>
      <c r="B151" s="114">
        <v>9120</v>
      </c>
      <c r="C151" s="115" t="s">
        <v>185</v>
      </c>
      <c r="D151" s="133">
        <f>'C.2.2 B 09'!R99</f>
        <v>123584.46</v>
      </c>
    </row>
    <row r="152" spans="1:4" ht="15.75" customHeight="1">
      <c r="A152" s="107">
        <f t="shared" si="2"/>
        <v>139</v>
      </c>
      <c r="B152" s="114">
        <v>9130</v>
      </c>
      <c r="C152" s="115" t="s">
        <v>186</v>
      </c>
      <c r="D152" s="133">
        <f>'C.2.2 B 09'!R100</f>
        <v>30070.690000000002</v>
      </c>
    </row>
    <row r="153" spans="1:4" ht="15.75" customHeight="1">
      <c r="A153" s="107">
        <f t="shared" si="2"/>
        <v>140</v>
      </c>
      <c r="B153" s="114">
        <v>9160</v>
      </c>
      <c r="C153" s="115" t="s">
        <v>187</v>
      </c>
      <c r="D153" s="121">
        <v>0</v>
      </c>
    </row>
    <row r="154" spans="1:4" ht="15.75" customHeight="1">
      <c r="A154" s="107">
        <f t="shared" si="2"/>
        <v>141</v>
      </c>
      <c r="B154" s="107"/>
      <c r="C154" s="134" t="s">
        <v>188</v>
      </c>
      <c r="D154" s="116">
        <f>SUM(D150:D153)</f>
        <v>416913.23000000004</v>
      </c>
    </row>
    <row r="155" spans="1:4" ht="15.75" customHeight="1">
      <c r="A155" s="107">
        <f t="shared" si="2"/>
        <v>142</v>
      </c>
      <c r="B155" s="122"/>
      <c r="D155" s="123"/>
    </row>
    <row r="156" spans="1:4" ht="15.75" customHeight="1">
      <c r="A156" s="107">
        <f t="shared" si="2"/>
        <v>143</v>
      </c>
      <c r="B156" s="107"/>
      <c r="C156" s="130" t="s">
        <v>189</v>
      </c>
      <c r="D156" s="123"/>
    </row>
    <row r="157" spans="1:4" ht="15.75" customHeight="1">
      <c r="A157" s="107">
        <f t="shared" si="2"/>
        <v>144</v>
      </c>
      <c r="B157" s="114">
        <v>9200</v>
      </c>
      <c r="C157" s="115" t="s">
        <v>190</v>
      </c>
      <c r="D157" s="136">
        <f>'C.2.2 B 09'!R101</f>
        <v>141308.29999999999</v>
      </c>
    </row>
    <row r="158" spans="1:4" ht="15.75" customHeight="1">
      <c r="A158" s="107">
        <f t="shared" si="2"/>
        <v>145</v>
      </c>
      <c r="B158" s="114">
        <v>9210</v>
      </c>
      <c r="C158" s="115" t="s">
        <v>191</v>
      </c>
      <c r="D158" s="133">
        <f>'C.2.2 B 09'!R102</f>
        <v>15363.11</v>
      </c>
    </row>
    <row r="159" spans="1:4" ht="15.75" customHeight="1">
      <c r="A159" s="107">
        <f t="shared" si="2"/>
        <v>146</v>
      </c>
      <c r="B159" s="114">
        <v>9220</v>
      </c>
      <c r="C159" s="115" t="s">
        <v>192</v>
      </c>
      <c r="D159" s="133">
        <f>'C.2.2 B 09'!R103</f>
        <v>11934602.569999998</v>
      </c>
    </row>
    <row r="160" spans="1:4" ht="15.75" customHeight="1">
      <c r="A160" s="107">
        <f t="shared" si="2"/>
        <v>147</v>
      </c>
      <c r="B160" s="114">
        <v>9230</v>
      </c>
      <c r="C160" s="115" t="s">
        <v>193</v>
      </c>
      <c r="D160" s="133">
        <f>'C.2.2 B 09'!R104</f>
        <v>332297.08999999997</v>
      </c>
    </row>
    <row r="161" spans="1:7" ht="15.75" customHeight="1">
      <c r="A161" s="107">
        <f t="shared" si="2"/>
        <v>148</v>
      </c>
      <c r="B161" s="114">
        <v>9240</v>
      </c>
      <c r="C161" s="115" t="s">
        <v>194</v>
      </c>
      <c r="D161" s="133">
        <f>'C.2.2 B 09'!R105</f>
        <v>171002.78999999998</v>
      </c>
    </row>
    <row r="162" spans="1:7" ht="15.75" customHeight="1">
      <c r="A162" s="107">
        <f t="shared" si="2"/>
        <v>149</v>
      </c>
      <c r="B162" s="114">
        <v>9250</v>
      </c>
      <c r="C162" s="115" t="s">
        <v>195</v>
      </c>
      <c r="D162" s="133">
        <f>'C.2.2 B 09'!R106</f>
        <v>67761.080000000016</v>
      </c>
    </row>
    <row r="163" spans="1:7" ht="15.75" customHeight="1">
      <c r="A163" s="107">
        <f t="shared" si="2"/>
        <v>150</v>
      </c>
      <c r="B163" s="114">
        <v>9260</v>
      </c>
      <c r="C163" s="115" t="s">
        <v>196</v>
      </c>
      <c r="D163" s="133">
        <f>'C.2.2 B 09'!R107</f>
        <v>1821690.6100000003</v>
      </c>
    </row>
    <row r="164" spans="1:7" ht="15.75" customHeight="1">
      <c r="A164" s="107">
        <f t="shared" si="2"/>
        <v>151</v>
      </c>
      <c r="B164" s="114">
        <v>9270</v>
      </c>
      <c r="C164" s="115" t="s">
        <v>197</v>
      </c>
      <c r="D164" s="133">
        <f>'C.2.2 B 09'!R108</f>
        <v>726.81</v>
      </c>
    </row>
    <row r="165" spans="1:7" ht="15.75" customHeight="1">
      <c r="A165" s="107">
        <f t="shared" si="2"/>
        <v>152</v>
      </c>
      <c r="B165" s="114">
        <v>9280</v>
      </c>
      <c r="C165" s="115" t="s">
        <v>198</v>
      </c>
      <c r="D165" s="133">
        <f>'C.2.2 B 09'!R109</f>
        <v>146891.86999999997</v>
      </c>
    </row>
    <row r="166" spans="1:7" ht="15.75" customHeight="1">
      <c r="A166" s="107">
        <f t="shared" si="2"/>
        <v>153</v>
      </c>
      <c r="B166" s="146">
        <v>930.2</v>
      </c>
      <c r="C166" s="115" t="s">
        <v>199</v>
      </c>
      <c r="D166" s="133">
        <f>'C.2.2 B 09'!R110</f>
        <v>111433.38</v>
      </c>
    </row>
    <row r="167" spans="1:7" ht="15.75" customHeight="1">
      <c r="A167" s="107">
        <f t="shared" si="2"/>
        <v>154</v>
      </c>
      <c r="B167" s="114">
        <v>9310</v>
      </c>
      <c r="C167" s="115" t="s">
        <v>200</v>
      </c>
      <c r="D167" s="135">
        <f>'C.2.2 B 09'!R111</f>
        <v>15614.639999999998</v>
      </c>
    </row>
    <row r="168" spans="1:7" ht="15.75" customHeight="1">
      <c r="A168" s="107">
        <f t="shared" si="2"/>
        <v>155</v>
      </c>
      <c r="B168" s="107"/>
      <c r="C168" s="134" t="s">
        <v>201</v>
      </c>
      <c r="D168" s="116">
        <f>SUM(D157:D167)</f>
        <v>14758692.249999998</v>
      </c>
    </row>
    <row r="169" spans="1:7" ht="15.75" customHeight="1">
      <c r="A169" s="107">
        <f t="shared" si="2"/>
        <v>156</v>
      </c>
      <c r="B169" s="107"/>
      <c r="C169" s="111"/>
      <c r="D169" s="123"/>
    </row>
    <row r="170" spans="1:7" ht="15.75" customHeight="1">
      <c r="A170" s="107">
        <f t="shared" si="2"/>
        <v>157</v>
      </c>
      <c r="B170" s="107"/>
      <c r="C170" s="130" t="s">
        <v>202</v>
      </c>
      <c r="D170" s="123"/>
    </row>
    <row r="171" spans="1:7" ht="15.75" customHeight="1">
      <c r="A171" s="107">
        <f t="shared" si="2"/>
        <v>158</v>
      </c>
      <c r="B171" s="114">
        <v>9320</v>
      </c>
      <c r="C171" s="115" t="s">
        <v>203</v>
      </c>
      <c r="D171" s="135">
        <f>'C.2.2 B 09'!R112</f>
        <v>11000</v>
      </c>
    </row>
    <row r="172" spans="1:7" ht="15.75" customHeight="1">
      <c r="A172" s="107">
        <f t="shared" si="2"/>
        <v>159</v>
      </c>
      <c r="B172" s="107"/>
      <c r="C172" s="134" t="s">
        <v>204</v>
      </c>
      <c r="D172" s="147">
        <f>SUM(D171:D171)</f>
        <v>11000</v>
      </c>
    </row>
    <row r="173" spans="1:7" ht="15.75" customHeight="1">
      <c r="A173" s="107">
        <f t="shared" si="2"/>
        <v>160</v>
      </c>
      <c r="B173" s="122"/>
      <c r="D173" s="131"/>
    </row>
    <row r="174" spans="1:7" ht="15.75" customHeight="1">
      <c r="A174" s="107">
        <f t="shared" si="2"/>
        <v>161</v>
      </c>
      <c r="B174" s="107"/>
      <c r="C174" s="112" t="s">
        <v>205</v>
      </c>
      <c r="D174" s="148">
        <f>+D39+D43+D55+D65+D75+D83+D105+D120+D133+D140+D147+D154+D168+D172</f>
        <v>118344159.69</v>
      </c>
      <c r="F174" s="98">
        <f>'C.2.2 B 09'!R120</f>
        <v>118344159.68999992</v>
      </c>
      <c r="G174" s="113">
        <f>D174-F174</f>
        <v>0</v>
      </c>
    </row>
    <row r="175" spans="1:7" ht="15.75" customHeight="1">
      <c r="A175" s="107">
        <f t="shared" si="2"/>
        <v>162</v>
      </c>
      <c r="B175" s="122"/>
      <c r="D175" s="131"/>
    </row>
    <row r="176" spans="1:7" ht="15.75" customHeight="1">
      <c r="A176" s="107">
        <f t="shared" si="2"/>
        <v>163</v>
      </c>
      <c r="B176" s="107">
        <v>403</v>
      </c>
      <c r="C176" s="108" t="s">
        <v>206</v>
      </c>
      <c r="D176" s="147">
        <f>SUM('C.2.2 B 09'!R14)</f>
        <v>20792783.009999998</v>
      </c>
    </row>
    <row r="177" spans="1:7" ht="15.75" customHeight="1">
      <c r="A177" s="107">
        <f t="shared" si="2"/>
        <v>164</v>
      </c>
      <c r="B177" s="107">
        <v>406</v>
      </c>
      <c r="C177" s="108" t="s">
        <v>207</v>
      </c>
      <c r="D177" s="147">
        <f>'C.2.2 B 09'!R15</f>
        <v>49462.65</v>
      </c>
    </row>
    <row r="178" spans="1:7" ht="15.75" customHeight="1">
      <c r="A178" s="107">
        <f t="shared" si="2"/>
        <v>165</v>
      </c>
      <c r="B178" s="114">
        <v>4081</v>
      </c>
      <c r="C178" s="108" t="s">
        <v>208</v>
      </c>
      <c r="D178" s="133">
        <f>'C.2.2 B 09'!R17</f>
        <v>6454875.1700000009</v>
      </c>
    </row>
    <row r="179" spans="1:7" ht="15.75" customHeight="1">
      <c r="A179" s="107">
        <f t="shared" si="2"/>
        <v>166</v>
      </c>
      <c r="B179" s="114" t="s">
        <v>209</v>
      </c>
      <c r="C179" s="108" t="s">
        <v>210</v>
      </c>
      <c r="D179" s="121">
        <f>+E!E23</f>
        <v>6843914.3503280915</v>
      </c>
      <c r="F179" s="126"/>
      <c r="G179" s="126"/>
    </row>
    <row r="180" spans="1:7" ht="15.75" customHeight="1">
      <c r="A180" s="107">
        <f t="shared" si="2"/>
        <v>167</v>
      </c>
      <c r="B180" s="122"/>
      <c r="D180" s="131"/>
    </row>
    <row r="181" spans="1:7" ht="15.75" customHeight="1">
      <c r="A181" s="107">
        <f t="shared" si="2"/>
        <v>168</v>
      </c>
      <c r="B181" s="149"/>
      <c r="C181" s="108" t="s">
        <v>211</v>
      </c>
      <c r="D181" s="135">
        <f>+D174+SUM(D176:D179)</f>
        <v>152485194.87032807</v>
      </c>
    </row>
    <row r="182" spans="1:7" ht="15.75" customHeight="1">
      <c r="A182" s="107">
        <f t="shared" si="2"/>
        <v>169</v>
      </c>
      <c r="B182" s="150"/>
      <c r="D182" s="131"/>
    </row>
    <row r="183" spans="1:7" ht="15.75" customHeight="1" thickBot="1">
      <c r="A183" s="107">
        <f t="shared" si="2"/>
        <v>170</v>
      </c>
      <c r="B183" s="149"/>
      <c r="C183" s="108" t="s">
        <v>212</v>
      </c>
      <c r="D183" s="151">
        <f>D33-D181</f>
        <v>28369286.179671943</v>
      </c>
    </row>
    <row r="184" spans="1:7" ht="15.75" customHeight="1" thickTop="1">
      <c r="B184" s="152"/>
    </row>
    <row r="185" spans="1:7" ht="15.75" customHeight="1">
      <c r="A185" s="111"/>
      <c r="B185" s="152"/>
    </row>
    <row r="186" spans="1:7" ht="15.75" customHeight="1">
      <c r="B186" s="152"/>
    </row>
    <row r="187" spans="1:7" ht="15.75" customHeight="1">
      <c r="B187" s="152"/>
    </row>
    <row r="188" spans="1:7" ht="15.75" customHeight="1">
      <c r="B188" s="152"/>
    </row>
    <row r="189" spans="1:7" ht="15.75" customHeight="1">
      <c r="B189" s="152"/>
    </row>
    <row r="190" spans="1:7" ht="15.75" customHeight="1">
      <c r="B190" s="152"/>
    </row>
    <row r="191" spans="1:7" ht="15.75" customHeight="1">
      <c r="B191" s="152"/>
    </row>
    <row r="192" spans="1:7" ht="15.75" customHeight="1">
      <c r="B192" s="152"/>
    </row>
    <row r="193" spans="2:2" ht="15.75" customHeight="1">
      <c r="B193" s="150"/>
    </row>
    <row r="194" spans="2:2" ht="15.75" customHeight="1">
      <c r="B194" s="150"/>
    </row>
    <row r="195" spans="2:2" ht="15.75" customHeight="1">
      <c r="B195" s="150"/>
    </row>
    <row r="196" spans="2:2" ht="15.75" customHeight="1">
      <c r="B196" s="150"/>
    </row>
    <row r="197" spans="2:2" ht="15.75" customHeight="1">
      <c r="B197" s="150"/>
    </row>
  </sheetData>
  <mergeCells count="4">
    <mergeCell ref="A1:D1"/>
    <mergeCell ref="A2:D2"/>
    <mergeCell ref="A3:D3"/>
    <mergeCell ref="A4:D4"/>
  </mergeCells>
  <printOptions horizontalCentered="1"/>
  <pageMargins left="0.84" right="0.67" top="0.62" bottom="1.04" header="0.25" footer="0.5"/>
  <pageSetup scale="91" fitToHeight="15" orientation="portrait" verticalDpi="300" r:id="rId1"/>
  <headerFooter alignWithMargins="0">
    <oddHeader>&amp;R&amp;9CASE NO. 2018-00281
ATTACHMENT 1
TO STAFF DR NO. 1-46
(SUPPLEMENT 03-29-19)</oddHeader>
    <oddFooter>&amp;RSchedule &amp;A
Page &amp;P of &amp;N</oddFooter>
  </headerFooter>
  <rowBreaks count="1" manualBreakCount="1">
    <brk id="120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8"/>
  <sheetViews>
    <sheetView view="pageBreakPreview" zoomScale="80" zoomScaleNormal="70" zoomScaleSheetLayoutView="80" workbookViewId="0">
      <pane xSplit="3" ySplit="11" topLeftCell="D12" activePane="bottomRight" state="frozen"/>
      <selection sqref="A1:J1"/>
      <selection pane="topRight" sqref="A1:J1"/>
      <selection pane="bottomLeft" sqref="A1:J1"/>
      <selection pane="bottomRight" activeCell="D12" sqref="D12"/>
    </sheetView>
  </sheetViews>
  <sheetFormatPr defaultColWidth="7.109375" defaultRowHeight="15"/>
  <cols>
    <col min="1" max="1" width="4.6640625" style="154" customWidth="1"/>
    <col min="2" max="2" width="6.6640625" style="154" customWidth="1"/>
    <col min="3" max="3" width="38.88671875" style="154" customWidth="1"/>
    <col min="4" max="5" width="13.109375" style="154" bestFit="1" customWidth="1"/>
    <col min="6" max="6" width="11.44140625" style="154" customWidth="1"/>
    <col min="7" max="8" width="13.109375" style="154" bestFit="1" customWidth="1"/>
    <col min="9" max="9" width="11.109375" style="154" customWidth="1"/>
    <col min="10" max="10" width="11.6640625" style="154" customWidth="1"/>
    <col min="11" max="14" width="13.109375" style="154" bestFit="1" customWidth="1"/>
    <col min="15" max="17" width="12.44140625" style="154" customWidth="1"/>
    <col min="18" max="18" width="14.109375" style="154" bestFit="1" customWidth="1"/>
    <col min="19" max="19" width="9.109375" style="154" customWidth="1"/>
    <col min="20" max="20" width="12.5546875" style="154" customWidth="1"/>
    <col min="21" max="24" width="7.109375" style="154"/>
    <col min="25" max="25" width="11.33203125" style="154" customWidth="1"/>
    <col min="26" max="26" width="12.5546875" style="154" customWidth="1"/>
    <col min="27" max="16384" width="7.109375" style="154"/>
  </cols>
  <sheetData>
    <row r="1" spans="1:20">
      <c r="A1" s="279" t="s">
        <v>360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17"/>
    </row>
    <row r="2" spans="1:20">
      <c r="A2" s="279" t="s">
        <v>361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17"/>
    </row>
    <row r="3" spans="1:20" ht="15.75">
      <c r="A3" s="279" t="s">
        <v>319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17"/>
    </row>
    <row r="4" spans="1:20">
      <c r="A4" s="279" t="s">
        <v>363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17"/>
    </row>
    <row r="5" spans="1:20">
      <c r="A5" s="17"/>
      <c r="B5" s="201"/>
      <c r="C5" s="201"/>
      <c r="D5" s="201"/>
      <c r="E5" s="201"/>
      <c r="F5" s="201"/>
      <c r="G5" s="202"/>
      <c r="H5" s="158"/>
      <c r="I5" s="201"/>
      <c r="J5" s="201"/>
      <c r="K5" s="201"/>
      <c r="L5" s="201"/>
      <c r="M5" s="201"/>
      <c r="N5" s="201"/>
      <c r="O5" s="201"/>
      <c r="P5" s="201"/>
      <c r="Q5" s="201"/>
      <c r="R5" s="17"/>
      <c r="S5" s="17"/>
    </row>
    <row r="6" spans="1:20" ht="15.75">
      <c r="A6" s="156" t="str">
        <f>'C.2.2 B 09'!A6</f>
        <v>Data:___X____Base Period________Forecasted Period</v>
      </c>
      <c r="B6" s="17"/>
      <c r="C6" s="156"/>
      <c r="D6" s="17"/>
      <c r="E6" s="17"/>
      <c r="F6" s="17"/>
      <c r="G6" s="17"/>
      <c r="H6" s="203"/>
      <c r="I6" s="17"/>
      <c r="K6" s="204"/>
      <c r="L6" s="17"/>
      <c r="M6" s="17"/>
      <c r="N6" s="201"/>
      <c r="O6" s="201"/>
      <c r="P6" s="201"/>
      <c r="Q6" s="201"/>
      <c r="R6" s="157" t="s">
        <v>214</v>
      </c>
      <c r="S6" s="17"/>
    </row>
    <row r="7" spans="1:20">
      <c r="A7" s="156" t="str">
        <f>'C.2.2 B 09'!A7</f>
        <v>Type of Filing:___X____Original________Updated ________Revised</v>
      </c>
      <c r="B7" s="17"/>
      <c r="C7" s="156"/>
      <c r="D7" s="17"/>
      <c r="E7" s="158"/>
      <c r="F7" s="17"/>
      <c r="G7" s="17"/>
      <c r="H7" s="17"/>
      <c r="I7" s="17"/>
      <c r="J7" s="17"/>
      <c r="K7" s="17"/>
      <c r="L7" s="17"/>
      <c r="M7" s="17"/>
      <c r="N7" s="201"/>
      <c r="O7" s="201"/>
      <c r="P7" s="201"/>
      <c r="Q7" s="201"/>
      <c r="R7" s="159" t="s">
        <v>215</v>
      </c>
      <c r="S7" s="17"/>
    </row>
    <row r="8" spans="1:20">
      <c r="A8" s="156" t="str">
        <f>'C.2.2 B 09'!A8</f>
        <v>Workpaper Reference No(s).____________________</v>
      </c>
      <c r="B8" s="161"/>
      <c r="C8" s="205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1"/>
      <c r="P8" s="153"/>
      <c r="Q8" s="153"/>
      <c r="R8" s="163" t="str">
        <f>'C.1'!J9</f>
        <v>Witness: Waller, Densman</v>
      </c>
      <c r="S8" s="17"/>
    </row>
    <row r="9" spans="1:20">
      <c r="A9" s="164" t="s">
        <v>9</v>
      </c>
      <c r="B9" s="165" t="s">
        <v>216</v>
      </c>
      <c r="C9" s="166"/>
      <c r="D9" s="206" t="str">
        <f>'C.2.2 B 09'!D9</f>
        <v>actual</v>
      </c>
      <c r="E9" s="206" t="str">
        <f>'C.2.2 B 09'!F9</f>
        <v>actual</v>
      </c>
      <c r="F9" s="206" t="str">
        <f>'C.2.2 B 09'!F9</f>
        <v>actual</v>
      </c>
      <c r="G9" s="206" t="str">
        <f>'C.2.2 B 09'!G9</f>
        <v>actual</v>
      </c>
      <c r="H9" s="206" t="str">
        <f>'C.2.2 B 09'!H9</f>
        <v>actual</v>
      </c>
      <c r="I9" s="207" t="str">
        <f>'C.2.2 B 09'!I9</f>
        <v>actual</v>
      </c>
      <c r="J9" s="206" t="str">
        <f>'C.2.2 B 09'!J9</f>
        <v>actual</v>
      </c>
      <c r="K9" s="206" t="str">
        <f>'C.2.2 B 09'!K9</f>
        <v>actual</v>
      </c>
      <c r="L9" s="206" t="str">
        <f>'C.2.2 B 09'!L9</f>
        <v>actual</v>
      </c>
      <c r="M9" s="206" t="str">
        <f>'C.2.2 B 09'!M9</f>
        <v>actual</v>
      </c>
      <c r="N9" s="206" t="str">
        <f>'C.2.2 B 09'!N9</f>
        <v>actual</v>
      </c>
      <c r="O9" s="206" t="str">
        <f>'C.2.2 B 09'!O9</f>
        <v>actual</v>
      </c>
      <c r="P9" s="206" t="str">
        <f>'C.2.2 B 09'!P9</f>
        <v>actual</v>
      </c>
      <c r="Q9" s="206" t="str">
        <f>'C.2.2 B 09'!Q9</f>
        <v>actual</v>
      </c>
      <c r="R9" s="208"/>
      <c r="S9" s="17"/>
    </row>
    <row r="10" spans="1:20">
      <c r="A10" s="168" t="s">
        <v>12</v>
      </c>
      <c r="B10" s="169" t="s">
        <v>12</v>
      </c>
      <c r="C10" s="170" t="s">
        <v>218</v>
      </c>
      <c r="D10" s="209">
        <f>'C.2.2 B 09'!D10</f>
        <v>43101</v>
      </c>
      <c r="E10" s="209">
        <f>'C.2.2 B 09'!F10</f>
        <v>43160</v>
      </c>
      <c r="F10" s="209">
        <f>'C.2.2 B 09'!F10</f>
        <v>43160</v>
      </c>
      <c r="G10" s="209">
        <f>'C.2.2 B 09'!G10</f>
        <v>43191</v>
      </c>
      <c r="H10" s="209">
        <f>'C.2.2 B 09'!H10</f>
        <v>43221</v>
      </c>
      <c r="I10" s="210">
        <f>'C.2.2 B 09'!I10</f>
        <v>43252</v>
      </c>
      <c r="J10" s="209">
        <f>'C.2.2 B 09'!J10</f>
        <v>43282</v>
      </c>
      <c r="K10" s="209">
        <f>'C.2.2 B 09'!K10</f>
        <v>43313</v>
      </c>
      <c r="L10" s="209">
        <f>'C.2.2 B 09'!L10</f>
        <v>43344</v>
      </c>
      <c r="M10" s="209">
        <f>'C.2.2 B 09'!M10</f>
        <v>43374</v>
      </c>
      <c r="N10" s="209">
        <f>'C.2.2 B 09'!N10</f>
        <v>43405</v>
      </c>
      <c r="O10" s="209">
        <f>'C.2.2 B 09'!O10</f>
        <v>43435</v>
      </c>
      <c r="P10" s="209">
        <f>'C.2.2 B 09'!P10</f>
        <v>43466</v>
      </c>
      <c r="Q10" s="209">
        <f>'C.2.2 B 09'!Q10</f>
        <v>43497</v>
      </c>
      <c r="R10" s="209" t="str">
        <f>'C.2.2 B 09'!R10</f>
        <v>Total</v>
      </c>
      <c r="S10" s="17"/>
    </row>
    <row r="11" spans="1:20">
      <c r="A11" s="17"/>
      <c r="B11" s="17"/>
      <c r="C11" s="17"/>
      <c r="D11" s="64" t="s">
        <v>220</v>
      </c>
      <c r="E11" s="64" t="s">
        <v>220</v>
      </c>
      <c r="F11" s="64" t="s">
        <v>220</v>
      </c>
      <c r="G11" s="64" t="s">
        <v>220</v>
      </c>
      <c r="H11" s="64" t="s">
        <v>220</v>
      </c>
      <c r="I11" s="211" t="s">
        <v>220</v>
      </c>
      <c r="J11" s="64" t="s">
        <v>220</v>
      </c>
      <c r="K11" s="64" t="s">
        <v>220</v>
      </c>
      <c r="L11" s="64" t="s">
        <v>220</v>
      </c>
      <c r="M11" s="64" t="s">
        <v>220</v>
      </c>
      <c r="N11" s="64" t="s">
        <v>220</v>
      </c>
      <c r="O11" s="64" t="s">
        <v>220</v>
      </c>
      <c r="P11" s="64"/>
      <c r="Q11" s="64"/>
      <c r="R11" s="64" t="s">
        <v>220</v>
      </c>
      <c r="S11" s="17"/>
    </row>
    <row r="12" spans="1:20">
      <c r="A12" s="17"/>
      <c r="B12" s="174" t="s">
        <v>209</v>
      </c>
      <c r="C12" s="175" t="s">
        <v>221</v>
      </c>
      <c r="D12" s="177">
        <v>-377820.12</v>
      </c>
      <c r="E12" s="177">
        <v>-245393.37</v>
      </c>
      <c r="F12" s="177">
        <v>-4062670</v>
      </c>
      <c r="G12" s="177">
        <v>-447509.79000000004</v>
      </c>
      <c r="H12" s="177">
        <v>5945.6299999999756</v>
      </c>
      <c r="I12" s="212">
        <v>1958359</v>
      </c>
      <c r="J12" s="268">
        <v>-464722.77999999997</v>
      </c>
      <c r="K12" s="268">
        <v>85589.51999999999</v>
      </c>
      <c r="L12" s="268">
        <v>-13057022.090000004</v>
      </c>
      <c r="M12" s="268">
        <v>63543</v>
      </c>
      <c r="N12" s="268">
        <v>128053.51</v>
      </c>
      <c r="O12" s="268">
        <v>468573</v>
      </c>
      <c r="P12" s="268">
        <v>1206518.92</v>
      </c>
      <c r="Q12" s="268">
        <v>840625.65</v>
      </c>
      <c r="R12" s="17">
        <f t="shared" ref="R12:R13" si="0">SUM(D12:O12)</f>
        <v>-15945074.490000004</v>
      </c>
      <c r="S12" s="17"/>
      <c r="T12" s="178"/>
    </row>
    <row r="13" spans="1:20">
      <c r="A13" s="17"/>
      <c r="B13" s="17"/>
      <c r="C13" s="17"/>
      <c r="D13" s="64"/>
      <c r="E13" s="64"/>
      <c r="F13" s="64"/>
      <c r="G13" s="64"/>
      <c r="H13" s="64"/>
      <c r="I13" s="211"/>
      <c r="J13" s="272"/>
      <c r="K13" s="272"/>
      <c r="L13" s="272"/>
      <c r="M13" s="272"/>
      <c r="N13" s="272"/>
      <c r="O13" s="272"/>
      <c r="P13" s="272"/>
      <c r="Q13" s="272"/>
      <c r="R13" s="17">
        <f t="shared" si="0"/>
        <v>0</v>
      </c>
      <c r="S13" s="17"/>
    </row>
    <row r="14" spans="1:20">
      <c r="A14" s="77">
        <v>1</v>
      </c>
      <c r="B14" s="174">
        <v>4030</v>
      </c>
      <c r="C14" s="17" t="s">
        <v>59</v>
      </c>
      <c r="D14" s="177">
        <v>-8.7311491370201111E-11</v>
      </c>
      <c r="E14" s="177">
        <v>-2.9103830456733704E-11</v>
      </c>
      <c r="F14" s="177">
        <v>1.8630430531629827E-11</v>
      </c>
      <c r="G14" s="177">
        <v>-7.2759576141834259E-12</v>
      </c>
      <c r="H14" s="177">
        <v>4.3655745685100555E-11</v>
      </c>
      <c r="I14" s="177">
        <v>-1.4551915228366852E-11</v>
      </c>
      <c r="J14" s="267">
        <v>-1.2805756455236406E-10</v>
      </c>
      <c r="K14" s="267">
        <v>0</v>
      </c>
      <c r="L14" s="267">
        <v>3.4560798667371273E-11</v>
      </c>
      <c r="M14" s="267">
        <v>-1.0186340659856796E-10</v>
      </c>
      <c r="N14" s="267">
        <v>-9.7202246251981705E-11</v>
      </c>
      <c r="O14" s="267">
        <v>-1.7735146684572101E-10</v>
      </c>
      <c r="P14" s="267"/>
      <c r="Q14" s="267"/>
      <c r="R14" s="17">
        <f>SUM(D14:O14)</f>
        <v>-5.4587090403401817E-10</v>
      </c>
      <c r="S14" s="158"/>
      <c r="T14" s="178"/>
    </row>
    <row r="15" spans="1:20">
      <c r="A15" s="77">
        <f>A14+1</f>
        <v>2</v>
      </c>
      <c r="B15" s="174">
        <v>4081</v>
      </c>
      <c r="C15" s="17" t="s">
        <v>224</v>
      </c>
      <c r="D15" s="177">
        <v>9.9999997930808604E-3</v>
      </c>
      <c r="E15" s="177">
        <v>-9.9999999270181661E-3</v>
      </c>
      <c r="F15" s="177">
        <v>-9.9999998905957455E-3</v>
      </c>
      <c r="G15" s="177">
        <v>-7.3349326612515142E-11</v>
      </c>
      <c r="H15" s="177">
        <v>-1.936228954946273E-13</v>
      </c>
      <c r="I15" s="177">
        <v>-1095600.9999999995</v>
      </c>
      <c r="J15" s="268">
        <v>-9.9999999091960334E-3</v>
      </c>
      <c r="K15" s="268">
        <v>1.0000000038417056E-2</v>
      </c>
      <c r="L15" s="268">
        <v>1.0000000146273891E-2</v>
      </c>
      <c r="M15" s="268">
        <v>-9.9999999865758582E-3</v>
      </c>
      <c r="N15" s="268">
        <v>1.0000000009313226E-2</v>
      </c>
      <c r="O15" s="268">
        <v>2.3840485141590761E-11</v>
      </c>
      <c r="P15" s="268"/>
      <c r="Q15" s="268"/>
      <c r="R15" s="17">
        <f>SUM(D15:O15)</f>
        <v>-1095600.9999999993</v>
      </c>
      <c r="S15" s="158"/>
    </row>
    <row r="16" spans="1:20">
      <c r="A16" s="77">
        <f t="shared" ref="A16:A47" si="1">A15+1</f>
        <v>3</v>
      </c>
      <c r="B16" s="174">
        <v>8210</v>
      </c>
      <c r="C16" s="175" t="s">
        <v>257</v>
      </c>
      <c r="D16" s="177">
        <f>0</f>
        <v>0</v>
      </c>
      <c r="E16" s="177">
        <f>0</f>
        <v>0</v>
      </c>
      <c r="F16" s="177">
        <f>0</f>
        <v>0</v>
      </c>
      <c r="G16" s="177">
        <f>0</f>
        <v>0</v>
      </c>
      <c r="H16" s="177">
        <f>0</f>
        <v>0</v>
      </c>
      <c r="I16" s="177">
        <f>0</f>
        <v>0</v>
      </c>
      <c r="J16" s="268">
        <v>78.03</v>
      </c>
      <c r="K16" s="268">
        <v>0</v>
      </c>
      <c r="L16" s="268">
        <v>0</v>
      </c>
      <c r="M16" s="268">
        <v>0</v>
      </c>
      <c r="N16" s="268">
        <v>0</v>
      </c>
      <c r="O16" s="268">
        <v>0</v>
      </c>
      <c r="P16" s="268"/>
      <c r="Q16" s="268"/>
      <c r="R16" s="17">
        <f>SUM(D16:O16)</f>
        <v>78.03</v>
      </c>
      <c r="S16" s="158"/>
    </row>
    <row r="17" spans="1:19">
      <c r="A17" s="77">
        <f t="shared" si="1"/>
        <v>4</v>
      </c>
      <c r="B17" s="174">
        <v>8260</v>
      </c>
      <c r="C17" s="175" t="s">
        <v>364</v>
      </c>
      <c r="D17" s="177"/>
      <c r="E17" s="177"/>
      <c r="F17" s="177"/>
      <c r="G17" s="177"/>
      <c r="H17" s="177"/>
      <c r="I17" s="177"/>
      <c r="J17" s="268">
        <v>-217126</v>
      </c>
      <c r="K17" s="268">
        <v>0</v>
      </c>
      <c r="L17" s="268">
        <v>217126</v>
      </c>
      <c r="M17" s="268">
        <v>0</v>
      </c>
      <c r="N17" s="268">
        <v>0</v>
      </c>
      <c r="O17" s="268">
        <v>0</v>
      </c>
      <c r="P17" s="268"/>
      <c r="Q17" s="268"/>
      <c r="R17" s="17">
        <f>SUM(D17:O17)</f>
        <v>0</v>
      </c>
      <c r="S17" s="158"/>
    </row>
    <row r="18" spans="1:19">
      <c r="A18" s="77">
        <f t="shared" si="1"/>
        <v>5</v>
      </c>
      <c r="B18" s="174">
        <v>8700</v>
      </c>
      <c r="C18" s="17" t="s">
        <v>271</v>
      </c>
      <c r="D18" s="177">
        <v>105093.06</v>
      </c>
      <c r="E18" s="177">
        <v>437.56999999999994</v>
      </c>
      <c r="F18" s="177">
        <v>61169.62</v>
      </c>
      <c r="G18" s="177">
        <v>1554.5600000000004</v>
      </c>
      <c r="H18" s="177">
        <v>605.97</v>
      </c>
      <c r="I18" s="177">
        <v>425.95000000000005</v>
      </c>
      <c r="J18" s="268">
        <v>52.91</v>
      </c>
      <c r="K18" s="268">
        <v>0</v>
      </c>
      <c r="L18" s="268">
        <v>206.06</v>
      </c>
      <c r="M18" s="268">
        <v>488.39</v>
      </c>
      <c r="N18" s="268">
        <v>1311.23</v>
      </c>
      <c r="O18" s="268">
        <v>108.13</v>
      </c>
      <c r="P18" s="268">
        <v>157.22999999999999</v>
      </c>
      <c r="Q18" s="268">
        <v>162.91</v>
      </c>
      <c r="R18" s="17">
        <f t="shared" ref="R18:R42" si="2">SUM(D18:O18)</f>
        <v>171453.45000000004</v>
      </c>
      <c r="S18" s="17"/>
    </row>
    <row r="19" spans="1:19">
      <c r="A19" s="77">
        <f t="shared" si="1"/>
        <v>6</v>
      </c>
      <c r="B19" s="174">
        <v>8560</v>
      </c>
      <c r="C19" s="175" t="s">
        <v>320</v>
      </c>
      <c r="D19" s="177">
        <v>0</v>
      </c>
      <c r="E19" s="177">
        <v>0</v>
      </c>
      <c r="F19" s="177">
        <v>11697.349999999999</v>
      </c>
      <c r="G19" s="177">
        <v>-5627.96</v>
      </c>
      <c r="H19" s="177">
        <v>913.13</v>
      </c>
      <c r="I19" s="177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22.84</v>
      </c>
      <c r="O19" s="268">
        <v>0</v>
      </c>
      <c r="P19" s="268">
        <v>-632.51</v>
      </c>
      <c r="Q19" s="268">
        <v>632.51</v>
      </c>
      <c r="R19" s="17">
        <f t="shared" si="2"/>
        <v>7005.3599999999988</v>
      </c>
      <c r="S19" s="17"/>
    </row>
    <row r="20" spans="1:19">
      <c r="A20" s="77">
        <f t="shared" si="1"/>
        <v>7</v>
      </c>
      <c r="B20" s="174">
        <v>8740</v>
      </c>
      <c r="C20" s="17" t="s">
        <v>275</v>
      </c>
      <c r="D20" s="177">
        <v>6615.1800000000012</v>
      </c>
      <c r="E20" s="177">
        <v>3692.97</v>
      </c>
      <c r="F20" s="177">
        <v>4171.82</v>
      </c>
      <c r="G20" s="177">
        <v>-6957.86</v>
      </c>
      <c r="H20" s="177">
        <v>5773.13</v>
      </c>
      <c r="I20" s="177">
        <v>3329.45</v>
      </c>
      <c r="J20" s="268">
        <v>1845.1299999999997</v>
      </c>
      <c r="K20" s="268">
        <v>6006.7900000000009</v>
      </c>
      <c r="L20" s="268">
        <v>5451.52</v>
      </c>
      <c r="M20" s="268">
        <v>602.00999999999988</v>
      </c>
      <c r="N20" s="268">
        <v>-691.2600000000001</v>
      </c>
      <c r="O20" s="268">
        <v>8951.2500000000018</v>
      </c>
      <c r="P20" s="268">
        <v>6212.58</v>
      </c>
      <c r="Q20" s="268">
        <v>6419.76</v>
      </c>
      <c r="R20" s="17">
        <f t="shared" si="2"/>
        <v>38790.130000000005</v>
      </c>
      <c r="S20" s="17"/>
    </row>
    <row r="21" spans="1:19">
      <c r="A21" s="77">
        <f t="shared" si="1"/>
        <v>8</v>
      </c>
      <c r="B21" s="174">
        <v>8780</v>
      </c>
      <c r="C21" s="17" t="s">
        <v>279</v>
      </c>
      <c r="D21" s="177">
        <f>0</f>
        <v>0</v>
      </c>
      <c r="E21" s="177">
        <f>0</f>
        <v>0</v>
      </c>
      <c r="F21" s="177">
        <f>0</f>
        <v>0</v>
      </c>
      <c r="G21" s="177">
        <f>0</f>
        <v>0</v>
      </c>
      <c r="H21" s="177">
        <f>0</f>
        <v>0</v>
      </c>
      <c r="I21" s="177">
        <f>0</f>
        <v>0</v>
      </c>
      <c r="J21" s="268">
        <v>0</v>
      </c>
      <c r="K21" s="268">
        <v>0</v>
      </c>
      <c r="L21" s="268">
        <v>0</v>
      </c>
      <c r="M21" s="268">
        <v>0</v>
      </c>
      <c r="N21" s="268">
        <v>0</v>
      </c>
      <c r="O21" s="268">
        <v>0</v>
      </c>
      <c r="P21" s="268"/>
      <c r="Q21" s="268"/>
      <c r="R21" s="17">
        <f t="shared" si="2"/>
        <v>0</v>
      </c>
      <c r="S21" s="17"/>
    </row>
    <row r="22" spans="1:19">
      <c r="A22" s="77">
        <f t="shared" si="1"/>
        <v>9</v>
      </c>
      <c r="B22" s="174">
        <v>8800</v>
      </c>
      <c r="C22" s="17" t="s">
        <v>281</v>
      </c>
      <c r="D22" s="177">
        <f>0</f>
        <v>0</v>
      </c>
      <c r="E22" s="177">
        <f>0</f>
        <v>0</v>
      </c>
      <c r="F22" s="177">
        <f>0</f>
        <v>0</v>
      </c>
      <c r="G22" s="177">
        <f>0</f>
        <v>0</v>
      </c>
      <c r="H22" s="177">
        <f>0</f>
        <v>0</v>
      </c>
      <c r="I22" s="177">
        <f>0</f>
        <v>0</v>
      </c>
      <c r="J22" s="268">
        <v>0</v>
      </c>
      <c r="K22" s="268">
        <v>0</v>
      </c>
      <c r="L22" s="268">
        <v>0</v>
      </c>
      <c r="M22" s="268">
        <v>0</v>
      </c>
      <c r="N22" s="268">
        <v>0</v>
      </c>
      <c r="O22" s="268">
        <v>1257.1600000000001</v>
      </c>
      <c r="P22" s="268"/>
      <c r="Q22" s="268">
        <v>18.43</v>
      </c>
      <c r="R22" s="17">
        <f t="shared" si="2"/>
        <v>1257.1600000000001</v>
      </c>
      <c r="S22" s="17"/>
    </row>
    <row r="23" spans="1:19">
      <c r="A23" s="77">
        <f t="shared" si="1"/>
        <v>10</v>
      </c>
      <c r="B23" s="174">
        <v>8850</v>
      </c>
      <c r="C23" s="17" t="s">
        <v>283</v>
      </c>
      <c r="D23" s="177">
        <v>0</v>
      </c>
      <c r="E23" s="177">
        <v>0</v>
      </c>
      <c r="F23" s="177">
        <v>22774820.939999998</v>
      </c>
      <c r="G23" s="177">
        <v>2090628.03</v>
      </c>
      <c r="H23" s="177">
        <v>51305.329999999994</v>
      </c>
      <c r="I23" s="177">
        <v>-237350.62</v>
      </c>
      <c r="J23" s="268">
        <v>0</v>
      </c>
      <c r="K23" s="268">
        <v>502.5</v>
      </c>
      <c r="L23" s="268">
        <v>0</v>
      </c>
      <c r="M23" s="268">
        <v>0</v>
      </c>
      <c r="N23" s="268">
        <v>0</v>
      </c>
      <c r="O23" s="268">
        <v>0</v>
      </c>
      <c r="P23" s="268"/>
      <c r="Q23" s="268"/>
      <c r="R23" s="17">
        <f t="shared" si="2"/>
        <v>24679906.179999996</v>
      </c>
      <c r="S23" s="17"/>
    </row>
    <row r="24" spans="1:19">
      <c r="A24" s="77">
        <f t="shared" si="1"/>
        <v>11</v>
      </c>
      <c r="B24" s="174">
        <v>8900</v>
      </c>
      <c r="C24" s="154" t="s">
        <v>287</v>
      </c>
      <c r="D24" s="177">
        <f>0</f>
        <v>0</v>
      </c>
      <c r="E24" s="177">
        <f>0</f>
        <v>0</v>
      </c>
      <c r="F24" s="177">
        <f>0</f>
        <v>0</v>
      </c>
      <c r="G24" s="177">
        <f>0</f>
        <v>0</v>
      </c>
      <c r="H24" s="177">
        <f>0</f>
        <v>0</v>
      </c>
      <c r="I24" s="177">
        <f>0</f>
        <v>0</v>
      </c>
      <c r="J24" s="268">
        <v>1731</v>
      </c>
      <c r="K24" s="268">
        <v>0</v>
      </c>
      <c r="L24" s="268">
        <v>0</v>
      </c>
      <c r="M24" s="268">
        <v>0</v>
      </c>
      <c r="N24" s="268">
        <v>0</v>
      </c>
      <c r="O24" s="268">
        <v>0</v>
      </c>
      <c r="P24" s="268"/>
      <c r="Q24" s="268"/>
      <c r="R24" s="17">
        <f t="shared" si="2"/>
        <v>1731</v>
      </c>
      <c r="S24" s="17"/>
    </row>
    <row r="25" spans="1:19">
      <c r="A25" s="77">
        <f t="shared" si="1"/>
        <v>12</v>
      </c>
      <c r="B25" s="174">
        <v>9010</v>
      </c>
      <c r="C25" s="17" t="s">
        <v>292</v>
      </c>
      <c r="D25" s="177">
        <f>0</f>
        <v>0</v>
      </c>
      <c r="E25" s="177">
        <f>0</f>
        <v>0</v>
      </c>
      <c r="F25" s="177">
        <f>0</f>
        <v>0</v>
      </c>
      <c r="G25" s="177">
        <f>0</f>
        <v>0</v>
      </c>
      <c r="H25" s="177">
        <f>0</f>
        <v>0</v>
      </c>
      <c r="I25" s="177">
        <f>0</f>
        <v>0</v>
      </c>
      <c r="J25" s="268">
        <v>49.07</v>
      </c>
      <c r="K25" s="268">
        <v>0</v>
      </c>
      <c r="L25" s="268">
        <v>2065.19</v>
      </c>
      <c r="M25" s="268">
        <v>1139.47</v>
      </c>
      <c r="N25" s="268">
        <v>622.88</v>
      </c>
      <c r="O25" s="268">
        <v>2602.2200000000003</v>
      </c>
      <c r="P25" s="268">
        <v>-452.69</v>
      </c>
      <c r="Q25" s="268"/>
      <c r="R25" s="17">
        <f>SUM(D25:O25)</f>
        <v>6478.8300000000008</v>
      </c>
      <c r="S25" s="17"/>
    </row>
    <row r="26" spans="1:19">
      <c r="A26" s="77">
        <f t="shared" si="1"/>
        <v>13</v>
      </c>
      <c r="B26" s="174">
        <v>9030</v>
      </c>
      <c r="C26" s="17" t="s">
        <v>294</v>
      </c>
      <c r="D26" s="177">
        <v>5314.14</v>
      </c>
      <c r="E26" s="177">
        <v>4451.7900000000009</v>
      </c>
      <c r="F26" s="177">
        <v>11757.28</v>
      </c>
      <c r="G26" s="177">
        <v>9548.5999999999985</v>
      </c>
      <c r="H26" s="177">
        <v>10028.459999999999</v>
      </c>
      <c r="I26" s="177">
        <v>9467.9599999999991</v>
      </c>
      <c r="J26" s="268">
        <v>9972</v>
      </c>
      <c r="K26" s="268">
        <v>11405.59</v>
      </c>
      <c r="L26" s="268">
        <v>9276.52</v>
      </c>
      <c r="M26" s="268">
        <v>10002.369999999999</v>
      </c>
      <c r="N26" s="268">
        <v>11418.98</v>
      </c>
      <c r="O26" s="268">
        <v>9455.14</v>
      </c>
      <c r="P26" s="268">
        <v>11701.529999999999</v>
      </c>
      <c r="Q26" s="268">
        <v>9605.02</v>
      </c>
      <c r="R26" s="17">
        <f t="shared" si="2"/>
        <v>112098.82999999999</v>
      </c>
      <c r="S26" s="17"/>
    </row>
    <row r="27" spans="1:19">
      <c r="A27" s="275">
        <f t="shared" si="1"/>
        <v>14</v>
      </c>
      <c r="B27" s="174">
        <v>9090</v>
      </c>
      <c r="C27" s="17" t="s">
        <v>296</v>
      </c>
      <c r="D27" s="177"/>
      <c r="E27" s="177"/>
      <c r="F27" s="177"/>
      <c r="G27" s="177"/>
      <c r="H27" s="177"/>
      <c r="I27" s="177"/>
      <c r="J27" s="268"/>
      <c r="K27" s="268"/>
      <c r="L27" s="268"/>
      <c r="M27" s="268"/>
      <c r="N27" s="268"/>
      <c r="O27" s="268"/>
      <c r="P27" s="268">
        <v>18.54</v>
      </c>
      <c r="Q27" s="268"/>
      <c r="R27" s="17">
        <f t="shared" si="2"/>
        <v>0</v>
      </c>
      <c r="S27" s="17"/>
    </row>
    <row r="28" spans="1:19">
      <c r="A28" s="275">
        <f t="shared" si="1"/>
        <v>15</v>
      </c>
      <c r="B28" s="174">
        <v>9100</v>
      </c>
      <c r="C28" s="17" t="s">
        <v>297</v>
      </c>
      <c r="D28" s="177">
        <f>0</f>
        <v>0</v>
      </c>
      <c r="E28" s="177">
        <f>0</f>
        <v>0</v>
      </c>
      <c r="F28" s="177">
        <f>0</f>
        <v>0</v>
      </c>
      <c r="G28" s="177">
        <f>0</f>
        <v>0</v>
      </c>
      <c r="H28" s="177">
        <f>0</f>
        <v>0</v>
      </c>
      <c r="I28" s="177">
        <f>0</f>
        <v>0</v>
      </c>
      <c r="J28" s="268">
        <v>0</v>
      </c>
      <c r="K28" s="268">
        <v>0</v>
      </c>
      <c r="L28" s="268">
        <v>5125.6099999999997</v>
      </c>
      <c r="M28" s="268">
        <v>0</v>
      </c>
      <c r="N28" s="268">
        <v>0</v>
      </c>
      <c r="O28" s="268">
        <v>0</v>
      </c>
      <c r="P28" s="268"/>
      <c r="Q28" s="268"/>
      <c r="R28" s="17">
        <f t="shared" si="2"/>
        <v>5125.6099999999997</v>
      </c>
      <c r="S28" s="17"/>
    </row>
    <row r="29" spans="1:19">
      <c r="A29" s="275">
        <f t="shared" si="1"/>
        <v>16</v>
      </c>
      <c r="B29" s="174">
        <v>9120</v>
      </c>
      <c r="C29" s="175" t="s">
        <v>299</v>
      </c>
      <c r="D29" s="177">
        <v>8288.11</v>
      </c>
      <c r="E29" s="177">
        <v>0</v>
      </c>
      <c r="F29" s="177">
        <v>346.65999999999997</v>
      </c>
      <c r="G29" s="177">
        <v>0</v>
      </c>
      <c r="H29" s="177">
        <v>0</v>
      </c>
      <c r="I29" s="177">
        <v>19.329999999999998</v>
      </c>
      <c r="J29" s="273">
        <v>17.760000000000002</v>
      </c>
      <c r="K29" s="273">
        <v>410.5</v>
      </c>
      <c r="L29" s="273">
        <v>38.659999999999997</v>
      </c>
      <c r="M29" s="273">
        <v>256.27999999999997</v>
      </c>
      <c r="N29" s="268">
        <v>0</v>
      </c>
      <c r="O29" s="268">
        <v>0</v>
      </c>
      <c r="P29" s="268">
        <v>2865.19</v>
      </c>
      <c r="Q29" s="268">
        <v>3075.36</v>
      </c>
      <c r="R29" s="17">
        <f t="shared" si="2"/>
        <v>9377.3000000000011</v>
      </c>
      <c r="S29" s="17"/>
    </row>
    <row r="30" spans="1:19">
      <c r="A30" s="275">
        <f t="shared" si="1"/>
        <v>17</v>
      </c>
      <c r="B30" s="174">
        <v>9160</v>
      </c>
      <c r="C30" s="154" t="s">
        <v>321</v>
      </c>
      <c r="D30" s="177">
        <v>0</v>
      </c>
      <c r="E30" s="177">
        <v>0</v>
      </c>
      <c r="F30" s="177">
        <v>0</v>
      </c>
      <c r="G30" s="177">
        <v>0</v>
      </c>
      <c r="H30" s="177">
        <v>1009.4100000000001</v>
      </c>
      <c r="I30" s="177">
        <v>590.86</v>
      </c>
      <c r="J30" s="268">
        <v>0</v>
      </c>
      <c r="K30" s="268">
        <v>0</v>
      </c>
      <c r="L30" s="268">
        <v>0</v>
      </c>
      <c r="M30" s="268">
        <v>0</v>
      </c>
      <c r="N30" s="268">
        <v>796.18</v>
      </c>
      <c r="O30" s="268">
        <v>0</v>
      </c>
      <c r="P30" s="268">
        <v>809.54</v>
      </c>
      <c r="Q30" s="268"/>
      <c r="R30" s="17">
        <f t="shared" si="2"/>
        <v>2396.4499999999998</v>
      </c>
      <c r="S30" s="17"/>
    </row>
    <row r="31" spans="1:19">
      <c r="A31" s="275">
        <f t="shared" si="1"/>
        <v>18</v>
      </c>
      <c r="B31" s="174">
        <v>9200</v>
      </c>
      <c r="C31" s="17" t="s">
        <v>301</v>
      </c>
      <c r="D31" s="177">
        <v>205452.03000000044</v>
      </c>
      <c r="E31" s="177">
        <v>-627908.35999999952</v>
      </c>
      <c r="F31" s="177">
        <v>-2192440.3900000015</v>
      </c>
      <c r="G31" s="177">
        <v>-401667.04</v>
      </c>
      <c r="H31" s="177">
        <v>-899220.40000000037</v>
      </c>
      <c r="I31" s="177">
        <v>-5306855.2700000005</v>
      </c>
      <c r="J31" s="268">
        <v>-1209061.05</v>
      </c>
      <c r="K31" s="268">
        <v>-2495242.4900000026</v>
      </c>
      <c r="L31" s="268">
        <v>-2004789.2699999998</v>
      </c>
      <c r="M31" s="268">
        <v>-560277.18000000028</v>
      </c>
      <c r="N31" s="268">
        <v>-2595611.879999999</v>
      </c>
      <c r="O31" s="268">
        <v>1204687.8299999998</v>
      </c>
      <c r="P31" s="268">
        <v>-452228.0500000015</v>
      </c>
      <c r="Q31" s="268">
        <v>-1707968.0899999987</v>
      </c>
      <c r="R31" s="17">
        <f t="shared" si="2"/>
        <v>-16882933.470000006</v>
      </c>
      <c r="S31" s="17"/>
    </row>
    <row r="32" spans="1:19">
      <c r="A32" s="275">
        <f t="shared" si="1"/>
        <v>19</v>
      </c>
      <c r="B32" s="174">
        <v>9210</v>
      </c>
      <c r="C32" s="17" t="s">
        <v>302</v>
      </c>
      <c r="D32" s="177">
        <v>2142789.89</v>
      </c>
      <c r="E32" s="177">
        <v>1771426.0000000002</v>
      </c>
      <c r="F32" s="177">
        <v>1682549.0900000017</v>
      </c>
      <c r="G32" s="177">
        <v>2041980.0199999998</v>
      </c>
      <c r="H32" s="177">
        <v>1933264.6700000002</v>
      </c>
      <c r="I32" s="177">
        <v>2210856.0799999987</v>
      </c>
      <c r="J32" s="268">
        <v>2366814.1200000015</v>
      </c>
      <c r="K32" s="268">
        <v>2317247.35</v>
      </c>
      <c r="L32" s="268">
        <v>3569082.9599999962</v>
      </c>
      <c r="M32" s="268">
        <v>2330459.1300000013</v>
      </c>
      <c r="N32" s="269">
        <v>2641701.1600000011</v>
      </c>
      <c r="O32" s="269">
        <v>2258359.6199999996</v>
      </c>
      <c r="P32" s="268">
        <v>2781260.4700000016</v>
      </c>
      <c r="Q32" s="268">
        <v>2504115.8300000024</v>
      </c>
      <c r="R32" s="17">
        <f t="shared" si="2"/>
        <v>27266530.09</v>
      </c>
      <c r="S32" s="17"/>
    </row>
    <row r="33" spans="1:20">
      <c r="A33" s="275">
        <f t="shared" si="1"/>
        <v>20</v>
      </c>
      <c r="B33" s="174">
        <v>9220</v>
      </c>
      <c r="C33" s="17" t="s">
        <v>303</v>
      </c>
      <c r="D33" s="177">
        <v>-8771029.8199999966</v>
      </c>
      <c r="E33" s="177">
        <v>-7951782.2399999928</v>
      </c>
      <c r="F33" s="177">
        <v>-10587389.510000018</v>
      </c>
      <c r="G33" s="177">
        <v>-8252355.5500000073</v>
      </c>
      <c r="H33" s="177">
        <v>-13352610.350000011</v>
      </c>
      <c r="I33" s="177">
        <v>-5009611.8700000076</v>
      </c>
      <c r="J33" s="269">
        <v>-11709289.610000005</v>
      </c>
      <c r="K33" s="269">
        <v>-6530449.560000007</v>
      </c>
      <c r="L33" s="269">
        <v>-7222120.4200000158</v>
      </c>
      <c r="M33" s="269">
        <v>-10613656.680000003</v>
      </c>
      <c r="N33" s="268">
        <v>-5278922.8899999997</v>
      </c>
      <c r="O33" s="268">
        <v>-7489119.1900000144</v>
      </c>
      <c r="P33" s="268">
        <v>-9277980.069999991</v>
      </c>
      <c r="Q33" s="268">
        <v>-8012680.1100000096</v>
      </c>
      <c r="R33" s="17">
        <f t="shared" si="2"/>
        <v>-102768337.69000007</v>
      </c>
      <c r="S33" s="158"/>
    </row>
    <row r="34" spans="1:20">
      <c r="A34" s="275">
        <f t="shared" si="1"/>
        <v>21</v>
      </c>
      <c r="B34" s="174">
        <v>9230</v>
      </c>
      <c r="C34" s="17" t="s">
        <v>304</v>
      </c>
      <c r="D34" s="177">
        <v>689944.08</v>
      </c>
      <c r="E34" s="177">
        <v>802488.29</v>
      </c>
      <c r="F34" s="177">
        <v>1004663.3899999999</v>
      </c>
      <c r="G34" s="177">
        <v>1133846.07</v>
      </c>
      <c r="H34" s="177">
        <v>1038731.66</v>
      </c>
      <c r="I34" s="177">
        <v>1348513.2000000002</v>
      </c>
      <c r="J34" s="268">
        <v>1220414.1500000001</v>
      </c>
      <c r="K34" s="268">
        <v>1262717.95</v>
      </c>
      <c r="L34" s="268">
        <v>1820078.4799999997</v>
      </c>
      <c r="M34" s="268">
        <v>830765.13000000012</v>
      </c>
      <c r="N34" s="268">
        <v>1083662.8999999999</v>
      </c>
      <c r="O34" s="268">
        <v>1206574.6899999997</v>
      </c>
      <c r="P34" s="268">
        <v>1131263.1100000001</v>
      </c>
      <c r="Q34" s="268">
        <v>1056037.44</v>
      </c>
      <c r="R34" s="17">
        <f t="shared" si="2"/>
        <v>13442399.990000002</v>
      </c>
      <c r="S34" s="17"/>
    </row>
    <row r="35" spans="1:20">
      <c r="A35" s="275">
        <f t="shared" si="1"/>
        <v>22</v>
      </c>
      <c r="B35" s="174">
        <v>9240</v>
      </c>
      <c r="C35" s="17" t="s">
        <v>305</v>
      </c>
      <c r="D35" s="177">
        <v>11426.37</v>
      </c>
      <c r="E35" s="177">
        <v>11426.37</v>
      </c>
      <c r="F35" s="177">
        <v>10818.54</v>
      </c>
      <c r="G35" s="177">
        <v>10818.54</v>
      </c>
      <c r="H35" s="177">
        <v>10818.54</v>
      </c>
      <c r="I35" s="177">
        <v>10818.54</v>
      </c>
      <c r="J35" s="268">
        <v>10818.54</v>
      </c>
      <c r="K35" s="268">
        <v>10818.54</v>
      </c>
      <c r="L35" s="268">
        <v>10818.54</v>
      </c>
      <c r="M35" s="268">
        <v>10818.54</v>
      </c>
      <c r="N35" s="268">
        <v>10818.54</v>
      </c>
      <c r="O35" s="268">
        <v>10818.54</v>
      </c>
      <c r="P35" s="268">
        <v>10818.54</v>
      </c>
      <c r="Q35" s="268">
        <v>10818.54</v>
      </c>
      <c r="R35" s="17">
        <f t="shared" si="2"/>
        <v>131038.14000000004</v>
      </c>
      <c r="S35" s="17"/>
    </row>
    <row r="36" spans="1:20">
      <c r="A36" s="275">
        <f t="shared" si="1"/>
        <v>23</v>
      </c>
      <c r="B36" s="174">
        <v>9250</v>
      </c>
      <c r="C36" s="17" t="s">
        <v>306</v>
      </c>
      <c r="D36" s="177">
        <v>1587462.79</v>
      </c>
      <c r="E36" s="177">
        <v>1587212.5</v>
      </c>
      <c r="F36" s="177">
        <v>1877081.03</v>
      </c>
      <c r="G36" s="177">
        <v>1587312.98</v>
      </c>
      <c r="H36" s="177">
        <v>1587108.86</v>
      </c>
      <c r="I36" s="177">
        <v>1084488.76</v>
      </c>
      <c r="J36" s="268">
        <v>3583137.38</v>
      </c>
      <c r="K36" s="268">
        <v>1589740.41</v>
      </c>
      <c r="L36" s="268">
        <v>2001337.73</v>
      </c>
      <c r="M36" s="268">
        <v>1627741.78</v>
      </c>
      <c r="N36" s="268">
        <v>1502552.5599999998</v>
      </c>
      <c r="O36" s="268">
        <v>1609344.2400000002</v>
      </c>
      <c r="P36" s="268">
        <v>1606799.65</v>
      </c>
      <c r="Q36" s="268">
        <v>1609865.4799999997</v>
      </c>
      <c r="R36" s="17">
        <f t="shared" si="2"/>
        <v>21224521.020000003</v>
      </c>
      <c r="S36" s="17"/>
    </row>
    <row r="37" spans="1:20">
      <c r="A37" s="275">
        <f t="shared" si="1"/>
        <v>24</v>
      </c>
      <c r="B37" s="174">
        <v>9260</v>
      </c>
      <c r="C37" s="17" t="s">
        <v>307</v>
      </c>
      <c r="D37" s="177">
        <v>2898621.8099999959</v>
      </c>
      <c r="E37" s="177">
        <v>3461897.68</v>
      </c>
      <c r="F37" s="177">
        <v>5497584.4900000039</v>
      </c>
      <c r="G37" s="177">
        <v>3538375.3599999989</v>
      </c>
      <c r="H37" s="177">
        <v>9024586.9699999951</v>
      </c>
      <c r="I37" s="177">
        <v>4392184.0100000063</v>
      </c>
      <c r="J37" s="268">
        <v>7335156.0599999912</v>
      </c>
      <c r="K37" s="268">
        <v>3357085.6300000027</v>
      </c>
      <c r="L37" s="268">
        <v>1612929.9099999992</v>
      </c>
      <c r="M37" s="268">
        <v>5503145.1800000025</v>
      </c>
      <c r="N37" s="268">
        <v>1842523.4599999988</v>
      </c>
      <c r="O37" s="268">
        <v>82939.219999996567</v>
      </c>
      <c r="P37" s="268">
        <v>3028691.790000001</v>
      </c>
      <c r="Q37" s="268">
        <v>3393180.7100000056</v>
      </c>
      <c r="R37" s="17">
        <f t="shared" si="2"/>
        <v>48547029.779999994</v>
      </c>
      <c r="S37" s="17"/>
    </row>
    <row r="38" spans="1:20">
      <c r="A38" s="275">
        <f t="shared" si="1"/>
        <v>25</v>
      </c>
      <c r="B38" s="174">
        <v>9269</v>
      </c>
      <c r="C38" s="17" t="s">
        <v>365</v>
      </c>
      <c r="D38" s="177"/>
      <c r="E38" s="177"/>
      <c r="F38" s="177"/>
      <c r="G38" s="177"/>
      <c r="H38" s="177"/>
      <c r="I38" s="177"/>
      <c r="J38" s="273"/>
      <c r="K38" s="273"/>
      <c r="L38" s="273"/>
      <c r="M38" s="273"/>
      <c r="N38" s="273"/>
      <c r="O38" s="273"/>
      <c r="P38" s="273"/>
      <c r="Q38" s="273"/>
      <c r="R38" s="17">
        <f t="shared" si="2"/>
        <v>0</v>
      </c>
      <c r="S38" s="17"/>
    </row>
    <row r="39" spans="1:20">
      <c r="A39" s="275">
        <f t="shared" si="1"/>
        <v>26</v>
      </c>
      <c r="B39" s="174">
        <v>9301</v>
      </c>
      <c r="C39" s="17" t="s">
        <v>322</v>
      </c>
      <c r="D39" s="177">
        <f>0</f>
        <v>0</v>
      </c>
      <c r="E39" s="177">
        <f>0</f>
        <v>0</v>
      </c>
      <c r="F39" s="177">
        <f>0</f>
        <v>0</v>
      </c>
      <c r="G39" s="177">
        <f>0</f>
        <v>0</v>
      </c>
      <c r="H39" s="177">
        <f>0</f>
        <v>0</v>
      </c>
      <c r="I39" s="177">
        <f>0</f>
        <v>0</v>
      </c>
      <c r="J39" s="268"/>
      <c r="K39" s="268"/>
      <c r="L39" s="268"/>
      <c r="M39" s="268"/>
      <c r="N39" s="268"/>
      <c r="O39" s="268"/>
      <c r="P39" s="268"/>
      <c r="Q39" s="268"/>
      <c r="R39" s="17">
        <f t="shared" si="2"/>
        <v>0</v>
      </c>
      <c r="S39" s="17"/>
    </row>
    <row r="40" spans="1:20">
      <c r="A40" s="275">
        <f t="shared" si="1"/>
        <v>27</v>
      </c>
      <c r="B40" s="174">
        <v>9302</v>
      </c>
      <c r="C40" s="17" t="s">
        <v>310</v>
      </c>
      <c r="D40" s="177">
        <v>579195.31999999995</v>
      </c>
      <c r="E40" s="177">
        <v>377496.01000000007</v>
      </c>
      <c r="F40" s="177">
        <v>2956335.5599999996</v>
      </c>
      <c r="G40" s="177">
        <v>386905.63</v>
      </c>
      <c r="H40" s="177">
        <v>186525.19</v>
      </c>
      <c r="I40" s="177">
        <v>263397.25999999995</v>
      </c>
      <c r="J40" s="268">
        <v>290524.93</v>
      </c>
      <c r="K40" s="268">
        <v>196693.25000000006</v>
      </c>
      <c r="L40" s="268">
        <v>293569.43</v>
      </c>
      <c r="M40" s="268">
        <v>342612.15000000008</v>
      </c>
      <c r="N40" s="268">
        <v>252252.28</v>
      </c>
      <c r="O40" s="268">
        <v>522569.13</v>
      </c>
      <c r="P40" s="268">
        <v>706777.68000000017</v>
      </c>
      <c r="Q40" s="268">
        <v>611467.9</v>
      </c>
      <c r="R40" s="17">
        <f t="shared" si="2"/>
        <v>6648076.1399999997</v>
      </c>
      <c r="S40" s="17"/>
    </row>
    <row r="41" spans="1:20">
      <c r="A41" s="275">
        <f t="shared" si="1"/>
        <v>28</v>
      </c>
      <c r="B41" s="174">
        <v>9310</v>
      </c>
      <c r="C41" s="17" t="s">
        <v>200</v>
      </c>
      <c r="D41" s="177">
        <v>506336.29999999993</v>
      </c>
      <c r="E41" s="177">
        <v>515892.06000000011</v>
      </c>
      <c r="F41" s="177">
        <v>421345.29999999987</v>
      </c>
      <c r="G41" s="177">
        <v>109296.61</v>
      </c>
      <c r="H41" s="177">
        <v>405037.73</v>
      </c>
      <c r="I41" s="177">
        <v>456119.71999999986</v>
      </c>
      <c r="J41" s="268">
        <v>459223.24</v>
      </c>
      <c r="K41" s="268">
        <v>460489.2699999999</v>
      </c>
      <c r="L41" s="268">
        <v>479966.0399999998</v>
      </c>
      <c r="M41" s="268">
        <v>464493.66999999987</v>
      </c>
      <c r="N41" s="268">
        <v>487434.43999999977</v>
      </c>
      <c r="O41" s="268">
        <v>464129.77999999997</v>
      </c>
      <c r="P41" s="268">
        <v>414331.59000000008</v>
      </c>
      <c r="Q41" s="268">
        <v>455895.25999999983</v>
      </c>
      <c r="R41" s="17">
        <f t="shared" si="2"/>
        <v>5229764.1599999992</v>
      </c>
      <c r="S41" s="17"/>
    </row>
    <row r="42" spans="1:20">
      <c r="A42" s="275">
        <f t="shared" si="1"/>
        <v>29</v>
      </c>
      <c r="B42" s="174">
        <v>9320</v>
      </c>
      <c r="C42" s="17" t="s">
        <v>311</v>
      </c>
      <c r="D42" s="177">
        <v>24040.230000000003</v>
      </c>
      <c r="E42" s="177">
        <v>45827.970000000008</v>
      </c>
      <c r="F42" s="177">
        <v>4366.8500000000004</v>
      </c>
      <c r="G42" s="177">
        <v>30115.31</v>
      </c>
      <c r="H42" s="177">
        <v>47042.729999999996</v>
      </c>
      <c r="I42" s="177">
        <v>34153.919999999998</v>
      </c>
      <c r="J42" s="268">
        <v>52307.439999999995</v>
      </c>
      <c r="K42" s="268">
        <v>54232.13</v>
      </c>
      <c r="L42" s="268">
        <v>42808.869999999995</v>
      </c>
      <c r="M42" s="268">
        <v>40622.399999999994</v>
      </c>
      <c r="N42" s="268">
        <v>69662.070000000007</v>
      </c>
      <c r="O42" s="268">
        <v>19867.690000000002</v>
      </c>
      <c r="P42" s="268">
        <v>29949.25</v>
      </c>
      <c r="Q42" s="268">
        <v>29293.96</v>
      </c>
      <c r="R42" s="17">
        <f t="shared" si="2"/>
        <v>465047.61</v>
      </c>
      <c r="S42" s="17"/>
    </row>
    <row r="43" spans="1:20" ht="15.75" thickBot="1">
      <c r="A43" s="275">
        <f t="shared" si="1"/>
        <v>30</v>
      </c>
      <c r="B43" s="17" t="s">
        <v>312</v>
      </c>
      <c r="C43" s="213"/>
      <c r="D43" s="214">
        <f t="shared" ref="D43:R43" si="3">SUM(D14:D42)</f>
        <v>-450.50000000067666</v>
      </c>
      <c r="E43" s="214">
        <f t="shared" si="3"/>
        <v>2558.6000000085696</v>
      </c>
      <c r="F43" s="214">
        <f t="shared" si="3"/>
        <v>23538878.009999983</v>
      </c>
      <c r="G43" s="214">
        <f t="shared" si="3"/>
        <v>2273773.2999999914</v>
      </c>
      <c r="H43" s="214">
        <f t="shared" si="3"/>
        <v>50921.029999982173</v>
      </c>
      <c r="I43" s="214">
        <f t="shared" si="3"/>
        <v>-1835053.7200000044</v>
      </c>
      <c r="J43" s="274">
        <f t="shared" si="3"/>
        <v>2196665.0899999863</v>
      </c>
      <c r="K43" s="274">
        <f t="shared" si="3"/>
        <v>241657.86999999319</v>
      </c>
      <c r="L43" s="274">
        <f t="shared" si="3"/>
        <v>842971.83999997971</v>
      </c>
      <c r="M43" s="274">
        <f t="shared" si="3"/>
        <v>-10787.369999999908</v>
      </c>
      <c r="N43" s="274">
        <f t="shared" si="3"/>
        <v>29553.500000000466</v>
      </c>
      <c r="O43" s="274">
        <f t="shared" si="3"/>
        <v>-87454.550000018557</v>
      </c>
      <c r="P43" s="274">
        <f t="shared" si="3"/>
        <v>363.37000001058914</v>
      </c>
      <c r="Q43" s="274">
        <f t="shared" si="3"/>
        <v>-30059.090000001968</v>
      </c>
      <c r="R43" s="214">
        <f t="shared" si="3"/>
        <v>27243233.099999916</v>
      </c>
      <c r="S43" s="17"/>
    </row>
    <row r="44" spans="1:20" ht="15.75" thickTop="1">
      <c r="A44" s="275">
        <f t="shared" si="1"/>
        <v>31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20">
      <c r="A45" s="275">
        <f t="shared" si="1"/>
        <v>32</v>
      </c>
      <c r="B45" s="174">
        <f t="shared" ref="B45:O45" si="4">B33</f>
        <v>9220</v>
      </c>
      <c r="C45" s="174" t="str">
        <f t="shared" si="4"/>
        <v>A&amp;G-Administrative expense transferred-Credit</v>
      </c>
      <c r="D45" s="215">
        <f t="shared" si="4"/>
        <v>-8771029.8199999966</v>
      </c>
      <c r="E45" s="215">
        <f t="shared" si="4"/>
        <v>-7951782.2399999928</v>
      </c>
      <c r="F45" s="215">
        <f t="shared" si="4"/>
        <v>-10587389.510000018</v>
      </c>
      <c r="G45" s="215">
        <f t="shared" si="4"/>
        <v>-8252355.5500000073</v>
      </c>
      <c r="H45" s="215">
        <f t="shared" si="4"/>
        <v>-13352610.350000011</v>
      </c>
      <c r="I45" s="215">
        <f t="shared" si="4"/>
        <v>-5009611.8700000076</v>
      </c>
      <c r="J45" s="215">
        <f t="shared" si="4"/>
        <v>-11709289.610000005</v>
      </c>
      <c r="K45" s="215">
        <f t="shared" si="4"/>
        <v>-6530449.560000007</v>
      </c>
      <c r="L45" s="215">
        <f t="shared" si="4"/>
        <v>-7222120.4200000158</v>
      </c>
      <c r="M45" s="215">
        <f t="shared" si="4"/>
        <v>-10613656.680000003</v>
      </c>
      <c r="N45" s="215">
        <f t="shared" si="4"/>
        <v>-5278922.8899999997</v>
      </c>
      <c r="O45" s="215">
        <f t="shared" si="4"/>
        <v>-7489119.1900000144</v>
      </c>
      <c r="P45" s="215">
        <f t="shared" ref="P45:Q45" si="5">P33</f>
        <v>-9277980.069999991</v>
      </c>
      <c r="Q45" s="215">
        <f t="shared" si="5"/>
        <v>-8012680.1100000096</v>
      </c>
      <c r="R45" s="17">
        <f t="shared" ref="R45" si="6">SUM(D45:O45)</f>
        <v>-102768337.69000007</v>
      </c>
      <c r="S45" s="17"/>
    </row>
    <row r="46" spans="1:20">
      <c r="A46" s="275">
        <f t="shared" si="1"/>
        <v>33</v>
      </c>
      <c r="B46" s="17"/>
      <c r="C46" s="216" t="s">
        <v>323</v>
      </c>
      <c r="D46" s="217">
        <f>D47/D45</f>
        <v>5.8598595666386664E-2</v>
      </c>
      <c r="E46" s="217">
        <f t="shared" ref="E46:I46" si="7">E47/E45</f>
        <v>5.8022162337282565E-2</v>
      </c>
      <c r="F46" s="217">
        <f t="shared" si="7"/>
        <v>5.697553485023326E-2</v>
      </c>
      <c r="G46" s="217">
        <f t="shared" si="7"/>
        <v>5.9478907207288177E-2</v>
      </c>
      <c r="H46" s="217">
        <f t="shared" si="7"/>
        <v>5.6001290414349536E-2</v>
      </c>
      <c r="I46" s="217">
        <f t="shared" si="7"/>
        <v>6.2800763445172755E-2</v>
      </c>
      <c r="J46" s="217">
        <f t="shared" ref="J46:O46" si="8">J47/J45</f>
        <v>5.6990879227215532E-2</v>
      </c>
      <c r="K46" s="217">
        <f t="shared" si="8"/>
        <v>6.0276305081820365E-2</v>
      </c>
      <c r="L46" s="217">
        <f t="shared" si="8"/>
        <v>6.206582747619141E-2</v>
      </c>
      <c r="M46" s="217">
        <f t="shared" si="8"/>
        <v>5.1975941622411689E-2</v>
      </c>
      <c r="N46" s="217">
        <f t="shared" si="8"/>
        <v>5.0567385726674262E-2</v>
      </c>
      <c r="O46" s="217">
        <f t="shared" si="8"/>
        <v>6.2004234172162921E-2</v>
      </c>
      <c r="P46" s="217">
        <f t="shared" ref="P46:Q46" si="9">P47/P45</f>
        <v>5.454591044406075E-2</v>
      </c>
      <c r="Q46" s="217">
        <f t="shared" si="9"/>
        <v>5.3621049898621188E-2</v>
      </c>
      <c r="R46" s="217">
        <f t="shared" ref="R46" si="10">R47/R45</f>
        <v>5.7643609726076482E-2</v>
      </c>
      <c r="S46" s="17"/>
      <c r="T46" s="178"/>
    </row>
    <row r="47" spans="1:20">
      <c r="A47" s="275">
        <f t="shared" si="1"/>
        <v>34</v>
      </c>
      <c r="B47" s="17"/>
      <c r="C47" s="17" t="s">
        <v>324</v>
      </c>
      <c r="D47" s="17">
        <v>-513970.03</v>
      </c>
      <c r="E47" s="17">
        <v>-461379.6</v>
      </c>
      <c r="F47" s="17">
        <v>-603222.18000000005</v>
      </c>
      <c r="G47" s="17">
        <v>-490841.09</v>
      </c>
      <c r="H47" s="17">
        <v>-747763.41</v>
      </c>
      <c r="I47" s="17">
        <v>-314607.45</v>
      </c>
      <c r="J47" s="17">
        <v>-667322.71</v>
      </c>
      <c r="K47" s="17">
        <v>-393631.37</v>
      </c>
      <c r="L47" s="17">
        <v>-448246.88</v>
      </c>
      <c r="M47" s="17">
        <v>-551654.80000000005</v>
      </c>
      <c r="N47" s="17">
        <v>-266941.33</v>
      </c>
      <c r="O47" s="17">
        <v>-464357.1</v>
      </c>
      <c r="P47" s="17">
        <v>-506075.87</v>
      </c>
      <c r="Q47" s="17">
        <v>-429648.32</v>
      </c>
      <c r="R47" s="17">
        <f>SUM(D47:O47)</f>
        <v>-5923937.9500000002</v>
      </c>
      <c r="S47" s="17"/>
      <c r="T47" s="178"/>
    </row>
    <row r="48" spans="1:20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53"/>
      <c r="P48" s="153"/>
      <c r="Q48" s="153"/>
      <c r="R48" s="153"/>
      <c r="S48" s="17"/>
    </row>
    <row r="49" spans="1:19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53"/>
      <c r="P49" s="153"/>
      <c r="Q49" s="153"/>
      <c r="R49" s="153"/>
      <c r="S49" s="17"/>
    </row>
    <row r="50" spans="1:19">
      <c r="A50" s="17"/>
      <c r="B50" s="17" t="s">
        <v>325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53"/>
      <c r="P50" s="153"/>
      <c r="Q50" s="153"/>
      <c r="R50" s="153"/>
      <c r="S50" s="17"/>
    </row>
    <row r="51" spans="1:19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58"/>
      <c r="S51" s="17"/>
    </row>
    <row r="52" spans="1:19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53"/>
      <c r="S52" s="17"/>
    </row>
    <row r="53" spans="1:19">
      <c r="A53" s="17"/>
      <c r="B53" s="17" t="s">
        <v>315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53"/>
      <c r="S53" s="17"/>
    </row>
    <row r="54" spans="1:19">
      <c r="A54" s="17"/>
      <c r="B54" s="1" t="s">
        <v>316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53"/>
      <c r="S54" s="218"/>
    </row>
    <row r="55" spans="1:19">
      <c r="A55" s="17"/>
      <c r="B55" s="1" t="s">
        <v>317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19"/>
      <c r="P55" s="219"/>
      <c r="Q55" s="219"/>
      <c r="R55" s="153"/>
      <c r="S55" s="220"/>
    </row>
    <row r="56" spans="1:19">
      <c r="A56" s="17"/>
      <c r="B56" s="17"/>
      <c r="C56" s="157" t="s">
        <v>326</v>
      </c>
      <c r="D56" s="77">
        <v>3</v>
      </c>
      <c r="E56" s="221">
        <v>4</v>
      </c>
      <c r="F56" s="221">
        <v>5</v>
      </c>
      <c r="G56" s="77">
        <v>6</v>
      </c>
      <c r="H56" s="77">
        <v>7</v>
      </c>
      <c r="I56" s="77">
        <v>8</v>
      </c>
      <c r="J56" s="221">
        <v>9</v>
      </c>
      <c r="K56" s="221">
        <v>10</v>
      </c>
      <c r="L56" s="77">
        <v>11</v>
      </c>
      <c r="M56" s="77">
        <v>12</v>
      </c>
      <c r="N56" s="77">
        <v>13</v>
      </c>
      <c r="O56" s="77">
        <v>14</v>
      </c>
      <c r="P56" s="275"/>
      <c r="Q56" s="275"/>
      <c r="R56" s="153"/>
      <c r="S56" s="220"/>
    </row>
    <row r="57" spans="1:19">
      <c r="A57" s="17"/>
      <c r="B57" s="17"/>
      <c r="C57" s="17"/>
      <c r="D57" s="33"/>
      <c r="E57" s="33"/>
      <c r="F57" s="33"/>
      <c r="G57" s="33"/>
      <c r="H57" s="33"/>
      <c r="I57" s="33"/>
      <c r="J57" s="33"/>
      <c r="K57" s="222"/>
      <c r="L57" s="222"/>
      <c r="M57" s="222"/>
      <c r="N57" s="222"/>
      <c r="O57" s="157"/>
      <c r="P57" s="157"/>
      <c r="Q57" s="157"/>
      <c r="R57" s="153"/>
      <c r="S57" s="220"/>
    </row>
    <row r="58" spans="1:19">
      <c r="A58" s="17"/>
      <c r="B58" s="158"/>
      <c r="C58" s="15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53"/>
      <c r="P58" s="153"/>
      <c r="Q58" s="153"/>
      <c r="R58" s="153"/>
      <c r="S58" s="220"/>
    </row>
    <row r="59" spans="1:19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220"/>
    </row>
    <row r="60" spans="1:19">
      <c r="A60" s="17"/>
      <c r="B60" s="17"/>
      <c r="C60" s="17"/>
      <c r="D60" s="17">
        <v>8770578.3100000042</v>
      </c>
      <c r="E60" s="17">
        <v>7954340.8500000015</v>
      </c>
      <c r="F60" s="17">
        <v>34126267.530000001</v>
      </c>
      <c r="G60" s="17">
        <v>10526128.850000001</v>
      </c>
      <c r="H60" s="17">
        <v>13403531.380000001</v>
      </c>
      <c r="I60" s="17">
        <v>4270159.1500000004</v>
      </c>
      <c r="J60" s="17">
        <v>9656779.6600000001</v>
      </c>
      <c r="K60" s="17">
        <v>8022888.8999999994</v>
      </c>
      <c r="L60" s="17">
        <v>7941749.2700000005</v>
      </c>
      <c r="M60" s="17">
        <v>8813418.5976</v>
      </c>
      <c r="N60" s="17">
        <v>8811470.5757999998</v>
      </c>
      <c r="O60" s="17">
        <v>8957491.959499998</v>
      </c>
      <c r="P60" s="17"/>
      <c r="Q60" s="17"/>
      <c r="R60" s="17"/>
      <c r="S60" s="17"/>
    </row>
    <row r="61" spans="1:19">
      <c r="A61" s="17"/>
      <c r="B61" s="17"/>
      <c r="C61" s="17"/>
      <c r="D61" s="17">
        <f>-D45</f>
        <v>8771029.8199999966</v>
      </c>
      <c r="E61" s="17">
        <f t="shared" ref="E61:O61" si="11">-E45</f>
        <v>7951782.2399999928</v>
      </c>
      <c r="F61" s="17">
        <f t="shared" si="11"/>
        <v>10587389.510000018</v>
      </c>
      <c r="G61" s="17">
        <f t="shared" si="11"/>
        <v>8252355.5500000073</v>
      </c>
      <c r="H61" s="17">
        <f t="shared" si="11"/>
        <v>13352610.350000011</v>
      </c>
      <c r="I61" s="17">
        <f t="shared" si="11"/>
        <v>5009611.8700000076</v>
      </c>
      <c r="J61" s="17">
        <f t="shared" si="11"/>
        <v>11709289.610000005</v>
      </c>
      <c r="K61" s="17">
        <f t="shared" si="11"/>
        <v>6530449.560000007</v>
      </c>
      <c r="L61" s="17">
        <f t="shared" si="11"/>
        <v>7222120.4200000158</v>
      </c>
      <c r="M61" s="17">
        <f t="shared" si="11"/>
        <v>10613656.680000003</v>
      </c>
      <c r="N61" s="17">
        <f t="shared" si="11"/>
        <v>5278922.8899999997</v>
      </c>
      <c r="O61" s="17">
        <f t="shared" si="11"/>
        <v>7489119.1900000144</v>
      </c>
      <c r="P61" s="17"/>
      <c r="Q61" s="17"/>
      <c r="R61" s="17"/>
      <c r="S61" s="17"/>
    </row>
    <row r="62" spans="1:19">
      <c r="A62" s="17"/>
      <c r="B62" s="17"/>
      <c r="C62" s="158"/>
      <c r="D62" s="17">
        <f>D60-D61</f>
        <v>-451.5099999923259</v>
      </c>
      <c r="E62" s="17">
        <f t="shared" ref="E62:O62" si="12">E60-E61</f>
        <v>2558.6100000087172</v>
      </c>
      <c r="F62" s="17">
        <f t="shared" si="12"/>
        <v>23538878.019999981</v>
      </c>
      <c r="G62" s="17">
        <f t="shared" si="12"/>
        <v>2273773.2999999942</v>
      </c>
      <c r="H62" s="17">
        <f t="shared" si="12"/>
        <v>50921.029999990016</v>
      </c>
      <c r="I62" s="17">
        <f t="shared" si="12"/>
        <v>-739452.72000000719</v>
      </c>
      <c r="J62" s="17">
        <f t="shared" si="12"/>
        <v>-2052509.9500000048</v>
      </c>
      <c r="K62" s="17">
        <f t="shared" si="12"/>
        <v>1492439.3399999924</v>
      </c>
      <c r="L62" s="17">
        <f t="shared" si="12"/>
        <v>719628.84999998473</v>
      </c>
      <c r="M62" s="17">
        <f t="shared" si="12"/>
        <v>-1800238.0824000034</v>
      </c>
      <c r="N62" s="17">
        <f t="shared" si="12"/>
        <v>3532547.6858000001</v>
      </c>
      <c r="O62" s="17">
        <f t="shared" si="12"/>
        <v>1468372.7694999836</v>
      </c>
      <c r="P62" s="17"/>
      <c r="Q62" s="17"/>
      <c r="R62" s="17"/>
      <c r="S62" s="17"/>
    </row>
    <row r="63" spans="1:19">
      <c r="A63" s="17"/>
      <c r="B63" s="17"/>
      <c r="C63" s="15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19">
      <c r="O64" s="157"/>
      <c r="P64" s="157"/>
      <c r="Q64" s="157"/>
    </row>
    <row r="65" spans="3:18">
      <c r="O65" s="157" t="s">
        <v>327</v>
      </c>
      <c r="P65" s="157"/>
      <c r="Q65" s="157"/>
      <c r="R65" s="154">
        <f>SUM(R18:R42)-R33+SUM('C.2.2 B 12'!R14:R29)-'C.2.2 B 12'!R22</f>
        <v>178158366.06999999</v>
      </c>
    </row>
    <row r="66" spans="3:18">
      <c r="O66" s="157" t="s">
        <v>328</v>
      </c>
      <c r="P66" s="157"/>
      <c r="Q66" s="157"/>
    </row>
    <row r="68" spans="3:18">
      <c r="C68" s="158"/>
    </row>
  </sheetData>
  <mergeCells count="4">
    <mergeCell ref="A1:R1"/>
    <mergeCell ref="A2:R2"/>
    <mergeCell ref="A3:R3"/>
    <mergeCell ref="A4:R4"/>
  </mergeCells>
  <printOptions horizontalCentered="1"/>
  <pageMargins left="0.5" right="0.5" top="0.75" bottom="0.65" header="0.25" footer="0.25"/>
  <pageSetup scale="42" fitToHeight="2" orientation="landscape" verticalDpi="300" r:id="rId1"/>
  <headerFooter alignWithMargins="0">
    <oddHeader>&amp;RCASE NO. 2018-00281
ATTACHMENT 1
TO STAFF DR NO. 1-46
(SUPPLEMENT 03-29-19)</oddHeader>
    <oddFooter>&amp;RSchedule &amp;A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44"/>
  <sheetViews>
    <sheetView view="pageBreakPreview" zoomScale="80" zoomScaleNormal="70" zoomScaleSheetLayoutView="80" workbookViewId="0">
      <pane xSplit="3" ySplit="10" topLeftCell="D11" activePane="bottomRight" state="frozen"/>
      <selection sqref="A1:J1"/>
      <selection pane="topRight" sqref="A1:J1"/>
      <selection pane="bottomLeft" sqref="A1:J1"/>
      <selection pane="bottomRight" activeCell="D11" sqref="D11"/>
    </sheetView>
  </sheetViews>
  <sheetFormatPr defaultColWidth="7.109375" defaultRowHeight="15"/>
  <cols>
    <col min="1" max="1" width="4.6640625" customWidth="1"/>
    <col min="2" max="2" width="8.6640625" customWidth="1"/>
    <col min="3" max="3" width="42" customWidth="1"/>
    <col min="4" max="4" width="12.44140625" bestFit="1" customWidth="1"/>
    <col min="5" max="5" width="11.109375" customWidth="1"/>
    <col min="6" max="6" width="12" bestFit="1" customWidth="1"/>
    <col min="7" max="7" width="11.77734375" bestFit="1" customWidth="1"/>
    <col min="8" max="8" width="11.33203125" bestFit="1" customWidth="1"/>
    <col min="9" max="9" width="11.109375" customWidth="1"/>
    <col min="10" max="11" width="11.33203125" bestFit="1" customWidth="1"/>
    <col min="12" max="13" width="12.44140625" bestFit="1" customWidth="1"/>
    <col min="14" max="14" width="11.33203125" bestFit="1" customWidth="1"/>
    <col min="15" max="17" width="16.6640625" customWidth="1"/>
    <col min="18" max="18" width="19.109375" customWidth="1"/>
    <col min="19" max="19" width="12.44140625" customWidth="1"/>
    <col min="20" max="20" width="12.5546875" customWidth="1"/>
    <col min="21" max="21" width="10.88671875" customWidth="1"/>
  </cols>
  <sheetData>
    <row r="1" spans="1:23">
      <c r="A1" s="279" t="s">
        <v>360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1"/>
      <c r="T1" s="1"/>
      <c r="U1" s="1"/>
    </row>
    <row r="2" spans="1:23">
      <c r="A2" s="279" t="s">
        <v>361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1"/>
      <c r="T2" s="1"/>
      <c r="U2" s="1"/>
    </row>
    <row r="3" spans="1:23">
      <c r="A3" s="279" t="s">
        <v>213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1"/>
      <c r="T3" s="1"/>
      <c r="U3" s="1"/>
    </row>
    <row r="4" spans="1:23">
      <c r="A4" s="279" t="s">
        <v>363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1"/>
      <c r="T4" s="1"/>
      <c r="U4" s="1"/>
    </row>
    <row r="5" spans="1:23" ht="15.75">
      <c r="A5" s="77"/>
      <c r="B5" s="77"/>
      <c r="C5" s="77"/>
      <c r="D5" s="153"/>
      <c r="E5" s="154"/>
      <c r="F5" s="155"/>
      <c r="G5" s="77"/>
      <c r="H5" s="77"/>
      <c r="I5" s="77"/>
      <c r="J5" s="154"/>
      <c r="K5" s="155"/>
      <c r="L5" s="77"/>
      <c r="M5" s="77"/>
      <c r="N5" s="77"/>
      <c r="O5" s="77"/>
      <c r="P5" s="275"/>
      <c r="Q5" s="275"/>
      <c r="R5" s="77"/>
      <c r="S5" s="1"/>
      <c r="T5" s="1"/>
      <c r="U5" s="1"/>
    </row>
    <row r="6" spans="1:23" ht="15.75">
      <c r="A6" s="156" t="str">
        <f>'C.2.1 B'!A6</f>
        <v>Data:___X____Base Period________Forecasted Period</v>
      </c>
      <c r="B6" s="17"/>
      <c r="C6" s="17"/>
      <c r="D6" s="153"/>
      <c r="E6" s="153"/>
      <c r="F6" s="155"/>
      <c r="G6" s="153"/>
      <c r="H6" s="153"/>
      <c r="I6" s="153"/>
      <c r="J6" s="153"/>
      <c r="K6" s="154"/>
      <c r="L6" s="17"/>
      <c r="M6" s="17"/>
      <c r="N6" s="17"/>
      <c r="O6" s="77"/>
      <c r="P6" s="275"/>
      <c r="Q6" s="275"/>
      <c r="R6" s="157" t="s">
        <v>214</v>
      </c>
      <c r="S6" s="1"/>
      <c r="T6" s="1"/>
      <c r="U6" s="1"/>
    </row>
    <row r="7" spans="1:23">
      <c r="A7" s="156" t="str">
        <f>'C.2.1 B'!A7</f>
        <v>Type of Filing:___X____Original________Updated ________Revised</v>
      </c>
      <c r="B7" s="17"/>
      <c r="C7" s="17"/>
      <c r="D7" s="153"/>
      <c r="E7" s="158"/>
      <c r="F7" s="17"/>
      <c r="G7" s="17"/>
      <c r="H7" s="17"/>
      <c r="I7" s="17"/>
      <c r="J7" s="17"/>
      <c r="K7" s="17"/>
      <c r="L7" s="17"/>
      <c r="M7" s="17"/>
      <c r="N7" s="17"/>
      <c r="O7" s="77"/>
      <c r="P7" s="275"/>
      <c r="Q7" s="275"/>
      <c r="R7" s="159" t="s">
        <v>215</v>
      </c>
      <c r="S7" s="1"/>
      <c r="T7" s="1"/>
      <c r="U7" s="1"/>
    </row>
    <row r="8" spans="1:23">
      <c r="A8" s="160" t="str">
        <f>'C.2.1 B'!A8</f>
        <v>Workpaper Reference No(s).____________________</v>
      </c>
      <c r="B8" s="17"/>
      <c r="C8" s="17"/>
      <c r="D8" s="161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1"/>
      <c r="P8" s="153"/>
      <c r="Q8" s="153"/>
      <c r="R8" s="163" t="str">
        <f>'C.1'!J9</f>
        <v>Witness: Waller, Densman</v>
      </c>
      <c r="S8" s="1"/>
      <c r="T8" s="1"/>
      <c r="U8" s="1"/>
    </row>
    <row r="9" spans="1:23">
      <c r="A9" s="164" t="s">
        <v>9</v>
      </c>
      <c r="B9" s="165" t="s">
        <v>216</v>
      </c>
      <c r="C9" s="166"/>
      <c r="D9" s="167" t="s">
        <v>217</v>
      </c>
      <c r="E9" s="167" t="s">
        <v>217</v>
      </c>
      <c r="F9" s="167" t="s">
        <v>217</v>
      </c>
      <c r="G9" s="167" t="s">
        <v>217</v>
      </c>
      <c r="H9" s="167" t="s">
        <v>217</v>
      </c>
      <c r="I9" s="167" t="s">
        <v>217</v>
      </c>
      <c r="J9" s="167" t="s">
        <v>217</v>
      </c>
      <c r="K9" s="167" t="s">
        <v>217</v>
      </c>
      <c r="L9" s="167" t="s">
        <v>217</v>
      </c>
      <c r="M9" s="167" t="s">
        <v>217</v>
      </c>
      <c r="N9" s="167" t="s">
        <v>217</v>
      </c>
      <c r="O9" s="167" t="s">
        <v>217</v>
      </c>
      <c r="P9" s="167" t="s">
        <v>217</v>
      </c>
      <c r="Q9" s="167" t="s">
        <v>217</v>
      </c>
      <c r="R9" s="77"/>
      <c r="S9" s="9"/>
      <c r="T9" s="9"/>
      <c r="U9" s="9"/>
    </row>
    <row r="10" spans="1:23">
      <c r="A10" s="168" t="s">
        <v>12</v>
      </c>
      <c r="B10" s="169" t="s">
        <v>12</v>
      </c>
      <c r="C10" s="170" t="s">
        <v>218</v>
      </c>
      <c r="D10" s="171">
        <v>43101</v>
      </c>
      <c r="E10" s="171">
        <v>43132</v>
      </c>
      <c r="F10" s="171">
        <v>43160</v>
      </c>
      <c r="G10" s="171">
        <v>43191</v>
      </c>
      <c r="H10" s="171">
        <v>43221</v>
      </c>
      <c r="I10" s="171">
        <v>43252</v>
      </c>
      <c r="J10" s="171">
        <v>43282</v>
      </c>
      <c r="K10" s="171">
        <v>43313</v>
      </c>
      <c r="L10" s="171">
        <v>43344</v>
      </c>
      <c r="M10" s="171">
        <v>43374</v>
      </c>
      <c r="N10" s="171">
        <v>43405</v>
      </c>
      <c r="O10" s="171">
        <v>43435</v>
      </c>
      <c r="P10" s="171">
        <v>43466</v>
      </c>
      <c r="Q10" s="171">
        <v>43497</v>
      </c>
      <c r="R10" s="172" t="s">
        <v>219</v>
      </c>
      <c r="S10" s="173"/>
      <c r="T10" s="9"/>
      <c r="U10" s="9"/>
    </row>
    <row r="11" spans="1:23">
      <c r="A11" s="17"/>
      <c r="B11" s="17"/>
      <c r="C11" s="17"/>
      <c r="D11" s="64" t="s">
        <v>220</v>
      </c>
      <c r="E11" s="64" t="s">
        <v>220</v>
      </c>
      <c r="F11" s="64" t="s">
        <v>220</v>
      </c>
      <c r="G11" s="64" t="s">
        <v>220</v>
      </c>
      <c r="H11" s="64" t="s">
        <v>220</v>
      </c>
      <c r="I11" s="64" t="s">
        <v>220</v>
      </c>
      <c r="J11" s="64" t="s">
        <v>220</v>
      </c>
      <c r="K11" s="64" t="s">
        <v>220</v>
      </c>
      <c r="L11" s="64" t="s">
        <v>220</v>
      </c>
      <c r="M11" s="64" t="s">
        <v>220</v>
      </c>
      <c r="N11" s="64" t="s">
        <v>220</v>
      </c>
      <c r="O11" s="64" t="s">
        <v>220</v>
      </c>
      <c r="P11" s="64"/>
      <c r="Q11" s="64"/>
      <c r="R11" s="64" t="s">
        <v>220</v>
      </c>
      <c r="S11" s="10"/>
      <c r="T11" s="1"/>
    </row>
    <row r="12" spans="1:23">
      <c r="A12" s="77">
        <v>1</v>
      </c>
      <c r="B12" s="174" t="s">
        <v>209</v>
      </c>
      <c r="C12" s="175" t="s">
        <v>221</v>
      </c>
      <c r="D12" s="113">
        <f>0</f>
        <v>0</v>
      </c>
      <c r="E12" s="113">
        <f>0</f>
        <v>0</v>
      </c>
      <c r="F12" s="113">
        <f>0</f>
        <v>0</v>
      </c>
      <c r="G12" s="113">
        <f>0</f>
        <v>0</v>
      </c>
      <c r="H12" s="113" t="s">
        <v>222</v>
      </c>
      <c r="I12" s="113">
        <f>0</f>
        <v>0</v>
      </c>
      <c r="J12" s="266">
        <v>0</v>
      </c>
      <c r="K12" s="266">
        <v>0</v>
      </c>
      <c r="L12" s="266">
        <v>2014516</v>
      </c>
      <c r="M12" s="266">
        <v>-94628.49</v>
      </c>
      <c r="N12" s="266">
        <v>-94628.49</v>
      </c>
      <c r="O12" s="266">
        <v>10311728.51</v>
      </c>
      <c r="P12" s="266"/>
      <c r="Q12" s="266"/>
      <c r="R12" s="17">
        <f>SUM(D12:O12)</f>
        <v>12136987.529999999</v>
      </c>
      <c r="S12" s="75"/>
      <c r="T12" s="75"/>
      <c r="U12" s="75"/>
      <c r="W12" s="176"/>
    </row>
    <row r="13" spans="1:23">
      <c r="A13" s="77">
        <f t="shared" ref="A13:A77" si="0">A12+1</f>
        <v>2</v>
      </c>
      <c r="B13" s="174"/>
      <c r="C13" s="17"/>
      <c r="D13" s="113"/>
      <c r="E13" s="113"/>
      <c r="F13" s="113"/>
      <c r="G13" s="113"/>
      <c r="H13" s="113"/>
      <c r="I13" s="113"/>
      <c r="J13" s="267"/>
      <c r="K13" s="267"/>
      <c r="L13" s="267"/>
      <c r="M13" s="267"/>
      <c r="N13" s="267"/>
      <c r="O13" s="267"/>
      <c r="P13" s="267"/>
      <c r="Q13" s="267"/>
      <c r="R13" s="17"/>
      <c r="T13" s="1"/>
      <c r="U13" s="1"/>
    </row>
    <row r="14" spans="1:23">
      <c r="A14" s="77">
        <f t="shared" si="0"/>
        <v>3</v>
      </c>
      <c r="B14" s="174">
        <v>4030</v>
      </c>
      <c r="C14" s="17" t="s">
        <v>59</v>
      </c>
      <c r="D14" s="177">
        <v>1669957.5100000002</v>
      </c>
      <c r="E14" s="177">
        <v>1669432.77</v>
      </c>
      <c r="F14" s="177">
        <v>1675464.78</v>
      </c>
      <c r="G14" s="177">
        <v>1687862.1</v>
      </c>
      <c r="H14" s="177">
        <v>1698141.52</v>
      </c>
      <c r="I14" s="177">
        <v>1711939.78</v>
      </c>
      <c r="J14" s="268">
        <v>1695922.6</v>
      </c>
      <c r="K14" s="268">
        <v>1849506.9800000002</v>
      </c>
      <c r="L14" s="268">
        <v>1842725.99</v>
      </c>
      <c r="M14" s="268">
        <v>1759507.38</v>
      </c>
      <c r="N14" s="268">
        <v>1762879.9700000002</v>
      </c>
      <c r="O14" s="268">
        <v>1769441.63</v>
      </c>
      <c r="P14" s="268">
        <v>1779010.67</v>
      </c>
      <c r="Q14" s="268">
        <v>1781626.7200000002</v>
      </c>
      <c r="R14" s="17">
        <f t="shared" ref="R14:R78" si="1">SUM(D14:O14)</f>
        <v>20792783.009999998</v>
      </c>
      <c r="S14" s="178"/>
      <c r="T14" s="17"/>
      <c r="U14" s="17"/>
    </row>
    <row r="15" spans="1:23">
      <c r="A15" s="77">
        <f t="shared" si="0"/>
        <v>4</v>
      </c>
      <c r="B15" s="174">
        <v>4060</v>
      </c>
      <c r="C15" s="17" t="s">
        <v>223</v>
      </c>
      <c r="D15" s="177">
        <v>4093.11</v>
      </c>
      <c r="E15" s="177">
        <v>4093.11</v>
      </c>
      <c r="F15" s="177">
        <v>4093.11</v>
      </c>
      <c r="G15" s="177">
        <v>4093.11</v>
      </c>
      <c r="H15" s="177">
        <v>4093.11</v>
      </c>
      <c r="I15" s="177">
        <v>4093.11</v>
      </c>
      <c r="J15" s="268">
        <v>4093.11</v>
      </c>
      <c r="K15" s="268">
        <v>4093.11</v>
      </c>
      <c r="L15" s="268">
        <v>4093.11</v>
      </c>
      <c r="M15" s="268">
        <v>4208.22</v>
      </c>
      <c r="N15" s="268">
        <v>4208.22</v>
      </c>
      <c r="O15" s="268">
        <v>4208.22</v>
      </c>
      <c r="P15" s="268">
        <v>4208.22</v>
      </c>
      <c r="Q15" s="268">
        <v>4208.22</v>
      </c>
      <c r="R15" s="17">
        <f t="shared" si="1"/>
        <v>49462.65</v>
      </c>
      <c r="T15" s="75"/>
      <c r="U15" s="1"/>
    </row>
    <row r="16" spans="1:23">
      <c r="A16" s="275"/>
      <c r="B16" s="174">
        <v>4073</v>
      </c>
      <c r="C16" s="175" t="s">
        <v>368</v>
      </c>
      <c r="D16" s="177"/>
      <c r="E16" s="177"/>
      <c r="F16" s="177"/>
      <c r="G16" s="177"/>
      <c r="H16" s="177"/>
      <c r="I16" s="177"/>
      <c r="J16" s="268"/>
      <c r="K16" s="268"/>
      <c r="L16" s="268"/>
      <c r="M16" s="268"/>
      <c r="N16" s="268"/>
      <c r="O16" s="268"/>
      <c r="P16" s="268">
        <v>6192.02</v>
      </c>
      <c r="Q16" s="268">
        <v>6192.02</v>
      </c>
      <c r="R16" s="17">
        <f t="shared" si="1"/>
        <v>0</v>
      </c>
      <c r="T16" s="75"/>
      <c r="U16" s="1"/>
    </row>
    <row r="17" spans="1:27">
      <c r="A17" s="77">
        <f>A15+1</f>
        <v>5</v>
      </c>
      <c r="B17" s="174">
        <v>4081</v>
      </c>
      <c r="C17" s="17" t="s">
        <v>224</v>
      </c>
      <c r="D17" s="177">
        <v>566216.2699999999</v>
      </c>
      <c r="E17" s="177">
        <v>312504.24</v>
      </c>
      <c r="F17" s="177">
        <v>527772.14000000013</v>
      </c>
      <c r="G17" s="177">
        <v>552950.53</v>
      </c>
      <c r="H17" s="177">
        <v>656879.85999999987</v>
      </c>
      <c r="I17" s="177">
        <v>452393.76000000013</v>
      </c>
      <c r="J17" s="268">
        <v>504718.57000000018</v>
      </c>
      <c r="K17" s="268">
        <v>551838.42000000016</v>
      </c>
      <c r="L17" s="268">
        <v>509166.80999999994</v>
      </c>
      <c r="M17" s="268">
        <v>584119.20000000007</v>
      </c>
      <c r="N17" s="268">
        <v>692972.75</v>
      </c>
      <c r="O17" s="268">
        <v>543342.62</v>
      </c>
      <c r="P17" s="268">
        <v>6192.02</v>
      </c>
      <c r="Q17" s="268">
        <v>6192.02</v>
      </c>
      <c r="R17" s="17">
        <f>SUM(D17:O17)</f>
        <v>6454875.1700000009</v>
      </c>
      <c r="S17" s="75"/>
      <c r="T17" s="158"/>
      <c r="U17" s="75"/>
    </row>
    <row r="18" spans="1:27">
      <c r="A18" s="77">
        <f t="shared" si="0"/>
        <v>6</v>
      </c>
      <c r="B18" s="174">
        <v>4800</v>
      </c>
      <c r="C18" s="179" t="s">
        <v>225</v>
      </c>
      <c r="D18" s="177">
        <v>-18914907.850000001</v>
      </c>
      <c r="E18" s="177">
        <v>-17207259.700000003</v>
      </c>
      <c r="F18" s="177">
        <v>-12369455.85</v>
      </c>
      <c r="G18" s="177">
        <v>-11018917.73</v>
      </c>
      <c r="H18" s="177">
        <v>-6154175.7400000002</v>
      </c>
      <c r="I18" s="177">
        <v>-3781326.5299999993</v>
      </c>
      <c r="J18" s="267">
        <v>-3864942.48</v>
      </c>
      <c r="K18" s="267">
        <v>-3571448.29</v>
      </c>
      <c r="L18" s="267">
        <v>-3653082.67</v>
      </c>
      <c r="M18" s="267">
        <v>-4050903.06</v>
      </c>
      <c r="N18" s="267">
        <v>-7737108.8200000003</v>
      </c>
      <c r="O18" s="267">
        <v>-11816723.449999999</v>
      </c>
      <c r="P18" s="267">
        <v>-15033118.940000001</v>
      </c>
      <c r="Q18" s="267">
        <v>-16614062.880000001</v>
      </c>
      <c r="R18" s="17">
        <f t="shared" si="1"/>
        <v>-104140252.17000003</v>
      </c>
      <c r="S18" s="1"/>
      <c r="T18" s="1"/>
      <c r="U18" s="1"/>
    </row>
    <row r="19" spans="1:27">
      <c r="A19" s="77">
        <f t="shared" si="0"/>
        <v>7</v>
      </c>
      <c r="B19" s="174">
        <v>4805</v>
      </c>
      <c r="C19" s="179" t="s">
        <v>226</v>
      </c>
      <c r="D19" s="177">
        <v>405968.1</v>
      </c>
      <c r="E19" s="177">
        <v>3377819.57</v>
      </c>
      <c r="F19" s="177">
        <v>-677729.4</v>
      </c>
      <c r="G19" s="177">
        <v>1794375.08</v>
      </c>
      <c r="H19" s="177">
        <v>1963448</v>
      </c>
      <c r="I19" s="177">
        <v>45375</v>
      </c>
      <c r="J19" s="267">
        <v>27636</v>
      </c>
      <c r="K19" s="267">
        <v>15431</v>
      </c>
      <c r="L19" s="267">
        <v>-14771</v>
      </c>
      <c r="M19" s="267">
        <v>-1397828.4</v>
      </c>
      <c r="N19" s="267">
        <v>-2184921.1</v>
      </c>
      <c r="O19" s="267">
        <v>-2151532.85</v>
      </c>
      <c r="P19" s="267">
        <v>-1488208.6400000001</v>
      </c>
      <c r="Q19" s="267">
        <v>2188644.2400000002</v>
      </c>
      <c r="R19" s="17">
        <f t="shared" si="1"/>
        <v>1203269.9999999991</v>
      </c>
      <c r="S19" s="1"/>
      <c r="T19" s="1"/>
      <c r="U19" s="1"/>
    </row>
    <row r="20" spans="1:27">
      <c r="A20" s="77">
        <f t="shared" si="0"/>
        <v>8</v>
      </c>
      <c r="B20" s="174">
        <v>4811</v>
      </c>
      <c r="C20" s="179" t="s">
        <v>227</v>
      </c>
      <c r="D20" s="177">
        <v>-8086207.9299999997</v>
      </c>
      <c r="E20" s="177">
        <v>-7415174.7999999998</v>
      </c>
      <c r="F20" s="177">
        <v>-5130721.6899999995</v>
      </c>
      <c r="G20" s="177">
        <v>-4548594.92</v>
      </c>
      <c r="H20" s="177">
        <v>-2633468.4799999995</v>
      </c>
      <c r="I20" s="177">
        <v>-1707133.54</v>
      </c>
      <c r="J20" s="267">
        <v>-1797589.72</v>
      </c>
      <c r="K20" s="267">
        <v>-1658518.39</v>
      </c>
      <c r="L20" s="267">
        <v>-2052468.1799999997</v>
      </c>
      <c r="M20" s="267">
        <v>-1928804.5100000002</v>
      </c>
      <c r="N20" s="267">
        <v>-3141173.37</v>
      </c>
      <c r="O20" s="267">
        <v>-4841522.82</v>
      </c>
      <c r="P20" s="267">
        <v>-6226297.3500000006</v>
      </c>
      <c r="Q20" s="267">
        <v>-6946450.540000001</v>
      </c>
      <c r="R20" s="17">
        <f t="shared" si="1"/>
        <v>-44941378.350000001</v>
      </c>
      <c r="S20" s="1"/>
      <c r="T20" s="75"/>
      <c r="U20" s="1"/>
    </row>
    <row r="21" spans="1:27">
      <c r="A21" s="77">
        <f t="shared" si="0"/>
        <v>9</v>
      </c>
      <c r="B21" s="174">
        <v>4812</v>
      </c>
      <c r="C21" s="17" t="s">
        <v>228</v>
      </c>
      <c r="D21" s="177">
        <v>-973706.71</v>
      </c>
      <c r="E21" s="177">
        <v>-1334353.76</v>
      </c>
      <c r="F21" s="177">
        <v>-899110.9</v>
      </c>
      <c r="G21" s="177">
        <v>-594159.13</v>
      </c>
      <c r="H21" s="177">
        <v>-355282.98</v>
      </c>
      <c r="I21" s="177">
        <v>-174114.03</v>
      </c>
      <c r="J21" s="267">
        <v>-196091.19</v>
      </c>
      <c r="K21" s="267">
        <v>-199809.00999999998</v>
      </c>
      <c r="L21" s="267">
        <v>-166704.51999999999</v>
      </c>
      <c r="M21" s="267">
        <v>-213654.5</v>
      </c>
      <c r="N21" s="267">
        <v>-431773.88</v>
      </c>
      <c r="O21" s="267">
        <v>-1017303.83</v>
      </c>
      <c r="P21" s="267">
        <v>-1019298.7200000001</v>
      </c>
      <c r="Q21" s="267">
        <v>-1437501.2799999998</v>
      </c>
      <c r="R21" s="17">
        <f t="shared" si="1"/>
        <v>-6556064.4399999995</v>
      </c>
      <c r="S21" s="1"/>
      <c r="T21" s="75"/>
      <c r="U21" s="1"/>
    </row>
    <row r="22" spans="1:27">
      <c r="A22" s="77">
        <f t="shared" si="0"/>
        <v>10</v>
      </c>
      <c r="B22" s="174">
        <v>4815</v>
      </c>
      <c r="C22" s="17" t="s">
        <v>229</v>
      </c>
      <c r="D22" s="177">
        <v>87594.73</v>
      </c>
      <c r="E22" s="177">
        <v>1449165.56</v>
      </c>
      <c r="F22" s="177">
        <v>-170765.7</v>
      </c>
      <c r="G22" s="177">
        <v>667416.28</v>
      </c>
      <c r="H22" s="177">
        <v>568707</v>
      </c>
      <c r="I22" s="177">
        <v>44232</v>
      </c>
      <c r="J22" s="267">
        <v>28042</v>
      </c>
      <c r="K22" s="267">
        <v>11832</v>
      </c>
      <c r="L22" s="267">
        <v>26822</v>
      </c>
      <c r="M22" s="267">
        <v>-403460.43</v>
      </c>
      <c r="N22" s="267">
        <v>-858589.26</v>
      </c>
      <c r="O22" s="267">
        <v>-1069445.81</v>
      </c>
      <c r="P22" s="267">
        <v>-620545.6</v>
      </c>
      <c r="Q22" s="267">
        <v>1056894.55</v>
      </c>
      <c r="R22" s="17">
        <f t="shared" si="1"/>
        <v>381550.36999999988</v>
      </c>
      <c r="S22" s="1"/>
      <c r="T22" s="75"/>
      <c r="U22" s="1"/>
    </row>
    <row r="23" spans="1:27">
      <c r="A23" s="77">
        <f t="shared" si="0"/>
        <v>11</v>
      </c>
      <c r="B23" s="174">
        <v>4816</v>
      </c>
      <c r="C23" s="17" t="s">
        <v>230</v>
      </c>
      <c r="D23" s="177">
        <v>-505592.3</v>
      </c>
      <c r="E23" s="177">
        <v>248260.24000000002</v>
      </c>
      <c r="F23" s="177">
        <v>260988.22</v>
      </c>
      <c r="G23" s="177">
        <v>70106.89</v>
      </c>
      <c r="H23" s="177">
        <v>48981.37</v>
      </c>
      <c r="I23" s="177">
        <v>80943.959999999992</v>
      </c>
      <c r="J23" s="267">
        <v>-9322.5399999999991</v>
      </c>
      <c r="K23" s="267">
        <v>6694.28</v>
      </c>
      <c r="L23" s="267">
        <v>-14530.859999999999</v>
      </c>
      <c r="M23" s="267">
        <v>-69939.179999999993</v>
      </c>
      <c r="N23" s="267">
        <v>-459911.81999999995</v>
      </c>
      <c r="O23" s="267">
        <v>90525.46</v>
      </c>
      <c r="P23" s="267">
        <v>-336820.42</v>
      </c>
      <c r="Q23" s="267">
        <v>161183.03</v>
      </c>
      <c r="R23" s="17">
        <f t="shared" si="1"/>
        <v>-252796.27999999985</v>
      </c>
      <c r="T23" s="75"/>
      <c r="U23" s="1"/>
    </row>
    <row r="24" spans="1:27">
      <c r="A24" s="77">
        <f t="shared" si="0"/>
        <v>12</v>
      </c>
      <c r="B24" s="174">
        <v>4820</v>
      </c>
      <c r="C24" s="17" t="s">
        <v>231</v>
      </c>
      <c r="D24" s="177">
        <v>-1354829.99</v>
      </c>
      <c r="E24" s="177">
        <v>-1331272.1100000001</v>
      </c>
      <c r="F24" s="177">
        <v>-872594.26</v>
      </c>
      <c r="G24" s="177">
        <v>-783701.12000000011</v>
      </c>
      <c r="H24" s="177">
        <v>-441272.28000000009</v>
      </c>
      <c r="I24" s="177">
        <v>-251739.36</v>
      </c>
      <c r="J24" s="267">
        <v>-232370.77000000002</v>
      </c>
      <c r="K24" s="267">
        <v>-205719.91</v>
      </c>
      <c r="L24" s="267">
        <v>-230211.49</v>
      </c>
      <c r="M24" s="267">
        <v>-269827.58</v>
      </c>
      <c r="N24" s="267">
        <v>-537800.36</v>
      </c>
      <c r="O24" s="267">
        <v>-869857.96</v>
      </c>
      <c r="P24" s="267">
        <v>-1020696.73</v>
      </c>
      <c r="Q24" s="267">
        <v>-1279560.0900000001</v>
      </c>
      <c r="R24" s="17">
        <f t="shared" si="1"/>
        <v>-7381197.1900000013</v>
      </c>
      <c r="S24" s="17"/>
      <c r="T24" s="75"/>
      <c r="U24" s="1"/>
    </row>
    <row r="25" spans="1:27">
      <c r="A25" s="77">
        <f t="shared" si="0"/>
        <v>13</v>
      </c>
      <c r="B25" s="174">
        <v>4825</v>
      </c>
      <c r="C25" s="17" t="s">
        <v>232</v>
      </c>
      <c r="D25" s="177">
        <v>20773.28</v>
      </c>
      <c r="E25" s="177">
        <v>303343.87</v>
      </c>
      <c r="F25" s="177">
        <v>-75991.209999999992</v>
      </c>
      <c r="G25" s="177">
        <v>96466.27</v>
      </c>
      <c r="H25" s="177">
        <v>221124</v>
      </c>
      <c r="I25" s="177">
        <v>6068</v>
      </c>
      <c r="J25" s="267">
        <v>3135</v>
      </c>
      <c r="K25" s="267">
        <v>-521</v>
      </c>
      <c r="L25" s="267">
        <v>-575</v>
      </c>
      <c r="M25" s="267">
        <v>-118363.67</v>
      </c>
      <c r="N25" s="267">
        <v>-167778.62</v>
      </c>
      <c r="O25" s="267">
        <v>-184923.8</v>
      </c>
      <c r="P25" s="267">
        <v>-140677.20000000001</v>
      </c>
      <c r="Q25" s="267">
        <v>197325.88</v>
      </c>
      <c r="R25" s="17">
        <f t="shared" si="1"/>
        <v>102757.12</v>
      </c>
      <c r="U25" s="1"/>
    </row>
    <row r="26" spans="1:27">
      <c r="A26" s="77">
        <f t="shared" si="0"/>
        <v>14</v>
      </c>
      <c r="B26" s="174">
        <v>4870</v>
      </c>
      <c r="C26" s="17" t="s">
        <v>233</v>
      </c>
      <c r="D26" s="177">
        <v>-192879.14</v>
      </c>
      <c r="E26" s="177">
        <v>-230566.08</v>
      </c>
      <c r="F26" s="177">
        <v>-230342.12</v>
      </c>
      <c r="G26" s="177">
        <v>-151214.99</v>
      </c>
      <c r="H26" s="177">
        <v>-139652.79999999999</v>
      </c>
      <c r="I26" s="177">
        <v>-59470.85</v>
      </c>
      <c r="J26" s="267">
        <v>-49867.9</v>
      </c>
      <c r="K26" s="267">
        <v>-62748.49</v>
      </c>
      <c r="L26" s="267">
        <v>-41460.449999999997</v>
      </c>
      <c r="M26" s="267">
        <v>-59093.21</v>
      </c>
      <c r="N26" s="267">
        <v>-58441.98</v>
      </c>
      <c r="O26" s="267">
        <v>-97798.76</v>
      </c>
      <c r="P26" s="267">
        <v>-169272.09</v>
      </c>
      <c r="Q26" s="267">
        <v>-171607.88</v>
      </c>
      <c r="R26" s="17">
        <f t="shared" si="1"/>
        <v>-1373536.7699999998</v>
      </c>
      <c r="T26" s="1"/>
      <c r="U26" s="1"/>
    </row>
    <row r="27" spans="1:27">
      <c r="A27" s="77">
        <f t="shared" si="0"/>
        <v>15</v>
      </c>
      <c r="B27" s="174">
        <v>4880</v>
      </c>
      <c r="C27" s="17" t="s">
        <v>234</v>
      </c>
      <c r="D27" s="177">
        <v>-59320</v>
      </c>
      <c r="E27" s="177">
        <v>-48866</v>
      </c>
      <c r="F27" s="177">
        <v>-64491</v>
      </c>
      <c r="G27" s="177">
        <v>-54927</v>
      </c>
      <c r="H27" s="177">
        <v>-49757</v>
      </c>
      <c r="I27" s="177">
        <v>-54928</v>
      </c>
      <c r="J27" s="267">
        <v>-48970</v>
      </c>
      <c r="K27" s="267">
        <v>-52828</v>
      </c>
      <c r="L27" s="267">
        <v>-47375.45</v>
      </c>
      <c r="M27" s="267">
        <v>-138366</v>
      </c>
      <c r="N27" s="267">
        <v>-114169</v>
      </c>
      <c r="O27" s="267">
        <v>-49573</v>
      </c>
      <c r="P27" s="267">
        <v>-51212</v>
      </c>
      <c r="Q27" s="267">
        <v>-51139</v>
      </c>
      <c r="R27" s="17">
        <f t="shared" si="1"/>
        <v>-783570.45</v>
      </c>
      <c r="T27" s="1"/>
      <c r="U27" s="1"/>
    </row>
    <row r="28" spans="1:27">
      <c r="A28" s="77">
        <f t="shared" si="0"/>
        <v>16</v>
      </c>
      <c r="B28" s="174">
        <v>4893</v>
      </c>
      <c r="C28" s="17" t="s">
        <v>235</v>
      </c>
      <c r="D28" s="177">
        <v>-2135654.7199999997</v>
      </c>
      <c r="E28" s="177">
        <v>-1772397.93</v>
      </c>
      <c r="F28" s="177">
        <v>-1770851.04</v>
      </c>
      <c r="G28" s="177">
        <v>-1589667.64</v>
      </c>
      <c r="H28" s="177">
        <v>-1412282.73</v>
      </c>
      <c r="I28" s="177">
        <v>-1232115.18</v>
      </c>
      <c r="J28" s="267">
        <v>-1215794.3599999996</v>
      </c>
      <c r="K28" s="267">
        <v>-1345886.4400000002</v>
      </c>
      <c r="L28" s="267">
        <v>-1235837.56</v>
      </c>
      <c r="M28" s="267">
        <v>-1524018.8800000001</v>
      </c>
      <c r="N28" s="267">
        <v>-1623332.56</v>
      </c>
      <c r="O28" s="267">
        <v>-1679533.65</v>
      </c>
      <c r="P28" s="267">
        <v>-2025137.8599999999</v>
      </c>
      <c r="Q28" s="267">
        <v>-1574063.67</v>
      </c>
      <c r="R28" s="17">
        <f t="shared" si="1"/>
        <v>-18537372.689999998</v>
      </c>
      <c r="S28" s="180"/>
      <c r="T28" s="154"/>
      <c r="U28" s="154"/>
      <c r="V28" s="154"/>
      <c r="W28" s="154"/>
      <c r="X28" s="154"/>
      <c r="Y28" s="154"/>
      <c r="Z28" s="154"/>
      <c r="AA28" s="154"/>
    </row>
    <row r="29" spans="1:27">
      <c r="A29" s="77">
        <f t="shared" si="0"/>
        <v>17</v>
      </c>
      <c r="B29" s="174">
        <v>4950</v>
      </c>
      <c r="C29" s="17" t="s">
        <v>88</v>
      </c>
      <c r="D29" s="177">
        <f>0</f>
        <v>0</v>
      </c>
      <c r="E29" s="177">
        <f>0</f>
        <v>0</v>
      </c>
      <c r="F29" s="177">
        <f>0</f>
        <v>0</v>
      </c>
      <c r="G29" s="177">
        <f>0</f>
        <v>0</v>
      </c>
      <c r="H29" s="177">
        <f>0</f>
        <v>0</v>
      </c>
      <c r="I29" s="177">
        <f>0</f>
        <v>0</v>
      </c>
      <c r="J29" s="267">
        <v>0</v>
      </c>
      <c r="K29" s="267">
        <v>0</v>
      </c>
      <c r="L29" s="267">
        <v>-1.19</v>
      </c>
      <c r="M29" s="267">
        <v>0</v>
      </c>
      <c r="N29" s="267">
        <v>0</v>
      </c>
      <c r="O29" s="267">
        <v>0</v>
      </c>
      <c r="P29" s="267"/>
      <c r="Q29" s="267"/>
      <c r="R29" s="17">
        <f t="shared" si="1"/>
        <v>-1.19</v>
      </c>
      <c r="S29" s="181"/>
    </row>
    <row r="30" spans="1:27">
      <c r="A30" s="77">
        <f t="shared" si="0"/>
        <v>18</v>
      </c>
      <c r="B30" s="174">
        <v>4960</v>
      </c>
      <c r="C30" s="175" t="s">
        <v>89</v>
      </c>
      <c r="D30" s="177">
        <v>651059</v>
      </c>
      <c r="E30" s="177">
        <v>688493</v>
      </c>
      <c r="F30" s="177">
        <v>452336</v>
      </c>
      <c r="G30" s="177">
        <v>0</v>
      </c>
      <c r="H30" s="177">
        <v>0</v>
      </c>
      <c r="I30" s="177">
        <v>0</v>
      </c>
      <c r="J30" s="267">
        <v>0</v>
      </c>
      <c r="K30" s="267">
        <v>0</v>
      </c>
      <c r="L30" s="267">
        <v>-367777.01</v>
      </c>
      <c r="M30" s="267">
        <v>0</v>
      </c>
      <c r="N30" s="267">
        <v>0</v>
      </c>
      <c r="O30" s="267">
        <v>0</v>
      </c>
      <c r="P30" s="267"/>
      <c r="Q30" s="267"/>
      <c r="R30" s="17">
        <f t="shared" si="1"/>
        <v>1424110.99</v>
      </c>
      <c r="S30" s="181"/>
    </row>
    <row r="31" spans="1:27" ht="12" customHeight="1">
      <c r="A31" s="77">
        <f t="shared" si="0"/>
        <v>19</v>
      </c>
      <c r="B31" s="174">
        <v>7560</v>
      </c>
      <c r="C31" s="154" t="s">
        <v>236</v>
      </c>
      <c r="D31" s="177">
        <f>0</f>
        <v>0</v>
      </c>
      <c r="E31" s="177">
        <f>0</f>
        <v>0</v>
      </c>
      <c r="F31" s="177">
        <f>0</f>
        <v>0</v>
      </c>
      <c r="G31" s="177">
        <f>0</f>
        <v>0</v>
      </c>
      <c r="H31" s="177">
        <f>0</f>
        <v>0</v>
      </c>
      <c r="I31" s="177">
        <f>0</f>
        <v>0</v>
      </c>
      <c r="J31" s="266">
        <v>0</v>
      </c>
      <c r="K31" s="266">
        <v>0</v>
      </c>
      <c r="L31" s="266">
        <v>0</v>
      </c>
      <c r="M31" s="266">
        <v>0</v>
      </c>
      <c r="N31" s="266">
        <v>0</v>
      </c>
      <c r="O31" s="266">
        <v>0</v>
      </c>
      <c r="P31" s="266"/>
      <c r="Q31" s="266"/>
      <c r="R31" s="17">
        <f t="shared" si="1"/>
        <v>0</v>
      </c>
      <c r="U31" s="1"/>
    </row>
    <row r="32" spans="1:27">
      <c r="A32" s="77">
        <f t="shared" si="0"/>
        <v>20</v>
      </c>
      <c r="B32" s="174">
        <v>7590</v>
      </c>
      <c r="C32" s="175" t="s">
        <v>95</v>
      </c>
      <c r="D32" s="177">
        <f>0</f>
        <v>0</v>
      </c>
      <c r="E32" s="177">
        <f>0</f>
        <v>0</v>
      </c>
      <c r="F32" s="177">
        <f>0</f>
        <v>0</v>
      </c>
      <c r="G32" s="177">
        <f>0</f>
        <v>0</v>
      </c>
      <c r="H32" s="177">
        <f>0</f>
        <v>0</v>
      </c>
      <c r="I32" s="177">
        <f>0</f>
        <v>0</v>
      </c>
      <c r="J32" s="266">
        <v>0</v>
      </c>
      <c r="K32" s="266">
        <v>0</v>
      </c>
      <c r="L32" s="266">
        <v>0</v>
      </c>
      <c r="M32" s="266">
        <v>0</v>
      </c>
      <c r="N32" s="266">
        <v>0</v>
      </c>
      <c r="O32" s="266">
        <v>0</v>
      </c>
      <c r="P32" s="266"/>
      <c r="Q32" s="266"/>
      <c r="R32" s="17">
        <f t="shared" si="1"/>
        <v>0</v>
      </c>
      <c r="U32" s="1"/>
    </row>
    <row r="33" spans="1:21">
      <c r="A33" s="77">
        <f t="shared" si="0"/>
        <v>21</v>
      </c>
      <c r="B33" s="174">
        <v>8001</v>
      </c>
      <c r="C33" s="17" t="s">
        <v>137</v>
      </c>
      <c r="D33" s="177">
        <f>0</f>
        <v>0</v>
      </c>
      <c r="E33" s="177">
        <f>0</f>
        <v>0</v>
      </c>
      <c r="F33" s="177">
        <f>0</f>
        <v>0</v>
      </c>
      <c r="G33" s="177">
        <f>0</f>
        <v>0</v>
      </c>
      <c r="H33" s="177">
        <f>0</f>
        <v>0</v>
      </c>
      <c r="I33" s="177">
        <f>0</f>
        <v>0</v>
      </c>
      <c r="J33" s="267">
        <v>0</v>
      </c>
      <c r="K33" s="267">
        <v>0</v>
      </c>
      <c r="L33" s="267">
        <v>0</v>
      </c>
      <c r="M33" s="267">
        <v>0</v>
      </c>
      <c r="N33" s="267">
        <v>0</v>
      </c>
      <c r="O33" s="267">
        <v>0</v>
      </c>
      <c r="P33" s="267"/>
      <c r="Q33" s="267"/>
      <c r="R33" s="17">
        <f t="shared" si="1"/>
        <v>0</v>
      </c>
      <c r="S33" s="75"/>
      <c r="T33" s="75"/>
      <c r="U33" s="1"/>
    </row>
    <row r="34" spans="1:21">
      <c r="A34" s="77">
        <f t="shared" si="0"/>
        <v>22</v>
      </c>
      <c r="B34" s="174">
        <v>8010</v>
      </c>
      <c r="C34" s="175" t="s">
        <v>237</v>
      </c>
      <c r="D34" s="177">
        <v>4142.43</v>
      </c>
      <c r="E34" s="177">
        <v>4390.79</v>
      </c>
      <c r="F34" s="177">
        <v>5052.87</v>
      </c>
      <c r="G34" s="177">
        <v>4211.0600000000004</v>
      </c>
      <c r="H34" s="177">
        <v>4530.34</v>
      </c>
      <c r="I34" s="177">
        <v>5322.71</v>
      </c>
      <c r="J34" s="267">
        <v>4940.37</v>
      </c>
      <c r="K34" s="267">
        <v>5341.21</v>
      </c>
      <c r="L34" s="267">
        <v>5233.51</v>
      </c>
      <c r="M34" s="267">
        <v>5832.34</v>
      </c>
      <c r="N34" s="267">
        <v>10406.93</v>
      </c>
      <c r="O34" s="267">
        <v>7925.96</v>
      </c>
      <c r="P34" s="267">
        <v>9132.5</v>
      </c>
      <c r="Q34" s="267">
        <v>3627.41</v>
      </c>
      <c r="R34" s="17">
        <f t="shared" si="1"/>
        <v>67330.52</v>
      </c>
      <c r="S34" s="1"/>
      <c r="T34" s="1"/>
      <c r="U34" s="1"/>
    </row>
    <row r="35" spans="1:21">
      <c r="A35" s="77">
        <f t="shared" si="0"/>
        <v>23</v>
      </c>
      <c r="B35" s="174">
        <v>8040</v>
      </c>
      <c r="C35" s="17" t="s">
        <v>238</v>
      </c>
      <c r="D35" s="177">
        <v>6202228.0199999996</v>
      </c>
      <c r="E35" s="177">
        <v>6877704.7200000007</v>
      </c>
      <c r="F35" s="177">
        <v>2247878.71</v>
      </c>
      <c r="G35" s="177">
        <v>927969.08</v>
      </c>
      <c r="H35" s="177">
        <v>6008159.8899999997</v>
      </c>
      <c r="I35" s="177">
        <v>4785365.57</v>
      </c>
      <c r="J35" s="267">
        <v>4154886.4200000004</v>
      </c>
      <c r="K35" s="267">
        <v>4698036.68</v>
      </c>
      <c r="L35" s="267">
        <v>4304767.51</v>
      </c>
      <c r="M35" s="267">
        <v>4456647.04</v>
      </c>
      <c r="N35" s="267">
        <v>6237398.5199999996</v>
      </c>
      <c r="O35" s="267">
        <v>5332229.3</v>
      </c>
      <c r="P35" s="267">
        <v>7821955.9100000001</v>
      </c>
      <c r="Q35" s="267">
        <v>6530212.3500000006</v>
      </c>
      <c r="R35" s="17">
        <f t="shared" si="1"/>
        <v>56233271.459999993</v>
      </c>
      <c r="S35" s="1"/>
      <c r="T35" s="75"/>
      <c r="U35" s="1"/>
    </row>
    <row r="36" spans="1:21">
      <c r="A36" s="77">
        <f t="shared" si="0"/>
        <v>24</v>
      </c>
      <c r="B36" s="174">
        <v>8050</v>
      </c>
      <c r="C36" s="17" t="s">
        <v>239</v>
      </c>
      <c r="D36" s="177">
        <v>-1038.32</v>
      </c>
      <c r="E36" s="177">
        <v>-266.42</v>
      </c>
      <c r="F36" s="177">
        <v>-310.01</v>
      </c>
      <c r="G36" s="177">
        <v>-1325.87</v>
      </c>
      <c r="H36" s="177">
        <v>-63.36</v>
      </c>
      <c r="I36" s="177">
        <v>0</v>
      </c>
      <c r="J36" s="267">
        <v>-693.79</v>
      </c>
      <c r="K36" s="267">
        <v>-889.09</v>
      </c>
      <c r="L36" s="267">
        <v>-667.42</v>
      </c>
      <c r="M36" s="267">
        <v>-3139.04</v>
      </c>
      <c r="N36" s="267">
        <v>-404.19</v>
      </c>
      <c r="O36" s="267">
        <v>-2469.52</v>
      </c>
      <c r="P36" s="267">
        <v>-516.03</v>
      </c>
      <c r="Q36" s="267">
        <v>-697.52</v>
      </c>
      <c r="R36" s="17">
        <f t="shared" si="1"/>
        <v>-11267.03</v>
      </c>
      <c r="S36" s="1"/>
      <c r="T36" s="75"/>
      <c r="U36" s="1"/>
    </row>
    <row r="37" spans="1:21">
      <c r="A37" s="77">
        <f t="shared" si="0"/>
        <v>25</v>
      </c>
      <c r="B37" s="174">
        <v>8051</v>
      </c>
      <c r="C37" s="17" t="s">
        <v>240</v>
      </c>
      <c r="D37" s="177">
        <v>12247863.539999999</v>
      </c>
      <c r="E37" s="177">
        <v>10646486.09</v>
      </c>
      <c r="F37" s="177">
        <v>6624828.5599999996</v>
      </c>
      <c r="G37" s="177">
        <v>6433023.0899999999</v>
      </c>
      <c r="H37" s="177">
        <v>2509641.14</v>
      </c>
      <c r="I37" s="177">
        <v>813836.76</v>
      </c>
      <c r="J37" s="267">
        <v>877332.11</v>
      </c>
      <c r="K37" s="267">
        <v>643597.43999999994</v>
      </c>
      <c r="L37" s="267">
        <v>717396.06</v>
      </c>
      <c r="M37" s="267">
        <v>994006.84</v>
      </c>
      <c r="N37" s="267">
        <v>3802366.93</v>
      </c>
      <c r="O37" s="267">
        <v>6612136.6699999999</v>
      </c>
      <c r="P37" s="267">
        <v>8746831.2100000009</v>
      </c>
      <c r="Q37" s="267">
        <v>10232405.74</v>
      </c>
      <c r="R37" s="17">
        <f t="shared" si="1"/>
        <v>52922515.230000004</v>
      </c>
      <c r="S37" s="1"/>
      <c r="T37" s="1"/>
      <c r="U37" s="1"/>
    </row>
    <row r="38" spans="1:21">
      <c r="A38" s="77">
        <f t="shared" si="0"/>
        <v>26</v>
      </c>
      <c r="B38" s="174">
        <v>8052</v>
      </c>
      <c r="C38" s="17" t="s">
        <v>241</v>
      </c>
      <c r="D38" s="177">
        <v>5664066.96</v>
      </c>
      <c r="E38" s="177">
        <v>4986155.1500000004</v>
      </c>
      <c r="F38" s="177">
        <v>3093000.9</v>
      </c>
      <c r="G38" s="177">
        <v>2940052.18</v>
      </c>
      <c r="H38" s="177">
        <v>1392501.77</v>
      </c>
      <c r="I38" s="177">
        <v>720018.14</v>
      </c>
      <c r="J38" s="267">
        <v>794275.78</v>
      </c>
      <c r="K38" s="267">
        <v>670271.05000000005</v>
      </c>
      <c r="L38" s="267">
        <v>980365.67</v>
      </c>
      <c r="M38" s="267">
        <v>876031.19</v>
      </c>
      <c r="N38" s="267">
        <v>1804358.62</v>
      </c>
      <c r="O38" s="267">
        <v>2993968.15</v>
      </c>
      <c r="P38" s="267">
        <v>4006363.36</v>
      </c>
      <c r="Q38" s="267">
        <v>4623073.0999999996</v>
      </c>
      <c r="R38" s="17">
        <f t="shared" si="1"/>
        <v>26915065.560000006</v>
      </c>
      <c r="S38" s="1"/>
      <c r="T38" s="1"/>
      <c r="U38" s="1"/>
    </row>
    <row r="39" spans="1:21">
      <c r="A39" s="77">
        <f t="shared" si="0"/>
        <v>27</v>
      </c>
      <c r="B39" s="174">
        <v>8053</v>
      </c>
      <c r="C39" s="17" t="s">
        <v>242</v>
      </c>
      <c r="D39" s="177">
        <v>839872.67</v>
      </c>
      <c r="E39" s="177">
        <v>1154836.7</v>
      </c>
      <c r="F39" s="177">
        <v>782933.51</v>
      </c>
      <c r="G39" s="177">
        <v>531775.71</v>
      </c>
      <c r="H39" s="177">
        <v>326707.57</v>
      </c>
      <c r="I39" s="177">
        <v>154525.03</v>
      </c>
      <c r="J39" s="267">
        <v>150469.75</v>
      </c>
      <c r="K39" s="267">
        <v>148266.60999999999</v>
      </c>
      <c r="L39" s="267">
        <v>121393.99</v>
      </c>
      <c r="M39" s="267">
        <v>157848.16</v>
      </c>
      <c r="N39" s="267">
        <v>328593.25</v>
      </c>
      <c r="O39" s="267">
        <v>830165.5</v>
      </c>
      <c r="P39" s="267">
        <v>858047.1</v>
      </c>
      <c r="Q39" s="267">
        <v>1247383.8</v>
      </c>
      <c r="R39" s="17">
        <f t="shared" si="1"/>
        <v>5527388.4499999993</v>
      </c>
      <c r="S39" s="1"/>
      <c r="T39" s="1"/>
      <c r="U39" s="1"/>
    </row>
    <row r="40" spans="1:21">
      <c r="A40" s="77">
        <f t="shared" si="0"/>
        <v>28</v>
      </c>
      <c r="B40" s="174">
        <v>8054</v>
      </c>
      <c r="C40" s="17" t="s">
        <v>243</v>
      </c>
      <c r="D40" s="177">
        <v>1022753.76</v>
      </c>
      <c r="E40" s="177">
        <v>979168.91</v>
      </c>
      <c r="F40" s="177">
        <v>585698.86</v>
      </c>
      <c r="G40" s="177">
        <v>571222.75</v>
      </c>
      <c r="H40" s="177">
        <v>290609.27</v>
      </c>
      <c r="I40" s="177">
        <v>141188.26999999999</v>
      </c>
      <c r="J40" s="267">
        <v>126044.48</v>
      </c>
      <c r="K40" s="267">
        <v>100019.38</v>
      </c>
      <c r="L40" s="267">
        <v>120293.78</v>
      </c>
      <c r="M40" s="267">
        <v>148788.81</v>
      </c>
      <c r="N40" s="267">
        <v>359871.78</v>
      </c>
      <c r="O40" s="267">
        <v>603247.79</v>
      </c>
      <c r="P40" s="267">
        <v>706928</v>
      </c>
      <c r="Q40" s="267">
        <v>923257.96</v>
      </c>
      <c r="R40" s="17">
        <f t="shared" si="1"/>
        <v>5048907.84</v>
      </c>
      <c r="S40" s="1"/>
      <c r="U40" s="1"/>
    </row>
    <row r="41" spans="1:21">
      <c r="A41" s="77">
        <f t="shared" si="0"/>
        <v>29</v>
      </c>
      <c r="B41" s="174">
        <v>8058</v>
      </c>
      <c r="C41" s="17" t="s">
        <v>244</v>
      </c>
      <c r="D41" s="177">
        <v>-125247.93</v>
      </c>
      <c r="E41" s="177">
        <v>-4775431.7300000004</v>
      </c>
      <c r="F41" s="177">
        <v>1386749.3599999999</v>
      </c>
      <c r="G41" s="177">
        <v>-2097362</v>
      </c>
      <c r="H41" s="177">
        <v>-2064133.79</v>
      </c>
      <c r="I41" s="177">
        <v>-132916.89000000001</v>
      </c>
      <c r="J41" s="267">
        <v>-56144.47</v>
      </c>
      <c r="K41" s="267">
        <v>-13346.17</v>
      </c>
      <c r="L41" s="267">
        <v>16290.89</v>
      </c>
      <c r="M41" s="267">
        <v>1534936.18</v>
      </c>
      <c r="N41" s="267">
        <v>2743070.2199999997</v>
      </c>
      <c r="O41" s="267">
        <v>2198417.17</v>
      </c>
      <c r="P41" s="267">
        <v>2507737.36</v>
      </c>
      <c r="Q41" s="267">
        <v>-2976122.91</v>
      </c>
      <c r="R41" s="17">
        <f t="shared" si="1"/>
        <v>-1385119.1600000011</v>
      </c>
      <c r="S41" s="1"/>
      <c r="T41" s="1"/>
      <c r="U41" s="1"/>
    </row>
    <row r="42" spans="1:21">
      <c r="A42" s="77">
        <f t="shared" si="0"/>
        <v>30</v>
      </c>
      <c r="B42" s="174">
        <v>8059</v>
      </c>
      <c r="C42" s="17" t="s">
        <v>245</v>
      </c>
      <c r="D42" s="177">
        <v>-12305786.710000001</v>
      </c>
      <c r="E42" s="177">
        <v>-14904062.199999999</v>
      </c>
      <c r="F42" s="177">
        <v>-9380793.1899999995</v>
      </c>
      <c r="G42" s="177">
        <v>-8938833.0299999993</v>
      </c>
      <c r="H42" s="177">
        <v>-5948837.0899999999</v>
      </c>
      <c r="I42" s="177">
        <v>-3054463.42</v>
      </c>
      <c r="J42" s="267">
        <v>-2459005.4</v>
      </c>
      <c r="K42" s="267">
        <v>-2905076.38</v>
      </c>
      <c r="L42" s="267">
        <v>-2673745.9700000002</v>
      </c>
      <c r="M42" s="267">
        <v>-2718278.08</v>
      </c>
      <c r="N42" s="267">
        <v>-4751929.6500000004</v>
      </c>
      <c r="O42" s="267">
        <v>-10877949.300000001</v>
      </c>
      <c r="P42" s="267">
        <v>-13916623.380000001</v>
      </c>
      <c r="Q42" s="267">
        <v>-13958878.23</v>
      </c>
      <c r="R42" s="17">
        <f t="shared" si="1"/>
        <v>-80918760.420000002</v>
      </c>
      <c r="S42" s="1"/>
      <c r="T42" s="1"/>
      <c r="U42" s="1"/>
    </row>
    <row r="43" spans="1:21">
      <c r="A43" s="77">
        <f t="shared" si="0"/>
        <v>31</v>
      </c>
      <c r="B43" s="174">
        <v>8060</v>
      </c>
      <c r="C43" s="17" t="s">
        <v>246</v>
      </c>
      <c r="D43" s="177">
        <v>2208043.6</v>
      </c>
      <c r="E43" s="177">
        <v>2687186.07</v>
      </c>
      <c r="F43" s="177">
        <v>1880162.88</v>
      </c>
      <c r="G43" s="177">
        <v>1445651.89</v>
      </c>
      <c r="H43" s="177">
        <v>-953989.42</v>
      </c>
      <c r="I43" s="177">
        <v>-1317365.48</v>
      </c>
      <c r="J43" s="267">
        <v>-1329961.1299999999</v>
      </c>
      <c r="K43" s="267">
        <v>-1303661.05</v>
      </c>
      <c r="L43" s="267">
        <v>-1269846.25</v>
      </c>
      <c r="M43" s="267">
        <v>-1329590.1299999999</v>
      </c>
      <c r="N43" s="267">
        <v>-1360977.52</v>
      </c>
      <c r="O43" s="267">
        <v>1305832.98</v>
      </c>
      <c r="P43" s="267">
        <v>1569309.15</v>
      </c>
      <c r="Q43" s="267">
        <v>1573604.15</v>
      </c>
      <c r="R43" s="17">
        <f t="shared" si="1"/>
        <v>661486.43999999948</v>
      </c>
      <c r="S43" s="1"/>
      <c r="T43" s="1"/>
      <c r="U43" s="1"/>
    </row>
    <row r="44" spans="1:21">
      <c r="A44" s="77">
        <f t="shared" si="0"/>
        <v>32</v>
      </c>
      <c r="B44" s="174">
        <v>8081</v>
      </c>
      <c r="C44" s="17" t="s">
        <v>247</v>
      </c>
      <c r="D44" s="177">
        <v>2111350.42</v>
      </c>
      <c r="E44" s="177">
        <v>2831484.03</v>
      </c>
      <c r="F44" s="177">
        <v>3028402.48</v>
      </c>
      <c r="G44" s="177">
        <v>4186572.5</v>
      </c>
      <c r="H44" s="177">
        <v>93596.59</v>
      </c>
      <c r="I44" s="177">
        <v>0</v>
      </c>
      <c r="J44" s="267">
        <v>0</v>
      </c>
      <c r="K44" s="267">
        <v>0</v>
      </c>
      <c r="L44" s="267">
        <v>0</v>
      </c>
      <c r="M44" s="267">
        <v>0</v>
      </c>
      <c r="N44" s="267">
        <v>27640.53</v>
      </c>
      <c r="O44" s="267">
        <v>1810882.62</v>
      </c>
      <c r="P44" s="267">
        <v>2085621.46</v>
      </c>
      <c r="Q44" s="267">
        <v>3330114.42</v>
      </c>
      <c r="R44" s="17">
        <f t="shared" si="1"/>
        <v>14089929.169999998</v>
      </c>
      <c r="S44" s="1"/>
      <c r="T44" s="1"/>
      <c r="U44" s="1"/>
    </row>
    <row r="45" spans="1:21">
      <c r="A45" s="77">
        <f t="shared" si="0"/>
        <v>33</v>
      </c>
      <c r="B45" s="174">
        <v>8082</v>
      </c>
      <c r="C45" s="17" t="s">
        <v>248</v>
      </c>
      <c r="D45" s="177">
        <v>-767259.71</v>
      </c>
      <c r="E45" s="177">
        <v>-82686.990000000005</v>
      </c>
      <c r="F45" s="177">
        <v>-93914.68</v>
      </c>
      <c r="G45" s="177">
        <v>-68390.820000000007</v>
      </c>
      <c r="H45" s="177">
        <v>-1292343.8</v>
      </c>
      <c r="I45" s="177">
        <v>-2081696.93</v>
      </c>
      <c r="J45" s="267">
        <v>-1995068.88</v>
      </c>
      <c r="K45" s="267">
        <v>-2158256.65</v>
      </c>
      <c r="L45" s="267">
        <v>-2028296.54</v>
      </c>
      <c r="M45" s="267">
        <v>-2043541.56</v>
      </c>
      <c r="N45" s="267">
        <v>-2265047.88</v>
      </c>
      <c r="O45" s="267">
        <v>-26046.52</v>
      </c>
      <c r="P45" s="267">
        <v>-72559.25</v>
      </c>
      <c r="Q45" s="267">
        <v>-12316.67</v>
      </c>
      <c r="R45" s="17">
        <f t="shared" si="1"/>
        <v>-14902550.960000001</v>
      </c>
      <c r="S45" s="181"/>
      <c r="U45" s="1"/>
    </row>
    <row r="46" spans="1:21">
      <c r="A46" s="77">
        <f t="shared" si="0"/>
        <v>34</v>
      </c>
      <c r="B46" s="174">
        <v>8120</v>
      </c>
      <c r="C46" s="17" t="s">
        <v>249</v>
      </c>
      <c r="D46" s="177">
        <v>-3733.119999999999</v>
      </c>
      <c r="E46" s="177">
        <v>-4846.1900000000005</v>
      </c>
      <c r="F46" s="177">
        <v>-8115.1899999999987</v>
      </c>
      <c r="G46" s="177">
        <v>-3818.7199999999993</v>
      </c>
      <c r="H46" s="177">
        <v>-1045</v>
      </c>
      <c r="I46" s="177">
        <v>7015.07</v>
      </c>
      <c r="J46" s="267">
        <v>193.84999999999991</v>
      </c>
      <c r="K46" s="267">
        <v>-112.14999999999986</v>
      </c>
      <c r="L46" s="267">
        <v>113.19000000000051</v>
      </c>
      <c r="M46" s="267">
        <v>-197.96000000000004</v>
      </c>
      <c r="N46" s="267">
        <v>252.88999999999942</v>
      </c>
      <c r="O46" s="267">
        <v>-8229</v>
      </c>
      <c r="P46" s="267">
        <v>-4323.91</v>
      </c>
      <c r="Q46" s="267">
        <v>-10716.440000000002</v>
      </c>
      <c r="R46" s="17">
        <f t="shared" si="1"/>
        <v>-22522.33</v>
      </c>
      <c r="S46" s="1"/>
      <c r="T46" s="1"/>
      <c r="U46" s="1"/>
    </row>
    <row r="47" spans="1:21">
      <c r="A47" s="77">
        <f t="shared" si="0"/>
        <v>35</v>
      </c>
      <c r="B47" s="174">
        <v>8580</v>
      </c>
      <c r="C47" s="175" t="s">
        <v>250</v>
      </c>
      <c r="D47" s="177">
        <v>2548320.27</v>
      </c>
      <c r="E47" s="177">
        <v>2586250</v>
      </c>
      <c r="F47" s="177">
        <v>2313520.94</v>
      </c>
      <c r="G47" s="177">
        <v>2444145.19</v>
      </c>
      <c r="H47" s="177">
        <v>2088946.8499999999</v>
      </c>
      <c r="I47" s="177">
        <v>1662837.5500000003</v>
      </c>
      <c r="J47" s="267">
        <v>1624902.4100000001</v>
      </c>
      <c r="K47" s="267">
        <v>1664505.28</v>
      </c>
      <c r="L47" s="267">
        <v>1662555.1600000001</v>
      </c>
      <c r="M47" s="267">
        <v>1632069.5299999998</v>
      </c>
      <c r="N47" s="267">
        <v>2102913.2600000002</v>
      </c>
      <c r="O47" s="267">
        <v>2449594.48</v>
      </c>
      <c r="P47" s="267">
        <v>2503679.6399999997</v>
      </c>
      <c r="Q47" s="267">
        <v>2534334.0900000003</v>
      </c>
      <c r="R47" s="17">
        <f t="shared" si="1"/>
        <v>24780560.920000002</v>
      </c>
      <c r="S47" s="75"/>
      <c r="T47" s="1"/>
      <c r="U47" s="1"/>
    </row>
    <row r="48" spans="1:21" ht="22.5" customHeight="1">
      <c r="A48" s="77">
        <f t="shared" si="0"/>
        <v>36</v>
      </c>
      <c r="B48" s="174">
        <v>8140</v>
      </c>
      <c r="C48" s="17" t="s">
        <v>251</v>
      </c>
      <c r="D48" s="177">
        <f>0</f>
        <v>0</v>
      </c>
      <c r="E48" s="177">
        <f>0</f>
        <v>0</v>
      </c>
      <c r="F48" s="177">
        <f>0</f>
        <v>0</v>
      </c>
      <c r="G48" s="177">
        <f>0</f>
        <v>0</v>
      </c>
      <c r="H48" s="177">
        <f>0</f>
        <v>0</v>
      </c>
      <c r="I48" s="177">
        <f>0</f>
        <v>0</v>
      </c>
      <c r="J48" s="266">
        <v>0</v>
      </c>
      <c r="K48" s="266">
        <v>0</v>
      </c>
      <c r="L48" s="266">
        <v>0</v>
      </c>
      <c r="M48" s="266">
        <v>0</v>
      </c>
      <c r="N48" s="266">
        <v>0</v>
      </c>
      <c r="O48" s="266">
        <v>0</v>
      </c>
      <c r="P48" s="266"/>
      <c r="Q48" s="266"/>
      <c r="R48" s="17">
        <f t="shared" si="1"/>
        <v>0</v>
      </c>
      <c r="U48" s="1"/>
    </row>
    <row r="49" spans="1:24" ht="21.75" customHeight="1">
      <c r="A49" s="77">
        <f t="shared" si="0"/>
        <v>37</v>
      </c>
      <c r="B49" s="174">
        <v>8160</v>
      </c>
      <c r="C49" s="17" t="s">
        <v>252</v>
      </c>
      <c r="D49" s="177">
        <v>17162.68</v>
      </c>
      <c r="E49" s="177">
        <v>8905.0399999999991</v>
      </c>
      <c r="F49" s="177">
        <v>2878.4</v>
      </c>
      <c r="G49" s="177">
        <v>3990.9499999999994</v>
      </c>
      <c r="H49" s="177">
        <v>33606.07</v>
      </c>
      <c r="I49" s="177">
        <v>124066.81999999999</v>
      </c>
      <c r="J49" s="266">
        <v>32714.84</v>
      </c>
      <c r="K49" s="266">
        <v>30158.39</v>
      </c>
      <c r="L49" s="266">
        <v>135125.62000000002</v>
      </c>
      <c r="M49" s="266">
        <v>31874.399999999998</v>
      </c>
      <c r="N49" s="266">
        <v>3432</v>
      </c>
      <c r="O49" s="266">
        <v>10559.039999999999</v>
      </c>
      <c r="P49" s="266">
        <v>74025.3</v>
      </c>
      <c r="Q49" s="266">
        <v>93605.489999999991</v>
      </c>
      <c r="R49" s="17">
        <f t="shared" si="1"/>
        <v>434474.25000000006</v>
      </c>
      <c r="S49" s="1"/>
      <c r="T49" s="1"/>
      <c r="U49" s="1"/>
    </row>
    <row r="50" spans="1:24">
      <c r="A50" s="77">
        <f t="shared" si="0"/>
        <v>38</v>
      </c>
      <c r="B50" s="174">
        <v>8170</v>
      </c>
      <c r="C50" s="17" t="s">
        <v>253</v>
      </c>
      <c r="D50" s="177">
        <v>5748.35</v>
      </c>
      <c r="E50" s="177">
        <v>1963.5899999999997</v>
      </c>
      <c r="F50" s="177">
        <v>613.67999999999995</v>
      </c>
      <c r="G50" s="177">
        <v>812.28000000000009</v>
      </c>
      <c r="H50" s="177">
        <v>1432.28</v>
      </c>
      <c r="I50" s="177">
        <v>1515.31</v>
      </c>
      <c r="J50" s="266">
        <v>2573.84</v>
      </c>
      <c r="K50" s="266">
        <v>3862.85</v>
      </c>
      <c r="L50" s="266">
        <v>9477.9000000000015</v>
      </c>
      <c r="M50" s="266">
        <v>2279.14</v>
      </c>
      <c r="N50" s="266">
        <v>689.15000000000009</v>
      </c>
      <c r="O50" s="266">
        <v>1282.3699999999999</v>
      </c>
      <c r="P50" s="266">
        <v>1413.13</v>
      </c>
      <c r="Q50" s="266">
        <v>3215.67</v>
      </c>
      <c r="R50" s="17">
        <f t="shared" si="1"/>
        <v>32250.74</v>
      </c>
      <c r="S50" s="1"/>
      <c r="T50" s="1"/>
      <c r="U50" s="1"/>
    </row>
    <row r="51" spans="1:24">
      <c r="A51" s="77">
        <f t="shared" si="0"/>
        <v>39</v>
      </c>
      <c r="B51" s="174">
        <v>8180</v>
      </c>
      <c r="C51" s="17" t="s">
        <v>254</v>
      </c>
      <c r="D51" s="177">
        <v>3767.84</v>
      </c>
      <c r="E51" s="177">
        <v>2066.5099999999998</v>
      </c>
      <c r="F51" s="177">
        <v>2175.2800000000002</v>
      </c>
      <c r="G51" s="177">
        <v>1614.34</v>
      </c>
      <c r="H51" s="177">
        <v>4831.5599999999995</v>
      </c>
      <c r="I51" s="177">
        <v>1735.18</v>
      </c>
      <c r="J51" s="266">
        <v>6268.2999999999993</v>
      </c>
      <c r="K51" s="266">
        <v>4332.4000000000005</v>
      </c>
      <c r="L51" s="266">
        <v>3931.34</v>
      </c>
      <c r="M51" s="266">
        <v>3666.2599999999998</v>
      </c>
      <c r="N51" s="266">
        <v>110.12000000000003</v>
      </c>
      <c r="O51" s="266">
        <v>744.33999999999992</v>
      </c>
      <c r="P51" s="266">
        <v>1600.67</v>
      </c>
      <c r="Q51" s="266">
        <v>986.06000000000017</v>
      </c>
      <c r="R51" s="17">
        <f t="shared" si="1"/>
        <v>35243.47</v>
      </c>
      <c r="S51" s="1"/>
      <c r="T51" s="1"/>
      <c r="U51" s="1"/>
    </row>
    <row r="52" spans="1:24" ht="15.75">
      <c r="A52" s="77">
        <f t="shared" si="0"/>
        <v>40</v>
      </c>
      <c r="B52" s="174">
        <v>8190</v>
      </c>
      <c r="C52" s="17" t="s">
        <v>255</v>
      </c>
      <c r="D52" s="177">
        <v>94.86</v>
      </c>
      <c r="E52" s="177">
        <v>114.33</v>
      </c>
      <c r="F52" s="177">
        <v>104.41</v>
      </c>
      <c r="G52" s="177">
        <v>0</v>
      </c>
      <c r="H52" s="177">
        <v>100.72</v>
      </c>
      <c r="I52" s="177">
        <v>103.52</v>
      </c>
      <c r="J52" s="266">
        <v>94.29</v>
      </c>
      <c r="K52" s="266">
        <v>44.7</v>
      </c>
      <c r="L52" s="266">
        <v>97.09</v>
      </c>
      <c r="M52" s="266">
        <v>95.76</v>
      </c>
      <c r="N52" s="266">
        <v>93.63</v>
      </c>
      <c r="O52" s="266">
        <v>96.29</v>
      </c>
      <c r="P52" s="266">
        <v>120.3</v>
      </c>
      <c r="Q52" s="266">
        <v>118.57</v>
      </c>
      <c r="R52" s="17">
        <f t="shared" si="1"/>
        <v>1039.6000000000001</v>
      </c>
      <c r="S52" s="1"/>
      <c r="T52" s="182"/>
      <c r="U52" s="183"/>
    </row>
    <row r="53" spans="1:24" ht="15.75">
      <c r="A53" s="77">
        <f t="shared" si="0"/>
        <v>41</v>
      </c>
      <c r="B53" s="174">
        <v>8200</v>
      </c>
      <c r="C53" s="17" t="s">
        <v>256</v>
      </c>
      <c r="D53" s="177">
        <v>327.27999999999997</v>
      </c>
      <c r="E53" s="177">
        <v>1967.46</v>
      </c>
      <c r="F53" s="177">
        <v>796.03</v>
      </c>
      <c r="G53" s="177">
        <v>-61.56</v>
      </c>
      <c r="H53" s="177">
        <v>574.07999999999993</v>
      </c>
      <c r="I53" s="177">
        <v>278.54000000000002</v>
      </c>
      <c r="J53" s="266">
        <v>1538.8700000000001</v>
      </c>
      <c r="K53" s="266">
        <v>187.60999999999996</v>
      </c>
      <c r="L53" s="266">
        <v>185.19</v>
      </c>
      <c r="M53" s="266">
        <v>71.86</v>
      </c>
      <c r="N53" s="266">
        <v>424.66</v>
      </c>
      <c r="O53" s="266">
        <v>583.43000000000006</v>
      </c>
      <c r="P53" s="266">
        <v>1363.0200000000002</v>
      </c>
      <c r="Q53" s="266">
        <v>1251.29</v>
      </c>
      <c r="R53" s="17">
        <f t="shared" si="1"/>
        <v>6873.4499999999989</v>
      </c>
      <c r="S53" s="1"/>
      <c r="T53" s="184"/>
      <c r="U53" s="185"/>
    </row>
    <row r="54" spans="1:24">
      <c r="A54" s="77">
        <f t="shared" si="0"/>
        <v>42</v>
      </c>
      <c r="B54" s="174">
        <v>8210</v>
      </c>
      <c r="C54" s="17" t="s">
        <v>257</v>
      </c>
      <c r="D54" s="177">
        <v>16004.170000000002</v>
      </c>
      <c r="E54" s="177">
        <v>8232.48</v>
      </c>
      <c r="F54" s="177">
        <v>979.35999999999956</v>
      </c>
      <c r="G54" s="177">
        <v>-180.35</v>
      </c>
      <c r="H54" s="177">
        <v>1240.8499999999999</v>
      </c>
      <c r="I54" s="177">
        <v>3290.67</v>
      </c>
      <c r="J54" s="266">
        <v>1425.85</v>
      </c>
      <c r="K54" s="266">
        <v>15299.56</v>
      </c>
      <c r="L54" s="266">
        <v>-348.02</v>
      </c>
      <c r="M54" s="266">
        <v>229.48</v>
      </c>
      <c r="N54" s="266">
        <v>1755.04</v>
      </c>
      <c r="O54" s="266">
        <v>2513.9599999999996</v>
      </c>
      <c r="P54" s="266">
        <v>1396.54</v>
      </c>
      <c r="Q54" s="266">
        <v>7349.33</v>
      </c>
      <c r="R54" s="17">
        <f t="shared" si="1"/>
        <v>50443.05</v>
      </c>
      <c r="S54" s="1"/>
      <c r="T54" s="186"/>
      <c r="U54" s="1"/>
    </row>
    <row r="55" spans="1:24">
      <c r="A55" s="77">
        <f t="shared" si="0"/>
        <v>43</v>
      </c>
      <c r="B55" s="174">
        <v>8240</v>
      </c>
      <c r="C55" s="17" t="s">
        <v>258</v>
      </c>
      <c r="D55" s="177">
        <f>0</f>
        <v>0</v>
      </c>
      <c r="E55" s="177">
        <f>0</f>
        <v>0</v>
      </c>
      <c r="F55" s="177">
        <f>0</f>
        <v>0</v>
      </c>
      <c r="G55" s="177">
        <f>0</f>
        <v>0</v>
      </c>
      <c r="H55" s="177">
        <f>0</f>
        <v>0</v>
      </c>
      <c r="I55" s="177">
        <f>0</f>
        <v>0</v>
      </c>
      <c r="J55" s="266">
        <v>0</v>
      </c>
      <c r="K55" s="266">
        <v>0</v>
      </c>
      <c r="L55" s="266">
        <v>0</v>
      </c>
      <c r="M55" s="266">
        <v>0</v>
      </c>
      <c r="N55" s="266">
        <v>0</v>
      </c>
      <c r="O55" s="266">
        <v>0</v>
      </c>
      <c r="P55" s="266">
        <v>0</v>
      </c>
      <c r="Q55" s="266">
        <v>411.31</v>
      </c>
      <c r="R55" s="17">
        <f t="shared" si="1"/>
        <v>0</v>
      </c>
      <c r="S55" s="1"/>
      <c r="T55" s="186"/>
      <c r="U55" s="1"/>
    </row>
    <row r="56" spans="1:24">
      <c r="A56" s="77">
        <f t="shared" si="0"/>
        <v>44</v>
      </c>
      <c r="B56" s="174">
        <v>8250</v>
      </c>
      <c r="C56" s="17" t="s">
        <v>259</v>
      </c>
      <c r="D56" s="177">
        <v>2637.08</v>
      </c>
      <c r="E56" s="177">
        <v>772.91000000000008</v>
      </c>
      <c r="F56" s="177">
        <v>854.21</v>
      </c>
      <c r="G56" s="177">
        <v>948.66000000000008</v>
      </c>
      <c r="H56" s="177">
        <v>406.31</v>
      </c>
      <c r="I56" s="177">
        <v>535.35</v>
      </c>
      <c r="J56" s="266">
        <v>287.87</v>
      </c>
      <c r="K56" s="266">
        <v>518.61</v>
      </c>
      <c r="L56" s="266">
        <v>981.00999999999976</v>
      </c>
      <c r="M56" s="266">
        <v>307.63</v>
      </c>
      <c r="N56" s="266">
        <v>769.96</v>
      </c>
      <c r="O56" s="266">
        <v>821.51</v>
      </c>
      <c r="P56" s="266">
        <v>1647.67</v>
      </c>
      <c r="Q56" s="266">
        <v>1475.48</v>
      </c>
      <c r="R56" s="17">
        <f t="shared" si="1"/>
        <v>9841.1099999999988</v>
      </c>
      <c r="S56" s="1"/>
      <c r="T56" s="1"/>
      <c r="U56" s="1"/>
    </row>
    <row r="57" spans="1:24">
      <c r="A57" s="77">
        <f t="shared" si="0"/>
        <v>45</v>
      </c>
      <c r="B57" s="174">
        <v>8310</v>
      </c>
      <c r="C57" s="17" t="s">
        <v>260</v>
      </c>
      <c r="D57" s="177">
        <v>459.78</v>
      </c>
      <c r="E57" s="177">
        <v>1020</v>
      </c>
      <c r="F57" s="177">
        <v>824.38</v>
      </c>
      <c r="G57" s="177">
        <v>88</v>
      </c>
      <c r="H57" s="177">
        <v>2405</v>
      </c>
      <c r="I57" s="177">
        <v>3015.25</v>
      </c>
      <c r="J57" s="266">
        <v>3530.2</v>
      </c>
      <c r="K57" s="266">
        <v>3407.9</v>
      </c>
      <c r="L57" s="266">
        <v>3463.06</v>
      </c>
      <c r="M57" s="266">
        <v>4589.8500000000004</v>
      </c>
      <c r="N57" s="266">
        <v>3701.72</v>
      </c>
      <c r="O57" s="266">
        <v>404.2</v>
      </c>
      <c r="P57" s="266">
        <v>1123.8599999999999</v>
      </c>
      <c r="Q57" s="266">
        <v>906.2</v>
      </c>
      <c r="R57" s="17">
        <f t="shared" si="1"/>
        <v>26909.34</v>
      </c>
      <c r="S57" s="1"/>
      <c r="T57" s="186"/>
      <c r="U57" s="1"/>
    </row>
    <row r="58" spans="1:24">
      <c r="A58" s="77">
        <f t="shared" si="0"/>
        <v>46</v>
      </c>
      <c r="B58" s="174">
        <v>8340</v>
      </c>
      <c r="C58" s="17" t="s">
        <v>261</v>
      </c>
      <c r="D58" s="177">
        <v>0</v>
      </c>
      <c r="E58" s="177">
        <v>31.29</v>
      </c>
      <c r="F58" s="177">
        <v>1242.82</v>
      </c>
      <c r="G58" s="177">
        <v>-177.55</v>
      </c>
      <c r="H58" s="177">
        <v>1034.3799999999999</v>
      </c>
      <c r="I58" s="177">
        <v>-318.56</v>
      </c>
      <c r="J58" s="266">
        <v>18</v>
      </c>
      <c r="K58" s="266">
        <v>39.58</v>
      </c>
      <c r="L58" s="266">
        <v>16.93</v>
      </c>
      <c r="M58" s="266">
        <v>778.08999999999992</v>
      </c>
      <c r="N58" s="266">
        <v>973.48</v>
      </c>
      <c r="O58" s="266">
        <v>323.57000000000005</v>
      </c>
      <c r="P58" s="266">
        <v>-187.33</v>
      </c>
      <c r="Q58" s="266">
        <v>2246.52</v>
      </c>
      <c r="R58" s="17">
        <f t="shared" si="1"/>
        <v>3962.0299999999997</v>
      </c>
      <c r="S58" s="1"/>
      <c r="T58" s="186"/>
      <c r="U58" s="1"/>
    </row>
    <row r="59" spans="1:24">
      <c r="A59" s="77">
        <f t="shared" si="0"/>
        <v>47</v>
      </c>
      <c r="B59" s="174">
        <v>8350</v>
      </c>
      <c r="C59" s="17" t="s">
        <v>262</v>
      </c>
      <c r="D59" s="177">
        <f>0</f>
        <v>0</v>
      </c>
      <c r="E59" s="177">
        <f>0</f>
        <v>0</v>
      </c>
      <c r="F59" s="177">
        <f>0</f>
        <v>0</v>
      </c>
      <c r="G59" s="177">
        <f>0</f>
        <v>0</v>
      </c>
      <c r="H59" s="177">
        <f>0</f>
        <v>0</v>
      </c>
      <c r="I59" s="177">
        <f>0</f>
        <v>0</v>
      </c>
      <c r="J59" s="266">
        <v>19.91</v>
      </c>
      <c r="K59" s="266">
        <v>0</v>
      </c>
      <c r="L59" s="266">
        <v>0</v>
      </c>
      <c r="M59" s="266">
        <v>0</v>
      </c>
      <c r="N59" s="266">
        <v>0</v>
      </c>
      <c r="O59" s="266">
        <v>0</v>
      </c>
      <c r="P59" s="266"/>
      <c r="Q59" s="266"/>
      <c r="R59" s="17">
        <f t="shared" si="1"/>
        <v>19.91</v>
      </c>
      <c r="S59" s="1"/>
      <c r="T59" s="186"/>
      <c r="U59" s="1"/>
    </row>
    <row r="60" spans="1:24">
      <c r="A60" s="77">
        <f t="shared" si="0"/>
        <v>48</v>
      </c>
      <c r="B60" s="174">
        <v>8360</v>
      </c>
      <c r="C60" s="17" t="s">
        <v>263</v>
      </c>
      <c r="D60" s="177">
        <f>0</f>
        <v>0</v>
      </c>
      <c r="E60" s="177">
        <f>0</f>
        <v>0</v>
      </c>
      <c r="F60" s="177">
        <f>0</f>
        <v>0</v>
      </c>
      <c r="G60" s="177">
        <f>0</f>
        <v>0</v>
      </c>
      <c r="H60" s="177">
        <f>0</f>
        <v>0</v>
      </c>
      <c r="I60" s="177">
        <f>0</f>
        <v>0</v>
      </c>
      <c r="J60" s="266">
        <v>0</v>
      </c>
      <c r="K60" s="266">
        <v>0</v>
      </c>
      <c r="L60" s="266">
        <v>0</v>
      </c>
      <c r="M60" s="266">
        <v>0</v>
      </c>
      <c r="N60" s="266">
        <v>0</v>
      </c>
      <c r="O60" s="266">
        <v>0</v>
      </c>
      <c r="P60" s="266"/>
      <c r="Q60" s="266"/>
      <c r="R60" s="17">
        <f t="shared" si="1"/>
        <v>0</v>
      </c>
      <c r="S60" s="1"/>
      <c r="T60" s="186"/>
      <c r="U60" s="1"/>
    </row>
    <row r="61" spans="1:24">
      <c r="A61" s="77">
        <f t="shared" si="0"/>
        <v>49</v>
      </c>
      <c r="B61" s="174">
        <v>8370</v>
      </c>
      <c r="C61" s="17" t="s">
        <v>117</v>
      </c>
      <c r="D61" s="177">
        <f>0</f>
        <v>0</v>
      </c>
      <c r="E61" s="177">
        <f>0</f>
        <v>0</v>
      </c>
      <c r="F61" s="177">
        <f>0</f>
        <v>0</v>
      </c>
      <c r="G61" s="177">
        <f>0</f>
        <v>0</v>
      </c>
      <c r="H61" s="177">
        <f>0</f>
        <v>0</v>
      </c>
      <c r="I61" s="177">
        <f>0</f>
        <v>0</v>
      </c>
      <c r="J61" s="266">
        <v>0</v>
      </c>
      <c r="K61" s="266">
        <v>0</v>
      </c>
      <c r="L61" s="266">
        <v>0</v>
      </c>
      <c r="M61" s="266">
        <v>0</v>
      </c>
      <c r="N61" s="266">
        <v>0</v>
      </c>
      <c r="O61" s="266">
        <v>0</v>
      </c>
      <c r="P61" s="266"/>
      <c r="Q61" s="266"/>
      <c r="R61" s="17">
        <f t="shared" si="1"/>
        <v>0</v>
      </c>
      <c r="S61" s="1"/>
      <c r="T61" s="186"/>
      <c r="U61" s="1"/>
    </row>
    <row r="62" spans="1:24">
      <c r="A62" s="77">
        <f t="shared" si="0"/>
        <v>50</v>
      </c>
      <c r="B62" s="174">
        <v>8410</v>
      </c>
      <c r="C62" s="17" t="s">
        <v>264</v>
      </c>
      <c r="D62" s="177">
        <v>19063.29</v>
      </c>
      <c r="E62" s="177">
        <v>-7360.12</v>
      </c>
      <c r="F62" s="177">
        <v>6379.6500000000005</v>
      </c>
      <c r="G62" s="177">
        <v>5083.41</v>
      </c>
      <c r="H62" s="177">
        <v>5229.17</v>
      </c>
      <c r="I62" s="177">
        <v>9242.4</v>
      </c>
      <c r="J62" s="266">
        <v>5427.7599999999993</v>
      </c>
      <c r="K62" s="266">
        <v>9944.9499999999989</v>
      </c>
      <c r="L62" s="266">
        <v>7508.09</v>
      </c>
      <c r="M62" s="266">
        <v>16919.97</v>
      </c>
      <c r="N62" s="266">
        <v>14223.609999999999</v>
      </c>
      <c r="O62" s="266">
        <v>17078.86</v>
      </c>
      <c r="P62" s="266">
        <v>27102.6</v>
      </c>
      <c r="Q62" s="266">
        <v>4316.66</v>
      </c>
      <c r="R62" s="17">
        <f t="shared" si="1"/>
        <v>108741.04000000001</v>
      </c>
      <c r="S62" s="1"/>
      <c r="T62" s="1"/>
      <c r="U62" s="1"/>
    </row>
    <row r="63" spans="1:24">
      <c r="A63" s="77">
        <f t="shared" si="0"/>
        <v>51</v>
      </c>
      <c r="B63" s="174">
        <v>8500</v>
      </c>
      <c r="C63" s="154" t="s">
        <v>141</v>
      </c>
      <c r="D63" s="177">
        <v>0</v>
      </c>
      <c r="E63" s="177">
        <v>0</v>
      </c>
      <c r="F63" s="177">
        <v>0</v>
      </c>
      <c r="G63" s="177">
        <v>0</v>
      </c>
      <c r="H63" s="177">
        <v>28.57</v>
      </c>
      <c r="I63" s="177">
        <v>0</v>
      </c>
      <c r="J63" s="266">
        <v>0</v>
      </c>
      <c r="K63" s="266">
        <v>0</v>
      </c>
      <c r="L63" s="266">
        <v>0</v>
      </c>
      <c r="M63" s="266">
        <v>0</v>
      </c>
      <c r="N63" s="266">
        <v>0</v>
      </c>
      <c r="O63" s="266">
        <v>0</v>
      </c>
      <c r="P63" s="266"/>
      <c r="Q63" s="266"/>
      <c r="R63" s="17">
        <f t="shared" si="1"/>
        <v>28.57</v>
      </c>
      <c r="S63" s="1"/>
      <c r="T63" s="1"/>
      <c r="U63" s="1"/>
    </row>
    <row r="64" spans="1:24">
      <c r="A64" s="77">
        <f t="shared" si="0"/>
        <v>52</v>
      </c>
      <c r="B64" s="174">
        <v>8520</v>
      </c>
      <c r="C64" s="17" t="s">
        <v>122</v>
      </c>
      <c r="D64" s="177">
        <f>0</f>
        <v>0</v>
      </c>
      <c r="E64" s="177">
        <f>0</f>
        <v>0</v>
      </c>
      <c r="F64" s="177">
        <f>0</f>
        <v>0</v>
      </c>
      <c r="G64" s="177">
        <f>0</f>
        <v>0</v>
      </c>
      <c r="H64" s="177">
        <f>0</f>
        <v>0</v>
      </c>
      <c r="I64" s="177">
        <f>0</f>
        <v>0</v>
      </c>
      <c r="J64" s="266">
        <v>0</v>
      </c>
      <c r="K64" s="266">
        <v>0</v>
      </c>
      <c r="L64" s="266">
        <v>0</v>
      </c>
      <c r="M64" s="266">
        <v>0</v>
      </c>
      <c r="N64" s="266">
        <v>0</v>
      </c>
      <c r="O64" s="266">
        <v>0</v>
      </c>
      <c r="P64" s="266">
        <v>1785.8</v>
      </c>
      <c r="Q64" s="266">
        <v>0</v>
      </c>
      <c r="R64" s="17">
        <f t="shared" si="1"/>
        <v>0</v>
      </c>
      <c r="S64" s="1"/>
      <c r="T64" s="1"/>
      <c r="U64" s="1"/>
      <c r="W64" s="178"/>
      <c r="X64" s="154"/>
    </row>
    <row r="65" spans="1:24">
      <c r="A65" s="77">
        <f t="shared" si="0"/>
        <v>53</v>
      </c>
      <c r="B65" s="174">
        <v>8550</v>
      </c>
      <c r="C65" s="17" t="s">
        <v>265</v>
      </c>
      <c r="D65" s="177">
        <v>39.590000000000003</v>
      </c>
      <c r="E65" s="177">
        <v>34.520000000000003</v>
      </c>
      <c r="F65" s="177">
        <v>37.520000000000003</v>
      </c>
      <c r="G65" s="177">
        <v>34.909999999999997</v>
      </c>
      <c r="H65" s="177">
        <v>35.21</v>
      </c>
      <c r="I65" s="177">
        <v>35.22</v>
      </c>
      <c r="J65" s="266">
        <v>34.26</v>
      </c>
      <c r="K65" s="266">
        <v>32.85</v>
      </c>
      <c r="L65" s="266">
        <v>32.32</v>
      </c>
      <c r="M65" s="266">
        <v>30.68</v>
      </c>
      <c r="N65" s="266">
        <v>34.68</v>
      </c>
      <c r="O65" s="266">
        <v>33.979999999999997</v>
      </c>
      <c r="P65" s="266">
        <v>32.74</v>
      </c>
      <c r="Q65" s="266">
        <v>35.880000000000003</v>
      </c>
      <c r="R65" s="17">
        <f t="shared" si="1"/>
        <v>415.74000000000007</v>
      </c>
      <c r="S65" s="1"/>
      <c r="T65" s="1"/>
      <c r="U65" s="1"/>
      <c r="W65" s="178"/>
      <c r="X65" s="154"/>
    </row>
    <row r="66" spans="1:24">
      <c r="A66" s="77">
        <f t="shared" si="0"/>
        <v>54</v>
      </c>
      <c r="B66" s="174">
        <v>8560</v>
      </c>
      <c r="C66" s="17" t="s">
        <v>266</v>
      </c>
      <c r="D66" s="177">
        <v>12455.669999999998</v>
      </c>
      <c r="E66" s="177">
        <v>29430.539999999997</v>
      </c>
      <c r="F66" s="177">
        <v>47533.689999999988</v>
      </c>
      <c r="G66" s="177">
        <v>35350.81</v>
      </c>
      <c r="H66" s="177">
        <v>49826.01</v>
      </c>
      <c r="I66" s="177">
        <v>43467.520000000011</v>
      </c>
      <c r="J66" s="266">
        <v>61203.139999999992</v>
      </c>
      <c r="K66" s="266">
        <v>18759.449999999997</v>
      </c>
      <c r="L66" s="266">
        <v>35959.96</v>
      </c>
      <c r="M66" s="266">
        <v>55413.709999999992</v>
      </c>
      <c r="N66" s="266">
        <v>26942.990000000005</v>
      </c>
      <c r="O66" s="266">
        <v>8843.8299999999945</v>
      </c>
      <c r="P66" s="266">
        <v>11347.87</v>
      </c>
      <c r="Q66" s="266">
        <v>13663.539999999997</v>
      </c>
      <c r="R66" s="17">
        <f t="shared" si="1"/>
        <v>425187.32</v>
      </c>
      <c r="S66" s="1"/>
      <c r="T66" s="186"/>
      <c r="U66" s="1"/>
    </row>
    <row r="67" spans="1:24">
      <c r="A67" s="77">
        <f t="shared" si="0"/>
        <v>55</v>
      </c>
      <c r="B67" s="174">
        <v>8570</v>
      </c>
      <c r="C67" s="17" t="s">
        <v>267</v>
      </c>
      <c r="D67" s="177">
        <v>2184.08</v>
      </c>
      <c r="E67" s="177">
        <v>10618.989999999998</v>
      </c>
      <c r="F67" s="177">
        <v>-1840.6700000000005</v>
      </c>
      <c r="G67" s="177">
        <v>1397.6299999999999</v>
      </c>
      <c r="H67" s="177">
        <v>2143.36</v>
      </c>
      <c r="I67" s="177">
        <v>1419.27</v>
      </c>
      <c r="J67" s="266">
        <v>3697.64</v>
      </c>
      <c r="K67" s="266">
        <v>529.74000000000012</v>
      </c>
      <c r="L67" s="266">
        <v>904.44</v>
      </c>
      <c r="M67" s="266">
        <v>1414.3200000000002</v>
      </c>
      <c r="N67" s="266">
        <v>849.42</v>
      </c>
      <c r="O67" s="266">
        <v>1441.33</v>
      </c>
      <c r="P67" s="266">
        <v>2886.5399999999995</v>
      </c>
      <c r="Q67" s="266">
        <v>1293.8899999999999</v>
      </c>
      <c r="R67" s="17">
        <f t="shared" si="1"/>
        <v>24759.549999999996</v>
      </c>
      <c r="S67" s="1"/>
      <c r="T67" s="1"/>
      <c r="U67" s="1"/>
    </row>
    <row r="68" spans="1:24">
      <c r="A68" s="77">
        <f t="shared" si="0"/>
        <v>56</v>
      </c>
      <c r="B68" s="174">
        <v>8630</v>
      </c>
      <c r="C68" s="17" t="s">
        <v>268</v>
      </c>
      <c r="D68" s="177">
        <v>0</v>
      </c>
      <c r="E68" s="177">
        <v>4742.46</v>
      </c>
      <c r="F68" s="177">
        <v>1145.7</v>
      </c>
      <c r="G68" s="177">
        <v>774.21</v>
      </c>
      <c r="H68" s="177">
        <v>2447.31</v>
      </c>
      <c r="I68" s="177">
        <v>-617.11999999999989</v>
      </c>
      <c r="J68" s="266">
        <v>2424.7800000000002</v>
      </c>
      <c r="K68" s="266">
        <v>2495.7200000000003</v>
      </c>
      <c r="L68" s="266">
        <v>12567.45</v>
      </c>
      <c r="M68" s="266">
        <v>2533.04</v>
      </c>
      <c r="N68" s="266">
        <v>-97.950000000000045</v>
      </c>
      <c r="O68" s="266">
        <v>388.72</v>
      </c>
      <c r="P68" s="266">
        <v>19565.939999999999</v>
      </c>
      <c r="Q68" s="266">
        <v>37724.629999999997</v>
      </c>
      <c r="R68" s="17">
        <f t="shared" si="1"/>
        <v>28804.320000000003</v>
      </c>
      <c r="S68" s="1"/>
      <c r="T68" s="186"/>
      <c r="U68" s="1"/>
    </row>
    <row r="69" spans="1:24">
      <c r="A69" s="77">
        <f t="shared" si="0"/>
        <v>57</v>
      </c>
      <c r="B69" s="174">
        <v>8640</v>
      </c>
      <c r="C69" s="17" t="s">
        <v>269</v>
      </c>
      <c r="D69" s="177">
        <f>0</f>
        <v>0</v>
      </c>
      <c r="E69" s="177">
        <f>0</f>
        <v>0</v>
      </c>
      <c r="F69" s="177">
        <f>0</f>
        <v>0</v>
      </c>
      <c r="G69" s="177">
        <f>0</f>
        <v>0</v>
      </c>
      <c r="H69" s="177">
        <f>0</f>
        <v>0</v>
      </c>
      <c r="I69" s="177">
        <f>0</f>
        <v>0</v>
      </c>
      <c r="J69" s="266">
        <v>0</v>
      </c>
      <c r="K69" s="266">
        <v>0</v>
      </c>
      <c r="L69" s="266">
        <v>0</v>
      </c>
      <c r="M69" s="266">
        <v>0</v>
      </c>
      <c r="N69" s="266">
        <v>0</v>
      </c>
      <c r="O69" s="266">
        <v>0</v>
      </c>
      <c r="P69" s="266"/>
      <c r="Q69" s="266"/>
      <c r="R69" s="17">
        <f t="shared" si="1"/>
        <v>0</v>
      </c>
      <c r="S69" s="1"/>
      <c r="T69" s="186"/>
      <c r="U69" s="1"/>
    </row>
    <row r="70" spans="1:24">
      <c r="A70" s="77">
        <f t="shared" si="0"/>
        <v>58</v>
      </c>
      <c r="B70" s="174">
        <v>8650</v>
      </c>
      <c r="C70" s="17" t="s">
        <v>270</v>
      </c>
      <c r="D70" s="177">
        <f>0</f>
        <v>0</v>
      </c>
      <c r="E70" s="177">
        <f>0</f>
        <v>0</v>
      </c>
      <c r="F70" s="177">
        <f>0</f>
        <v>0</v>
      </c>
      <c r="G70" s="177">
        <f>0</f>
        <v>0</v>
      </c>
      <c r="H70" s="177">
        <f>0</f>
        <v>0</v>
      </c>
      <c r="I70" s="177">
        <f>0</f>
        <v>0</v>
      </c>
      <c r="J70" s="266">
        <v>0</v>
      </c>
      <c r="K70" s="266">
        <v>0</v>
      </c>
      <c r="L70" s="266">
        <v>0</v>
      </c>
      <c r="M70" s="266">
        <v>0</v>
      </c>
      <c r="N70" s="266">
        <v>280.58</v>
      </c>
      <c r="O70" s="266">
        <v>0</v>
      </c>
      <c r="P70" s="266"/>
      <c r="Q70" s="266"/>
      <c r="R70" s="17">
        <f t="shared" si="1"/>
        <v>280.58</v>
      </c>
      <c r="S70" s="1"/>
      <c r="T70" s="1"/>
      <c r="U70" s="1"/>
    </row>
    <row r="71" spans="1:24">
      <c r="A71" s="77">
        <f t="shared" si="0"/>
        <v>59</v>
      </c>
      <c r="B71" s="174">
        <v>8700</v>
      </c>
      <c r="C71" s="17" t="s">
        <v>271</v>
      </c>
      <c r="D71" s="177">
        <v>161945.13000000003</v>
      </c>
      <c r="E71" s="177">
        <v>57921.109999999986</v>
      </c>
      <c r="F71" s="177">
        <v>123487.73999999977</v>
      </c>
      <c r="G71" s="177">
        <v>161656.09</v>
      </c>
      <c r="H71" s="177">
        <v>183227.56000000032</v>
      </c>
      <c r="I71" s="177">
        <v>205824.88000000012</v>
      </c>
      <c r="J71" s="266">
        <v>55073.500000000167</v>
      </c>
      <c r="K71" s="266">
        <v>371482.36000000022</v>
      </c>
      <c r="L71" s="266">
        <v>50435.970000000154</v>
      </c>
      <c r="M71" s="266">
        <v>-110410.80999999963</v>
      </c>
      <c r="N71" s="266">
        <v>181597.59999999995</v>
      </c>
      <c r="O71" s="266">
        <v>107432.88000000005</v>
      </c>
      <c r="P71" s="266">
        <v>171438.96999999986</v>
      </c>
      <c r="Q71" s="266">
        <v>231786.58999999994</v>
      </c>
      <c r="R71" s="17">
        <f t="shared" si="1"/>
        <v>1549674.0100000012</v>
      </c>
      <c r="S71" s="1"/>
      <c r="T71" s="186"/>
      <c r="U71" s="1"/>
    </row>
    <row r="72" spans="1:24">
      <c r="A72" s="77">
        <f t="shared" si="0"/>
        <v>60</v>
      </c>
      <c r="B72" s="174">
        <v>8710</v>
      </c>
      <c r="C72" s="17" t="s">
        <v>272</v>
      </c>
      <c r="D72" s="177">
        <v>69.58</v>
      </c>
      <c r="E72" s="177">
        <v>218.74</v>
      </c>
      <c r="F72" s="177">
        <v>43.39</v>
      </c>
      <c r="G72" s="177">
        <v>22.45</v>
      </c>
      <c r="H72" s="177">
        <v>22.2</v>
      </c>
      <c r="I72" s="177">
        <v>90.38</v>
      </c>
      <c r="J72" s="266">
        <v>0</v>
      </c>
      <c r="K72" s="266">
        <v>19.940000000000001</v>
      </c>
      <c r="L72" s="266">
        <v>22.16</v>
      </c>
      <c r="M72" s="266">
        <v>356.81</v>
      </c>
      <c r="N72" s="266">
        <v>55.01</v>
      </c>
      <c r="O72" s="266">
        <v>49.15</v>
      </c>
      <c r="P72" s="266">
        <v>0</v>
      </c>
      <c r="Q72" s="266">
        <v>17.489999999999998</v>
      </c>
      <c r="R72" s="17">
        <f t="shared" si="1"/>
        <v>969.81</v>
      </c>
      <c r="S72" s="1"/>
      <c r="T72" s="186"/>
      <c r="U72" s="1"/>
    </row>
    <row r="73" spans="1:24">
      <c r="A73" s="77">
        <f t="shared" si="0"/>
        <v>61</v>
      </c>
      <c r="B73" s="174">
        <v>8711</v>
      </c>
      <c r="C73" s="175" t="s">
        <v>273</v>
      </c>
      <c r="D73" s="177">
        <v>0</v>
      </c>
      <c r="E73" s="177">
        <v>0</v>
      </c>
      <c r="F73" s="177">
        <v>3088.43</v>
      </c>
      <c r="G73" s="177">
        <v>3033.77</v>
      </c>
      <c r="H73" s="177">
        <v>10112.4</v>
      </c>
      <c r="I73" s="177">
        <v>0</v>
      </c>
      <c r="J73" s="266">
        <v>7980.34</v>
      </c>
      <c r="K73" s="266">
        <v>0</v>
      </c>
      <c r="L73" s="266">
        <v>11653.91</v>
      </c>
      <c r="M73" s="266">
        <v>6059.58</v>
      </c>
      <c r="N73" s="266">
        <v>0</v>
      </c>
      <c r="O73" s="266">
        <v>517.15</v>
      </c>
      <c r="P73" s="266">
        <v>0</v>
      </c>
      <c r="Q73" s="266">
        <v>4585.95</v>
      </c>
      <c r="R73" s="17">
        <f t="shared" si="1"/>
        <v>42445.58</v>
      </c>
      <c r="S73" s="1"/>
      <c r="T73" s="186"/>
      <c r="U73" s="1"/>
    </row>
    <row r="74" spans="1:24">
      <c r="A74" s="77">
        <f t="shared" si="0"/>
        <v>62</v>
      </c>
      <c r="B74" s="174">
        <v>8720</v>
      </c>
      <c r="C74" s="175" t="s">
        <v>274</v>
      </c>
      <c r="D74" s="177">
        <f>0</f>
        <v>0</v>
      </c>
      <c r="E74" s="177">
        <f>0</f>
        <v>0</v>
      </c>
      <c r="F74" s="177">
        <f>0</f>
        <v>0</v>
      </c>
      <c r="G74" s="177">
        <f>0</f>
        <v>0</v>
      </c>
      <c r="H74" s="177">
        <f>0</f>
        <v>0</v>
      </c>
      <c r="I74" s="177">
        <f>0</f>
        <v>0</v>
      </c>
      <c r="J74" s="266">
        <v>0</v>
      </c>
      <c r="K74" s="266">
        <v>0</v>
      </c>
      <c r="L74" s="266">
        <v>0</v>
      </c>
      <c r="M74" s="266">
        <v>0</v>
      </c>
      <c r="N74" s="266">
        <v>0</v>
      </c>
      <c r="O74" s="266">
        <v>0</v>
      </c>
      <c r="P74" s="266"/>
      <c r="Q74" s="266"/>
      <c r="R74" s="17">
        <f t="shared" si="1"/>
        <v>0</v>
      </c>
      <c r="S74" s="1"/>
      <c r="T74" s="186"/>
      <c r="U74" s="1"/>
    </row>
    <row r="75" spans="1:24">
      <c r="A75" s="77">
        <f t="shared" si="0"/>
        <v>63</v>
      </c>
      <c r="B75" s="174">
        <v>8740</v>
      </c>
      <c r="C75" s="17" t="s">
        <v>275</v>
      </c>
      <c r="D75" s="177">
        <v>361665.04000000004</v>
      </c>
      <c r="E75" s="177">
        <v>388134.93</v>
      </c>
      <c r="F75" s="177">
        <v>427162.31999999977</v>
      </c>
      <c r="G75" s="177">
        <v>365967.21999999991</v>
      </c>
      <c r="H75" s="177">
        <v>433283.29000000027</v>
      </c>
      <c r="I75" s="177">
        <v>539226.75999999989</v>
      </c>
      <c r="J75" s="266">
        <v>457443.27</v>
      </c>
      <c r="K75" s="266">
        <v>459097.14000000042</v>
      </c>
      <c r="L75" s="266">
        <v>503164.57999999984</v>
      </c>
      <c r="M75" s="266">
        <v>454512.7100000002</v>
      </c>
      <c r="N75" s="266">
        <v>423737.72000000003</v>
      </c>
      <c r="O75" s="266">
        <v>440120.99000000011</v>
      </c>
      <c r="P75" s="266">
        <v>409483.09000000008</v>
      </c>
      <c r="Q75" s="266">
        <v>316612.84999999992</v>
      </c>
      <c r="R75" s="17">
        <f t="shared" si="1"/>
        <v>5253515.9700000007</v>
      </c>
      <c r="S75" s="1"/>
      <c r="T75" s="186"/>
      <c r="U75" s="1"/>
    </row>
    <row r="76" spans="1:24">
      <c r="A76" s="77">
        <f t="shared" si="0"/>
        <v>64</v>
      </c>
      <c r="B76" s="174">
        <v>8750</v>
      </c>
      <c r="C76" s="17" t="s">
        <v>276</v>
      </c>
      <c r="D76" s="177">
        <v>105325.39000000001</v>
      </c>
      <c r="E76" s="177">
        <v>39732.149999999994</v>
      </c>
      <c r="F76" s="177">
        <v>29160.480000000007</v>
      </c>
      <c r="G76" s="177">
        <v>41974.970000000008</v>
      </c>
      <c r="H76" s="177">
        <v>68724.280000000013</v>
      </c>
      <c r="I76" s="177">
        <v>49620.76</v>
      </c>
      <c r="J76" s="266">
        <v>48335.380000000005</v>
      </c>
      <c r="K76" s="266">
        <v>58520.320000000022</v>
      </c>
      <c r="L76" s="266">
        <v>38160.189999999995</v>
      </c>
      <c r="M76" s="266">
        <v>30121.939999999995</v>
      </c>
      <c r="N76" s="266">
        <v>43070.990000000005</v>
      </c>
      <c r="O76" s="266">
        <v>47969.62999999999</v>
      </c>
      <c r="P76" s="266">
        <v>45687.1</v>
      </c>
      <c r="Q76" s="266">
        <v>48071.519999999997</v>
      </c>
      <c r="R76" s="17">
        <f t="shared" si="1"/>
        <v>600716.4800000001</v>
      </c>
      <c r="S76" s="1"/>
      <c r="T76" s="186"/>
      <c r="U76" s="1"/>
    </row>
    <row r="77" spans="1:24">
      <c r="A77" s="77">
        <f t="shared" si="0"/>
        <v>65</v>
      </c>
      <c r="B77" s="174">
        <v>8760</v>
      </c>
      <c r="C77" s="17" t="s">
        <v>277</v>
      </c>
      <c r="D77" s="177">
        <v>5807.1399999999994</v>
      </c>
      <c r="E77" s="177">
        <v>9697.42</v>
      </c>
      <c r="F77" s="177">
        <v>17156.93</v>
      </c>
      <c r="G77" s="177">
        <v>7738.0599999999986</v>
      </c>
      <c r="H77" s="177">
        <v>12852.27</v>
      </c>
      <c r="I77" s="177">
        <v>12595.01</v>
      </c>
      <c r="J77" s="266">
        <v>15778.8</v>
      </c>
      <c r="K77" s="266">
        <v>24869.209999999995</v>
      </c>
      <c r="L77" s="266">
        <v>21913.62</v>
      </c>
      <c r="M77" s="266">
        <v>20772.62</v>
      </c>
      <c r="N77" s="266">
        <v>4001.4600000000009</v>
      </c>
      <c r="O77" s="266">
        <v>1993.06</v>
      </c>
      <c r="P77" s="266">
        <v>8669.9999999999982</v>
      </c>
      <c r="Q77" s="266">
        <v>16733.810000000005</v>
      </c>
      <c r="R77" s="17">
        <f t="shared" si="1"/>
        <v>155175.59999999998</v>
      </c>
      <c r="S77" s="1"/>
      <c r="T77" s="186"/>
      <c r="U77" s="1"/>
    </row>
    <row r="78" spans="1:24">
      <c r="A78" s="77">
        <f t="shared" ref="A78:A114" si="2">A77+1</f>
        <v>66</v>
      </c>
      <c r="B78" s="174">
        <v>8770</v>
      </c>
      <c r="C78" s="17" t="s">
        <v>278</v>
      </c>
      <c r="D78" s="177">
        <v>665.18999999999994</v>
      </c>
      <c r="E78" s="177">
        <v>466.99</v>
      </c>
      <c r="F78" s="177">
        <v>206.28000000000003</v>
      </c>
      <c r="G78" s="177">
        <v>412.46</v>
      </c>
      <c r="H78" s="177">
        <v>14620.42</v>
      </c>
      <c r="I78" s="177">
        <v>10311.620000000001</v>
      </c>
      <c r="J78" s="266">
        <v>16660.059999999994</v>
      </c>
      <c r="K78" s="266">
        <v>8266.6299999999992</v>
      </c>
      <c r="L78" s="266">
        <v>93.66</v>
      </c>
      <c r="M78" s="266">
        <v>525.89</v>
      </c>
      <c r="N78" s="266">
        <v>121.6</v>
      </c>
      <c r="O78" s="266">
        <v>4467.17</v>
      </c>
      <c r="P78" s="266">
        <v>468.95</v>
      </c>
      <c r="Q78" s="266">
        <v>893.79</v>
      </c>
      <c r="R78" s="17">
        <f t="shared" si="1"/>
        <v>56817.969999999987</v>
      </c>
      <c r="S78" s="1"/>
      <c r="T78" s="186"/>
      <c r="U78" s="1"/>
    </row>
    <row r="79" spans="1:24">
      <c r="A79" s="77">
        <f t="shared" si="2"/>
        <v>67</v>
      </c>
      <c r="B79" s="174">
        <v>8780</v>
      </c>
      <c r="C79" s="17" t="s">
        <v>279</v>
      </c>
      <c r="D79" s="177">
        <v>123136.80000000002</v>
      </c>
      <c r="E79" s="177">
        <v>64566.010000000017</v>
      </c>
      <c r="F79" s="177">
        <v>51528.95</v>
      </c>
      <c r="G79" s="177">
        <v>67477.26999999999</v>
      </c>
      <c r="H79" s="177">
        <v>71004.609999999971</v>
      </c>
      <c r="I79" s="177">
        <v>67138.600000000006</v>
      </c>
      <c r="J79" s="266">
        <v>94402.84</v>
      </c>
      <c r="K79" s="266">
        <v>91466.529999999984</v>
      </c>
      <c r="L79" s="266">
        <v>86659.310000000012</v>
      </c>
      <c r="M79" s="266">
        <v>119886.03000000003</v>
      </c>
      <c r="N79" s="266">
        <v>139040.85</v>
      </c>
      <c r="O79" s="266">
        <v>81446.87000000001</v>
      </c>
      <c r="P79" s="266">
        <v>78245.449999999968</v>
      </c>
      <c r="Q79" s="266">
        <v>59251.150000000009</v>
      </c>
      <c r="R79" s="17">
        <f t="shared" ref="R79:R109" si="3">SUM(D79:O79)</f>
        <v>1057754.6700000002</v>
      </c>
      <c r="S79" s="1"/>
      <c r="T79" s="186"/>
      <c r="U79" s="1"/>
    </row>
    <row r="80" spans="1:24">
      <c r="A80" s="77">
        <f t="shared" si="2"/>
        <v>68</v>
      </c>
      <c r="B80" s="174">
        <v>8790</v>
      </c>
      <c r="C80" s="17" t="s">
        <v>280</v>
      </c>
      <c r="D80" s="177">
        <v>0</v>
      </c>
      <c r="E80" s="177">
        <v>0</v>
      </c>
      <c r="F80" s="177">
        <v>0</v>
      </c>
      <c r="G80" s="177">
        <v>1827.44</v>
      </c>
      <c r="H80" s="177">
        <v>0</v>
      </c>
      <c r="I80" s="177">
        <v>0</v>
      </c>
      <c r="J80" s="266">
        <v>0</v>
      </c>
      <c r="K80" s="266">
        <v>212</v>
      </c>
      <c r="L80" s="266">
        <v>0</v>
      </c>
      <c r="M80" s="266">
        <v>0</v>
      </c>
      <c r="N80" s="266">
        <v>0</v>
      </c>
      <c r="O80" s="266">
        <v>15.9</v>
      </c>
      <c r="P80" s="266">
        <v>7.95</v>
      </c>
      <c r="Q80" s="266">
        <v>0</v>
      </c>
      <c r="R80" s="17">
        <f t="shared" si="3"/>
        <v>2055.34</v>
      </c>
      <c r="S80" s="1"/>
      <c r="T80" s="186"/>
      <c r="U80" s="1"/>
    </row>
    <row r="81" spans="1:23">
      <c r="A81" s="77">
        <f t="shared" si="2"/>
        <v>69</v>
      </c>
      <c r="B81" s="174">
        <v>8800</v>
      </c>
      <c r="C81" s="17" t="s">
        <v>281</v>
      </c>
      <c r="D81" s="177">
        <v>732.66</v>
      </c>
      <c r="E81" s="177">
        <v>123.07000000000001</v>
      </c>
      <c r="F81" s="177">
        <v>1232.1099999999999</v>
      </c>
      <c r="G81" s="177">
        <v>444.54</v>
      </c>
      <c r="H81" s="177">
        <v>325.12</v>
      </c>
      <c r="I81" s="177">
        <v>698.71</v>
      </c>
      <c r="J81" s="266">
        <v>19.3</v>
      </c>
      <c r="K81" s="266">
        <v>390.22</v>
      </c>
      <c r="L81" s="266">
        <v>695.83</v>
      </c>
      <c r="M81" s="266">
        <v>1731.4700000000003</v>
      </c>
      <c r="N81" s="266">
        <v>863.55</v>
      </c>
      <c r="O81" s="266">
        <v>733.47</v>
      </c>
      <c r="P81" s="266">
        <v>3082.46</v>
      </c>
      <c r="Q81" s="266">
        <v>11691.98000000002</v>
      </c>
      <c r="R81" s="17">
        <f t="shared" si="3"/>
        <v>7990.0500000000011</v>
      </c>
      <c r="S81" s="1"/>
      <c r="T81" s="1"/>
      <c r="U81" s="1"/>
    </row>
    <row r="82" spans="1:23">
      <c r="A82" s="77">
        <f t="shared" si="2"/>
        <v>70</v>
      </c>
      <c r="B82" s="174">
        <v>8810</v>
      </c>
      <c r="C82" s="17" t="s">
        <v>282</v>
      </c>
      <c r="D82" s="177">
        <v>38427.110000000008</v>
      </c>
      <c r="E82" s="177">
        <v>45087.55000000001</v>
      </c>
      <c r="F82" s="177">
        <v>46694.98000000001</v>
      </c>
      <c r="G82" s="177">
        <v>54738.010000000017</v>
      </c>
      <c r="H82" s="177">
        <v>40066.099999999991</v>
      </c>
      <c r="I82" s="177">
        <v>36209.22</v>
      </c>
      <c r="J82" s="266">
        <v>34937.530000000013</v>
      </c>
      <c r="K82" s="266">
        <v>38894.750000000007</v>
      </c>
      <c r="L82" s="266">
        <v>35704.710000000006</v>
      </c>
      <c r="M82" s="266">
        <v>27200.930000000004</v>
      </c>
      <c r="N82" s="266">
        <v>60290.35</v>
      </c>
      <c r="O82" s="266">
        <v>56322.80999999999</v>
      </c>
      <c r="P82" s="266">
        <v>35457.799999999996</v>
      </c>
      <c r="Q82" s="266">
        <v>30323.880000000005</v>
      </c>
      <c r="R82" s="17">
        <f t="shared" si="3"/>
        <v>514574.05000000005</v>
      </c>
      <c r="S82" s="1"/>
      <c r="T82" s="1"/>
      <c r="U82" s="1"/>
    </row>
    <row r="83" spans="1:23">
      <c r="A83" s="77">
        <f t="shared" si="2"/>
        <v>71</v>
      </c>
      <c r="B83" s="174">
        <v>8850</v>
      </c>
      <c r="C83" s="17" t="s">
        <v>283</v>
      </c>
      <c r="D83" s="177">
        <v>37.75</v>
      </c>
      <c r="E83" s="177">
        <v>168.29</v>
      </c>
      <c r="F83" s="177">
        <v>0</v>
      </c>
      <c r="G83" s="177">
        <v>20.89</v>
      </c>
      <c r="H83" s="177">
        <v>183.35000000000002</v>
      </c>
      <c r="I83" s="177">
        <v>8.3800000000000008</v>
      </c>
      <c r="J83" s="266">
        <v>346.43</v>
      </c>
      <c r="K83" s="266">
        <v>168.57999999999998</v>
      </c>
      <c r="L83" s="266">
        <v>0</v>
      </c>
      <c r="M83" s="266">
        <v>0</v>
      </c>
      <c r="N83" s="266">
        <v>177.10999999999999</v>
      </c>
      <c r="O83" s="266">
        <v>30.79</v>
      </c>
      <c r="P83" s="266">
        <v>107.16999999999999</v>
      </c>
      <c r="Q83" s="266">
        <v>42.7</v>
      </c>
      <c r="R83" s="17">
        <f t="shared" si="3"/>
        <v>1141.57</v>
      </c>
      <c r="S83" s="1"/>
      <c r="T83" s="1"/>
      <c r="U83" s="1"/>
    </row>
    <row r="84" spans="1:23">
      <c r="A84" s="77">
        <f t="shared" si="2"/>
        <v>72</v>
      </c>
      <c r="B84" s="174">
        <v>8860</v>
      </c>
      <c r="C84" s="17" t="s">
        <v>284</v>
      </c>
      <c r="D84" s="177">
        <v>0</v>
      </c>
      <c r="E84" s="177">
        <v>0</v>
      </c>
      <c r="F84" s="177">
        <v>0</v>
      </c>
      <c r="G84" s="177">
        <v>0</v>
      </c>
      <c r="H84" s="177">
        <v>79.86</v>
      </c>
      <c r="I84" s="177">
        <v>0</v>
      </c>
      <c r="J84" s="266">
        <v>0</v>
      </c>
      <c r="K84" s="266">
        <v>0</v>
      </c>
      <c r="L84" s="266">
        <v>39.33</v>
      </c>
      <c r="M84" s="266">
        <v>0</v>
      </c>
      <c r="N84" s="266">
        <v>0</v>
      </c>
      <c r="O84" s="266">
        <v>0</v>
      </c>
      <c r="P84" s="266"/>
      <c r="Q84" s="266"/>
      <c r="R84" s="17">
        <f t="shared" si="3"/>
        <v>119.19</v>
      </c>
      <c r="S84" s="1"/>
      <c r="T84" s="1"/>
      <c r="U84" s="1"/>
    </row>
    <row r="85" spans="1:23">
      <c r="A85" s="77">
        <f t="shared" si="2"/>
        <v>73</v>
      </c>
      <c r="B85" s="174">
        <v>8870</v>
      </c>
      <c r="C85" s="17" t="s">
        <v>285</v>
      </c>
      <c r="D85" s="177">
        <v>3557.6</v>
      </c>
      <c r="E85" s="177">
        <v>2537.9399999999996</v>
      </c>
      <c r="F85" s="177">
        <v>2437.12</v>
      </c>
      <c r="G85" s="177">
        <v>1169.1400000000001</v>
      </c>
      <c r="H85" s="177">
        <v>2175.04</v>
      </c>
      <c r="I85" s="177">
        <v>4206.62</v>
      </c>
      <c r="J85" s="266">
        <v>987.44</v>
      </c>
      <c r="K85" s="266">
        <v>11765.859999999999</v>
      </c>
      <c r="L85" s="266">
        <v>465.34999999999997</v>
      </c>
      <c r="M85" s="266">
        <v>1020.1999999999999</v>
      </c>
      <c r="N85" s="266">
        <v>4257.34</v>
      </c>
      <c r="O85" s="266">
        <v>9330.9699999999975</v>
      </c>
      <c r="P85" s="266">
        <v>7868.63</v>
      </c>
      <c r="Q85" s="266">
        <v>-771.58999999999992</v>
      </c>
      <c r="R85" s="17">
        <f t="shared" si="3"/>
        <v>43910.619999999995</v>
      </c>
      <c r="S85" s="1"/>
      <c r="T85" s="187"/>
      <c r="U85" s="1"/>
    </row>
    <row r="86" spans="1:23">
      <c r="A86" s="77">
        <f t="shared" si="2"/>
        <v>74</v>
      </c>
      <c r="B86" s="174">
        <v>8890</v>
      </c>
      <c r="C86" s="188" t="s">
        <v>286</v>
      </c>
      <c r="D86" s="177">
        <v>9671.44</v>
      </c>
      <c r="E86" s="177">
        <v>8890.89</v>
      </c>
      <c r="F86" s="177">
        <v>3151.4299999999994</v>
      </c>
      <c r="G86" s="177">
        <v>8057.46</v>
      </c>
      <c r="H86" s="177">
        <v>1172.2100000000003</v>
      </c>
      <c r="I86" s="177">
        <v>8114.9599999999991</v>
      </c>
      <c r="J86" s="266">
        <v>2422.0500000000002</v>
      </c>
      <c r="K86" s="266">
        <v>5255.4800000000005</v>
      </c>
      <c r="L86" s="266">
        <v>3235.9</v>
      </c>
      <c r="M86" s="266">
        <v>7223.66</v>
      </c>
      <c r="N86" s="266">
        <v>10543.630000000001</v>
      </c>
      <c r="O86" s="266">
        <v>1831.3000000000006</v>
      </c>
      <c r="P86" s="266">
        <v>14836.78</v>
      </c>
      <c r="Q86" s="266">
        <v>14692.869999999999</v>
      </c>
      <c r="R86" s="17">
        <f t="shared" si="3"/>
        <v>69570.410000000018</v>
      </c>
      <c r="S86" s="1"/>
      <c r="T86" s="1"/>
      <c r="U86" s="1"/>
    </row>
    <row r="87" spans="1:23">
      <c r="A87" s="77">
        <f t="shared" si="2"/>
        <v>75</v>
      </c>
      <c r="B87" s="174">
        <v>8900</v>
      </c>
      <c r="C87" s="17" t="s">
        <v>287</v>
      </c>
      <c r="D87" s="177">
        <v>567.77</v>
      </c>
      <c r="E87" s="177">
        <v>-223.67000000000002</v>
      </c>
      <c r="F87" s="177">
        <v>463.96</v>
      </c>
      <c r="G87" s="177">
        <v>0</v>
      </c>
      <c r="H87" s="177">
        <v>419.53</v>
      </c>
      <c r="I87" s="177">
        <v>0</v>
      </c>
      <c r="J87" s="266">
        <v>341.78999999999996</v>
      </c>
      <c r="K87" s="266">
        <v>-128.16999999999999</v>
      </c>
      <c r="L87" s="266">
        <v>0</v>
      </c>
      <c r="M87" s="266">
        <v>0</v>
      </c>
      <c r="N87" s="266">
        <v>0</v>
      </c>
      <c r="O87" s="266">
        <v>0</v>
      </c>
      <c r="P87" s="266">
        <v>4307.38</v>
      </c>
      <c r="Q87" s="266">
        <v>2848.3399999999997</v>
      </c>
      <c r="R87" s="17">
        <f t="shared" si="3"/>
        <v>1441.2099999999998</v>
      </c>
      <c r="S87" s="1"/>
      <c r="T87" s="1"/>
      <c r="U87" s="1"/>
    </row>
    <row r="88" spans="1:23">
      <c r="A88" s="77">
        <f t="shared" si="2"/>
        <v>76</v>
      </c>
      <c r="B88" s="174">
        <v>8910</v>
      </c>
      <c r="C88" s="17" t="s">
        <v>288</v>
      </c>
      <c r="D88" s="177">
        <v>0</v>
      </c>
      <c r="E88" s="177">
        <v>0</v>
      </c>
      <c r="F88" s="177">
        <v>0</v>
      </c>
      <c r="G88" s="177">
        <v>0</v>
      </c>
      <c r="H88" s="177">
        <v>0</v>
      </c>
      <c r="I88" s="177">
        <v>560</v>
      </c>
      <c r="J88" s="266">
        <v>240</v>
      </c>
      <c r="K88" s="266">
        <v>0</v>
      </c>
      <c r="L88" s="266">
        <v>207.35</v>
      </c>
      <c r="M88" s="266">
        <v>0</v>
      </c>
      <c r="N88" s="266">
        <v>0</v>
      </c>
      <c r="O88" s="266">
        <v>0</v>
      </c>
      <c r="P88" s="266">
        <v>4437.8999999999996</v>
      </c>
      <c r="Q88" s="266">
        <v>3506.1299999999992</v>
      </c>
      <c r="R88" s="17">
        <f t="shared" si="3"/>
        <v>1007.35</v>
      </c>
      <c r="S88" s="1"/>
      <c r="T88" s="1"/>
      <c r="U88" s="1"/>
    </row>
    <row r="89" spans="1:23">
      <c r="A89" s="77">
        <f t="shared" si="2"/>
        <v>77</v>
      </c>
      <c r="B89" s="174">
        <v>8920</v>
      </c>
      <c r="C89" s="17" t="s">
        <v>289</v>
      </c>
      <c r="D89" s="177">
        <v>1873.3599999999997</v>
      </c>
      <c r="E89" s="177">
        <v>303.95000000000005</v>
      </c>
      <c r="F89" s="177">
        <v>-33.83</v>
      </c>
      <c r="G89" s="177">
        <v>509.33999999999992</v>
      </c>
      <c r="H89" s="177">
        <v>172.07999999999998</v>
      </c>
      <c r="I89" s="177">
        <v>732.34999999999991</v>
      </c>
      <c r="J89" s="266">
        <v>575.1099999999999</v>
      </c>
      <c r="K89" s="266">
        <v>703.11</v>
      </c>
      <c r="L89" s="266">
        <v>166.61</v>
      </c>
      <c r="M89" s="266">
        <v>97.25</v>
      </c>
      <c r="N89" s="266">
        <v>-45.64</v>
      </c>
      <c r="O89" s="266">
        <v>414.25</v>
      </c>
      <c r="P89" s="266">
        <v>806.74</v>
      </c>
      <c r="Q89" s="266">
        <v>-365.51</v>
      </c>
      <c r="R89" s="17">
        <f t="shared" si="3"/>
        <v>5467.9399999999987</v>
      </c>
      <c r="S89" s="1"/>
      <c r="T89" s="1"/>
      <c r="U89" s="1"/>
    </row>
    <row r="90" spans="1:23">
      <c r="A90" s="77">
        <f t="shared" si="2"/>
        <v>78</v>
      </c>
      <c r="B90" s="174">
        <v>8930</v>
      </c>
      <c r="C90" s="17" t="s">
        <v>290</v>
      </c>
      <c r="D90" s="177">
        <f>0</f>
        <v>0</v>
      </c>
      <c r="E90" s="177">
        <f>0</f>
        <v>0</v>
      </c>
      <c r="F90" s="177">
        <f>0</f>
        <v>0</v>
      </c>
      <c r="G90" s="177">
        <f>0</f>
        <v>0</v>
      </c>
      <c r="H90" s="177">
        <f>0</f>
        <v>0</v>
      </c>
      <c r="I90" s="177">
        <f>0</f>
        <v>0</v>
      </c>
      <c r="J90" s="266">
        <v>0</v>
      </c>
      <c r="K90" s="266">
        <v>0</v>
      </c>
      <c r="L90" s="266">
        <v>0</v>
      </c>
      <c r="M90" s="266">
        <v>0</v>
      </c>
      <c r="N90" s="266">
        <v>378.49</v>
      </c>
      <c r="O90" s="266">
        <v>0</v>
      </c>
      <c r="P90" s="266"/>
      <c r="Q90" s="266"/>
      <c r="R90" s="17">
        <f t="shared" si="3"/>
        <v>378.49</v>
      </c>
      <c r="S90" s="1"/>
      <c r="T90" s="1"/>
      <c r="U90" s="1"/>
    </row>
    <row r="91" spans="1:23">
      <c r="A91" s="77">
        <f t="shared" si="2"/>
        <v>79</v>
      </c>
      <c r="B91" s="174">
        <v>8940</v>
      </c>
      <c r="C91" s="17" t="s">
        <v>291</v>
      </c>
      <c r="D91" s="177">
        <v>657.09</v>
      </c>
      <c r="E91" s="177">
        <v>430.48</v>
      </c>
      <c r="F91" s="177">
        <v>559.29</v>
      </c>
      <c r="G91" s="177">
        <v>1701.3700000000001</v>
      </c>
      <c r="H91" s="177">
        <v>1255.1400000000001</v>
      </c>
      <c r="I91" s="177">
        <v>161.74</v>
      </c>
      <c r="J91" s="266">
        <v>809.83</v>
      </c>
      <c r="K91" s="266">
        <v>2325.2400000000002</v>
      </c>
      <c r="L91" s="266">
        <v>1631.0599999999997</v>
      </c>
      <c r="M91" s="266">
        <v>1589.6999999999998</v>
      </c>
      <c r="N91" s="266">
        <v>440.97</v>
      </c>
      <c r="O91" s="266">
        <v>511.72999999999996</v>
      </c>
      <c r="P91" s="266">
        <v>1094.7</v>
      </c>
      <c r="Q91" s="266">
        <v>974.3599999999999</v>
      </c>
      <c r="R91" s="17">
        <f t="shared" si="3"/>
        <v>12073.639999999998</v>
      </c>
      <c r="S91" s="1"/>
      <c r="T91" s="1"/>
      <c r="U91" s="1"/>
    </row>
    <row r="92" spans="1:23">
      <c r="A92" s="77">
        <f t="shared" si="2"/>
        <v>80</v>
      </c>
      <c r="B92" s="174">
        <v>9010</v>
      </c>
      <c r="C92" s="154" t="s">
        <v>292</v>
      </c>
      <c r="D92" s="177">
        <f>0</f>
        <v>0</v>
      </c>
      <c r="E92" s="177">
        <f>0</f>
        <v>0</v>
      </c>
      <c r="F92" s="177">
        <f>0</f>
        <v>0</v>
      </c>
      <c r="G92" s="177">
        <f>0</f>
        <v>0</v>
      </c>
      <c r="H92" s="177">
        <f>0</f>
        <v>0</v>
      </c>
      <c r="I92" s="177">
        <f>0</f>
        <v>0</v>
      </c>
      <c r="J92" s="266">
        <v>0</v>
      </c>
      <c r="K92" s="266">
        <v>0</v>
      </c>
      <c r="L92" s="266">
        <v>0</v>
      </c>
      <c r="M92" s="266">
        <v>0</v>
      </c>
      <c r="N92" s="266">
        <v>0</v>
      </c>
      <c r="O92" s="266">
        <v>0</v>
      </c>
      <c r="P92" s="266"/>
      <c r="Q92" s="266"/>
      <c r="R92" s="17">
        <f t="shared" si="3"/>
        <v>0</v>
      </c>
      <c r="S92" s="1"/>
      <c r="T92" s="1"/>
      <c r="U92" s="1"/>
    </row>
    <row r="93" spans="1:23">
      <c r="A93" s="77">
        <f t="shared" si="2"/>
        <v>81</v>
      </c>
      <c r="B93" s="174">
        <v>9020</v>
      </c>
      <c r="C93" s="17" t="s">
        <v>293</v>
      </c>
      <c r="D93" s="177">
        <v>101007.06999999999</v>
      </c>
      <c r="E93" s="177">
        <v>103317.64999999997</v>
      </c>
      <c r="F93" s="177">
        <v>108554.81999999999</v>
      </c>
      <c r="G93" s="177">
        <v>100537.97999999997</v>
      </c>
      <c r="H93" s="177">
        <v>125550.17</v>
      </c>
      <c r="I93" s="177">
        <v>81656.400000000009</v>
      </c>
      <c r="J93" s="266">
        <v>96263.980000000025</v>
      </c>
      <c r="K93" s="266">
        <v>103315.36000000002</v>
      </c>
      <c r="L93" s="266">
        <v>112268.28000000001</v>
      </c>
      <c r="M93" s="266">
        <v>114621.40000000001</v>
      </c>
      <c r="N93" s="266">
        <v>81470.66</v>
      </c>
      <c r="O93" s="266">
        <v>92821.000000000044</v>
      </c>
      <c r="P93" s="266">
        <v>122779.39000000001</v>
      </c>
      <c r="Q93" s="266">
        <v>109571.82999999997</v>
      </c>
      <c r="R93" s="17">
        <f t="shared" si="3"/>
        <v>1221384.77</v>
      </c>
      <c r="S93" s="75"/>
      <c r="T93" s="75"/>
      <c r="U93" s="75"/>
      <c r="V93" s="75"/>
      <c r="W93" s="75"/>
    </row>
    <row r="94" spans="1:23">
      <c r="A94" s="77">
        <f t="shared" si="2"/>
        <v>82</v>
      </c>
      <c r="B94" s="174">
        <v>9030</v>
      </c>
      <c r="C94" s="17" t="s">
        <v>294</v>
      </c>
      <c r="D94" s="177">
        <v>97694.84</v>
      </c>
      <c r="E94" s="177">
        <v>100440.28</v>
      </c>
      <c r="F94" s="177">
        <v>127619.04</v>
      </c>
      <c r="G94" s="177">
        <v>120053.23</v>
      </c>
      <c r="H94" s="177">
        <v>127428.33000000003</v>
      </c>
      <c r="I94" s="177">
        <v>142633.01999999996</v>
      </c>
      <c r="J94" s="266">
        <v>122442.04000000001</v>
      </c>
      <c r="K94" s="266">
        <v>103522.38</v>
      </c>
      <c r="L94" s="266">
        <v>97166.270000000033</v>
      </c>
      <c r="M94" s="266">
        <v>104502.35999999999</v>
      </c>
      <c r="N94" s="266">
        <v>100268.15999999999</v>
      </c>
      <c r="O94" s="266">
        <v>82820.879999999961</v>
      </c>
      <c r="P94" s="266">
        <v>74323.330000000016</v>
      </c>
      <c r="Q94" s="266">
        <v>126395.19</v>
      </c>
      <c r="R94" s="17">
        <f t="shared" si="3"/>
        <v>1326590.8299999998</v>
      </c>
      <c r="S94" s="75"/>
      <c r="T94" s="75"/>
      <c r="U94" s="75"/>
      <c r="V94" s="75"/>
      <c r="W94" s="75"/>
    </row>
    <row r="95" spans="1:23">
      <c r="A95" s="77">
        <f t="shared" si="2"/>
        <v>83</v>
      </c>
      <c r="B95" s="174">
        <v>9040</v>
      </c>
      <c r="C95" s="17" t="s">
        <v>295</v>
      </c>
      <c r="D95" s="177">
        <v>47272</v>
      </c>
      <c r="E95" s="177">
        <v>43913</v>
      </c>
      <c r="F95" s="177">
        <v>37532</v>
      </c>
      <c r="G95" s="177">
        <v>54899</v>
      </c>
      <c r="H95" s="177">
        <v>22112</v>
      </c>
      <c r="I95" s="177">
        <v>145471</v>
      </c>
      <c r="J95" s="266">
        <v>22562</v>
      </c>
      <c r="K95" s="266">
        <v>22016</v>
      </c>
      <c r="L95" s="266">
        <v>413203.87</v>
      </c>
      <c r="M95" s="266">
        <v>27566</v>
      </c>
      <c r="N95" s="266">
        <v>37137</v>
      </c>
      <c r="O95" s="266">
        <v>49860</v>
      </c>
      <c r="P95" s="266">
        <v>52332</v>
      </c>
      <c r="Q95" s="266">
        <v>49889</v>
      </c>
      <c r="R95" s="17">
        <f t="shared" si="3"/>
        <v>923543.87</v>
      </c>
      <c r="S95" s="1"/>
      <c r="T95" s="1"/>
      <c r="U95" s="1"/>
    </row>
    <row r="96" spans="1:23">
      <c r="A96" s="77">
        <f t="shared" si="2"/>
        <v>84</v>
      </c>
      <c r="B96" s="174">
        <v>9090</v>
      </c>
      <c r="C96" s="17" t="s">
        <v>296</v>
      </c>
      <c r="D96" s="177">
        <v>12026.800000000001</v>
      </c>
      <c r="E96" s="177">
        <v>8468.51</v>
      </c>
      <c r="F96" s="177">
        <v>11705.92</v>
      </c>
      <c r="G96" s="177">
        <v>11387.3</v>
      </c>
      <c r="H96" s="177">
        <v>12611.04</v>
      </c>
      <c r="I96" s="177">
        <v>11147.93</v>
      </c>
      <c r="J96" s="266">
        <v>9315.3700000000008</v>
      </c>
      <c r="K96" s="266">
        <v>15010.720000000001</v>
      </c>
      <c r="L96" s="266">
        <v>8468.52</v>
      </c>
      <c r="M96" s="266">
        <v>5021.2199999999993</v>
      </c>
      <c r="N96" s="266">
        <v>1432.67</v>
      </c>
      <c r="O96" s="266">
        <v>7044.0300000000007</v>
      </c>
      <c r="P96" s="266">
        <v>15675.99</v>
      </c>
      <c r="Q96" s="266">
        <v>12752.890000000001</v>
      </c>
      <c r="R96" s="17">
        <f t="shared" si="3"/>
        <v>113640.03</v>
      </c>
      <c r="S96" s="1"/>
      <c r="T96" s="1"/>
      <c r="U96" s="1"/>
    </row>
    <row r="97" spans="1:21">
      <c r="A97" s="77">
        <f t="shared" si="2"/>
        <v>85</v>
      </c>
      <c r="B97" s="174">
        <v>9100</v>
      </c>
      <c r="C97" s="17" t="s">
        <v>297</v>
      </c>
      <c r="D97" s="177">
        <f>0</f>
        <v>0</v>
      </c>
      <c r="E97" s="177">
        <f>0</f>
        <v>0</v>
      </c>
      <c r="F97" s="177">
        <f>0</f>
        <v>0</v>
      </c>
      <c r="G97" s="177">
        <f>0</f>
        <v>0</v>
      </c>
      <c r="H97" s="177">
        <f>0</f>
        <v>0</v>
      </c>
      <c r="I97" s="177">
        <f>0</f>
        <v>0</v>
      </c>
      <c r="J97" s="266">
        <v>0</v>
      </c>
      <c r="K97" s="266">
        <v>0</v>
      </c>
      <c r="L97" s="266">
        <v>85</v>
      </c>
      <c r="M97" s="266">
        <v>0</v>
      </c>
      <c r="N97" s="266">
        <v>0</v>
      </c>
      <c r="O97" s="266">
        <v>0</v>
      </c>
      <c r="P97" s="266"/>
      <c r="Q97" s="266"/>
      <c r="R97" s="17">
        <f t="shared" si="3"/>
        <v>85</v>
      </c>
      <c r="S97" s="1"/>
      <c r="T97" s="1"/>
      <c r="U97" s="1"/>
    </row>
    <row r="98" spans="1:21">
      <c r="A98" s="77">
        <f t="shared" si="2"/>
        <v>86</v>
      </c>
      <c r="B98" s="174">
        <v>9110</v>
      </c>
      <c r="C98" s="17" t="s">
        <v>298</v>
      </c>
      <c r="D98" s="177">
        <v>19520.36</v>
      </c>
      <c r="E98" s="177">
        <v>21068.82</v>
      </c>
      <c r="F98" s="177">
        <v>25225.98</v>
      </c>
      <c r="G98" s="177">
        <v>21668.09</v>
      </c>
      <c r="H98" s="177">
        <v>22385.53</v>
      </c>
      <c r="I98" s="177">
        <v>21581.869999999995</v>
      </c>
      <c r="J98" s="266">
        <v>23821.850000000002</v>
      </c>
      <c r="K98" s="266">
        <v>21262.18</v>
      </c>
      <c r="L98" s="266">
        <v>21137.489999999994</v>
      </c>
      <c r="M98" s="266">
        <v>26051.07</v>
      </c>
      <c r="N98" s="266">
        <v>21092.530000000002</v>
      </c>
      <c r="O98" s="266">
        <v>18442.310000000001</v>
      </c>
      <c r="P98" s="266">
        <v>16443.570000000003</v>
      </c>
      <c r="Q98" s="266">
        <v>15201.07</v>
      </c>
      <c r="R98" s="17">
        <f t="shared" si="3"/>
        <v>263258.08</v>
      </c>
      <c r="S98" s="1"/>
      <c r="T98" s="187"/>
      <c r="U98" s="1"/>
    </row>
    <row r="99" spans="1:21">
      <c r="A99" s="77">
        <f t="shared" si="2"/>
        <v>87</v>
      </c>
      <c r="B99" s="174">
        <v>9120</v>
      </c>
      <c r="C99" s="17" t="s">
        <v>299</v>
      </c>
      <c r="D99" s="177">
        <v>14361.869999999999</v>
      </c>
      <c r="E99" s="177">
        <v>15310.52</v>
      </c>
      <c r="F99" s="177">
        <v>4892.2999999999993</v>
      </c>
      <c r="G99" s="177">
        <v>9360</v>
      </c>
      <c r="H99" s="177">
        <v>7556.7900000000009</v>
      </c>
      <c r="I99" s="177">
        <v>22228.080000000002</v>
      </c>
      <c r="J99" s="266">
        <v>4364.1399999999994</v>
      </c>
      <c r="K99" s="266">
        <v>16579.910000000003</v>
      </c>
      <c r="L99" s="266">
        <v>11905.43</v>
      </c>
      <c r="M99" s="266">
        <v>4642</v>
      </c>
      <c r="N99" s="266">
        <v>7531.7099999999991</v>
      </c>
      <c r="O99" s="266">
        <v>4851.71</v>
      </c>
      <c r="P99" s="266">
        <v>5538.45</v>
      </c>
      <c r="Q99" s="266">
        <v>17192.690000000002</v>
      </c>
      <c r="R99" s="17">
        <f t="shared" si="3"/>
        <v>123584.46</v>
      </c>
      <c r="S99" s="1"/>
      <c r="T99" s="187"/>
      <c r="U99" s="1"/>
    </row>
    <row r="100" spans="1:21">
      <c r="A100" s="77">
        <f t="shared" si="2"/>
        <v>88</v>
      </c>
      <c r="B100" s="174">
        <v>9130</v>
      </c>
      <c r="C100" s="17" t="s">
        <v>300</v>
      </c>
      <c r="D100" s="177">
        <v>3358</v>
      </c>
      <c r="E100" s="177">
        <v>3434.5</v>
      </c>
      <c r="F100" s="177">
        <v>7296.82</v>
      </c>
      <c r="G100" s="177">
        <v>1606</v>
      </c>
      <c r="H100" s="177">
        <v>5853.73</v>
      </c>
      <c r="I100" s="177">
        <v>670.66</v>
      </c>
      <c r="J100" s="266">
        <v>1665.79</v>
      </c>
      <c r="K100" s="266">
        <v>460.31</v>
      </c>
      <c r="L100" s="266">
        <v>1304</v>
      </c>
      <c r="M100" s="266">
        <v>2744.4</v>
      </c>
      <c r="N100" s="266">
        <v>460</v>
      </c>
      <c r="O100" s="266">
        <v>1216.48</v>
      </c>
      <c r="P100" s="266">
        <v>7100.29</v>
      </c>
      <c r="Q100" s="266">
        <v>686.86</v>
      </c>
      <c r="R100" s="17">
        <f t="shared" si="3"/>
        <v>30070.690000000002</v>
      </c>
      <c r="S100" s="1"/>
      <c r="T100" s="1"/>
      <c r="U100" s="1"/>
    </row>
    <row r="101" spans="1:21">
      <c r="A101" s="77">
        <f t="shared" si="2"/>
        <v>89</v>
      </c>
      <c r="B101" s="174">
        <v>9200</v>
      </c>
      <c r="C101" s="175" t="s">
        <v>301</v>
      </c>
      <c r="D101" s="177">
        <v>10060.35</v>
      </c>
      <c r="E101" s="177">
        <v>10881.92</v>
      </c>
      <c r="F101" s="177">
        <v>11970.02</v>
      </c>
      <c r="G101" s="177">
        <v>11635.840000000002</v>
      </c>
      <c r="H101" s="177">
        <v>12840.22</v>
      </c>
      <c r="I101" s="177">
        <v>11987.77</v>
      </c>
      <c r="J101" s="266">
        <v>11761.189999999999</v>
      </c>
      <c r="K101" s="266">
        <v>12523.89</v>
      </c>
      <c r="L101" s="266">
        <v>11204.369999999999</v>
      </c>
      <c r="M101" s="266">
        <v>12487.98</v>
      </c>
      <c r="N101" s="266">
        <v>12584.029999999999</v>
      </c>
      <c r="O101" s="266">
        <v>11370.72</v>
      </c>
      <c r="P101" s="266">
        <v>12627.970000000001</v>
      </c>
      <c r="Q101" s="266">
        <v>11058.47</v>
      </c>
      <c r="R101" s="17">
        <f t="shared" si="3"/>
        <v>141308.29999999999</v>
      </c>
      <c r="S101" s="1"/>
      <c r="T101" s="187"/>
      <c r="U101" s="1"/>
    </row>
    <row r="102" spans="1:21">
      <c r="A102" s="77">
        <f t="shared" si="2"/>
        <v>90</v>
      </c>
      <c r="B102" s="174">
        <v>9210</v>
      </c>
      <c r="C102" s="17" t="s">
        <v>302</v>
      </c>
      <c r="D102" s="177">
        <v>2618.4899999999998</v>
      </c>
      <c r="E102" s="177">
        <v>1092.6300000000001</v>
      </c>
      <c r="F102" s="177">
        <v>2815.3300000000004</v>
      </c>
      <c r="G102" s="177">
        <v>2162.7400000000002</v>
      </c>
      <c r="H102" s="177">
        <v>-50</v>
      </c>
      <c r="I102" s="177">
        <v>2570.1599999999994</v>
      </c>
      <c r="J102" s="266">
        <v>379.17</v>
      </c>
      <c r="K102" s="266">
        <v>1179.76</v>
      </c>
      <c r="L102" s="266">
        <v>668.38</v>
      </c>
      <c r="M102" s="266">
        <v>671.02</v>
      </c>
      <c r="N102" s="266">
        <v>751.43</v>
      </c>
      <c r="O102" s="266">
        <v>504</v>
      </c>
      <c r="P102" s="266">
        <v>3034.4500000000003</v>
      </c>
      <c r="Q102" s="266">
        <v>1961.58</v>
      </c>
      <c r="R102" s="17">
        <f t="shared" si="3"/>
        <v>15363.11</v>
      </c>
      <c r="S102" s="1"/>
      <c r="T102" s="187"/>
      <c r="U102" s="1"/>
    </row>
    <row r="103" spans="1:21">
      <c r="A103" s="77">
        <f t="shared" si="2"/>
        <v>91</v>
      </c>
      <c r="B103" s="174">
        <v>9220</v>
      </c>
      <c r="C103" s="17" t="s">
        <v>303</v>
      </c>
      <c r="D103" s="177">
        <v>1077087.21</v>
      </c>
      <c r="E103" s="177">
        <v>921577.6399999999</v>
      </c>
      <c r="F103" s="177">
        <v>1144943.74</v>
      </c>
      <c r="G103" s="177">
        <v>997870.45000000007</v>
      </c>
      <c r="H103" s="177">
        <v>1306075.25</v>
      </c>
      <c r="I103" s="177">
        <v>776411.64000000013</v>
      </c>
      <c r="J103" s="266">
        <v>1249960.79</v>
      </c>
      <c r="K103" s="266">
        <v>942359.86</v>
      </c>
      <c r="L103" s="266">
        <v>894565.61</v>
      </c>
      <c r="M103" s="266">
        <v>1026293.2</v>
      </c>
      <c r="N103" s="266">
        <v>781835.37000000011</v>
      </c>
      <c r="O103" s="266">
        <v>815621.80999999994</v>
      </c>
      <c r="P103" s="266">
        <v>1123632.24</v>
      </c>
      <c r="Q103" s="266">
        <v>925775.8</v>
      </c>
      <c r="R103" s="17">
        <f>SUM(D103:O103)</f>
        <v>11934602.569999998</v>
      </c>
      <c r="S103" s="75"/>
      <c r="T103" s="189"/>
      <c r="U103" s="17"/>
    </row>
    <row r="104" spans="1:21">
      <c r="A104" s="77">
        <f t="shared" si="2"/>
        <v>92</v>
      </c>
      <c r="B104" s="174">
        <v>9230</v>
      </c>
      <c r="C104" s="17" t="s">
        <v>304</v>
      </c>
      <c r="D104" s="177">
        <v>160</v>
      </c>
      <c r="E104" s="177">
        <v>0</v>
      </c>
      <c r="F104" s="177">
        <v>15003.95</v>
      </c>
      <c r="G104" s="177">
        <v>6064.95</v>
      </c>
      <c r="H104" s="177">
        <v>256.70999999999998</v>
      </c>
      <c r="I104" s="177">
        <v>185986.05</v>
      </c>
      <c r="J104" s="266">
        <v>6000</v>
      </c>
      <c r="K104" s="266">
        <v>86000</v>
      </c>
      <c r="L104" s="266">
        <v>13171.93</v>
      </c>
      <c r="M104" s="266">
        <v>392</v>
      </c>
      <c r="N104" s="266">
        <v>6000</v>
      </c>
      <c r="O104" s="266">
        <v>13261.5</v>
      </c>
      <c r="P104" s="266">
        <v>600</v>
      </c>
      <c r="Q104" s="266">
        <v>9681.5</v>
      </c>
      <c r="R104" s="17">
        <f t="shared" si="3"/>
        <v>332297.08999999997</v>
      </c>
      <c r="S104" s="1"/>
      <c r="T104" s="187"/>
      <c r="U104" s="1"/>
    </row>
    <row r="105" spans="1:21">
      <c r="A105" s="77">
        <f t="shared" si="2"/>
        <v>93</v>
      </c>
      <c r="B105" s="174">
        <v>9240</v>
      </c>
      <c r="C105" s="17" t="s">
        <v>305</v>
      </c>
      <c r="D105" s="177">
        <v>14262.050000000001</v>
      </c>
      <c r="E105" s="177">
        <v>14560.55</v>
      </c>
      <c r="F105" s="177">
        <v>13925.159999999996</v>
      </c>
      <c r="G105" s="177">
        <v>13180.759999999998</v>
      </c>
      <c r="H105" s="177">
        <v>14464.279999999999</v>
      </c>
      <c r="I105" s="177">
        <v>14123.289999999997</v>
      </c>
      <c r="J105" s="266">
        <v>14206.489999999998</v>
      </c>
      <c r="K105" s="266">
        <v>13883.929999999998</v>
      </c>
      <c r="L105" s="266">
        <v>13867.829999999998</v>
      </c>
      <c r="M105" s="266">
        <v>14577.439999999999</v>
      </c>
      <c r="N105" s="266">
        <v>15277.809999999998</v>
      </c>
      <c r="O105" s="266">
        <v>14673.199999999997</v>
      </c>
      <c r="P105" s="266">
        <v>12185.599999999995</v>
      </c>
      <c r="Q105" s="266">
        <v>12754.419999999998</v>
      </c>
      <c r="R105" s="17">
        <f t="shared" si="3"/>
        <v>171002.78999999998</v>
      </c>
      <c r="S105" s="1"/>
      <c r="T105" s="187"/>
      <c r="U105" s="1"/>
    </row>
    <row r="106" spans="1:21">
      <c r="A106" s="77">
        <f t="shared" si="2"/>
        <v>94</v>
      </c>
      <c r="B106" s="174">
        <v>9250</v>
      </c>
      <c r="C106" s="17" t="s">
        <v>306</v>
      </c>
      <c r="D106" s="177">
        <v>2590.35</v>
      </c>
      <c r="E106" s="177">
        <v>3244.3199999999997</v>
      </c>
      <c r="F106" s="177">
        <v>7378.8200000000006</v>
      </c>
      <c r="G106" s="177">
        <v>4033.83</v>
      </c>
      <c r="H106" s="177">
        <v>26251.22</v>
      </c>
      <c r="I106" s="177">
        <v>1996.4799999999998</v>
      </c>
      <c r="J106" s="266">
        <v>4215.9400000000005</v>
      </c>
      <c r="K106" s="266">
        <v>9277.380000000001</v>
      </c>
      <c r="L106" s="266">
        <v>952.09999999999991</v>
      </c>
      <c r="M106" s="266">
        <v>4136.29</v>
      </c>
      <c r="N106" s="266">
        <v>3064.44</v>
      </c>
      <c r="O106" s="266">
        <v>619.91000000000008</v>
      </c>
      <c r="P106" s="266">
        <v>2697.17</v>
      </c>
      <c r="Q106" s="266">
        <v>4328.03</v>
      </c>
      <c r="R106" s="17">
        <f t="shared" si="3"/>
        <v>67761.080000000016</v>
      </c>
      <c r="S106" s="1"/>
      <c r="T106" s="187"/>
      <c r="U106" s="1"/>
    </row>
    <row r="107" spans="1:21">
      <c r="A107" s="77">
        <f t="shared" si="2"/>
        <v>95</v>
      </c>
      <c r="B107" s="174">
        <v>9260</v>
      </c>
      <c r="C107" s="17" t="s">
        <v>307</v>
      </c>
      <c r="D107" s="177">
        <v>186990.49999999994</v>
      </c>
      <c r="E107" s="177">
        <v>142600.23000000004</v>
      </c>
      <c r="F107" s="177">
        <v>136940.19000000003</v>
      </c>
      <c r="G107" s="177">
        <v>137078.23000000004</v>
      </c>
      <c r="H107" s="177">
        <v>173568.5800000001</v>
      </c>
      <c r="I107" s="177">
        <v>139491.36999999994</v>
      </c>
      <c r="J107" s="266">
        <v>154423.14000000007</v>
      </c>
      <c r="K107" s="266">
        <v>156858.75999999992</v>
      </c>
      <c r="L107" s="266">
        <v>137338.30000000008</v>
      </c>
      <c r="M107" s="266">
        <v>164009.97000000009</v>
      </c>
      <c r="N107" s="266">
        <v>153428.99</v>
      </c>
      <c r="O107" s="266">
        <v>138962.34999999992</v>
      </c>
      <c r="P107" s="266">
        <v>125341.92000000004</v>
      </c>
      <c r="Q107" s="266">
        <v>130421.54</v>
      </c>
      <c r="R107" s="17">
        <f>SUM(D107:O107)</f>
        <v>1821690.6100000003</v>
      </c>
      <c r="S107" s="1"/>
      <c r="T107" s="187"/>
      <c r="U107" s="1"/>
    </row>
    <row r="108" spans="1:21">
      <c r="A108" s="77">
        <f t="shared" si="2"/>
        <v>96</v>
      </c>
      <c r="B108" s="174">
        <v>9270</v>
      </c>
      <c r="C108" s="17" t="s">
        <v>308</v>
      </c>
      <c r="D108" s="177">
        <v>0</v>
      </c>
      <c r="E108" s="177">
        <v>408.39</v>
      </c>
      <c r="F108" s="177">
        <v>0</v>
      </c>
      <c r="G108" s="177">
        <v>0</v>
      </c>
      <c r="H108" s="177">
        <v>0</v>
      </c>
      <c r="I108" s="177">
        <v>0</v>
      </c>
      <c r="J108" s="266">
        <v>143.63</v>
      </c>
      <c r="K108" s="266">
        <v>0</v>
      </c>
      <c r="L108" s="266">
        <v>164.9</v>
      </c>
      <c r="M108" s="266">
        <v>9.89</v>
      </c>
      <c r="N108" s="266">
        <v>0</v>
      </c>
      <c r="O108" s="266">
        <v>0</v>
      </c>
      <c r="P108" s="266"/>
      <c r="Q108" s="266"/>
      <c r="R108" s="17">
        <f t="shared" si="3"/>
        <v>726.81</v>
      </c>
      <c r="S108" s="1"/>
      <c r="T108" s="187"/>
      <c r="U108" s="1"/>
    </row>
    <row r="109" spans="1:21">
      <c r="A109" s="77">
        <f t="shared" si="2"/>
        <v>97</v>
      </c>
      <c r="B109" s="174">
        <v>9280</v>
      </c>
      <c r="C109" s="17" t="s">
        <v>309</v>
      </c>
      <c r="D109" s="177">
        <v>-5239.2</v>
      </c>
      <c r="E109" s="177">
        <v>5750.21</v>
      </c>
      <c r="F109" s="177">
        <v>22134.719999999998</v>
      </c>
      <c r="G109" s="177">
        <v>21252.720000000001</v>
      </c>
      <c r="H109" s="177">
        <v>-139296.40000000002</v>
      </c>
      <c r="I109" s="177">
        <v>20951.13</v>
      </c>
      <c r="J109" s="266">
        <v>22778.05</v>
      </c>
      <c r="K109" s="266">
        <v>14487.1</v>
      </c>
      <c r="L109" s="266">
        <v>33076.6</v>
      </c>
      <c r="M109" s="266">
        <v>116399.93</v>
      </c>
      <c r="N109" s="266">
        <v>24903.010000000002</v>
      </c>
      <c r="O109" s="266">
        <v>9694</v>
      </c>
      <c r="P109" s="266">
        <v>12284.460000000001</v>
      </c>
      <c r="Q109" s="266">
        <v>8982.02</v>
      </c>
      <c r="R109" s="17">
        <f t="shared" si="3"/>
        <v>146891.86999999997</v>
      </c>
      <c r="S109" s="1"/>
      <c r="T109" s="187"/>
      <c r="U109" s="1"/>
    </row>
    <row r="110" spans="1:21">
      <c r="A110" s="77">
        <f t="shared" si="2"/>
        <v>98</v>
      </c>
      <c r="B110" s="174">
        <v>9302</v>
      </c>
      <c r="C110" s="17" t="s">
        <v>310</v>
      </c>
      <c r="D110" s="177">
        <v>20219.580000000002</v>
      </c>
      <c r="E110" s="177">
        <v>4981.92</v>
      </c>
      <c r="F110" s="177">
        <v>4023.58</v>
      </c>
      <c r="G110" s="177">
        <v>13198.58</v>
      </c>
      <c r="H110" s="177">
        <v>3648.58</v>
      </c>
      <c r="I110" s="177">
        <v>5221.66</v>
      </c>
      <c r="J110" s="266">
        <v>5926.1399999999994</v>
      </c>
      <c r="K110" s="266">
        <v>5083.58</v>
      </c>
      <c r="L110" s="266">
        <v>18753.580000000002</v>
      </c>
      <c r="M110" s="266">
        <v>17466.16</v>
      </c>
      <c r="N110" s="266">
        <v>7130.26</v>
      </c>
      <c r="O110" s="266">
        <v>5779.76</v>
      </c>
      <c r="P110" s="266">
        <v>11569.069999999998</v>
      </c>
      <c r="Q110" s="266">
        <v>5262.69</v>
      </c>
      <c r="R110" s="17">
        <f t="shared" ref="R110:R112" si="4">SUM(D110:O110)</f>
        <v>111433.38</v>
      </c>
      <c r="S110" s="1"/>
      <c r="T110" s="187"/>
      <c r="U110" s="1"/>
    </row>
    <row r="111" spans="1:21">
      <c r="A111" s="77">
        <f t="shared" si="2"/>
        <v>99</v>
      </c>
      <c r="B111" s="174">
        <v>9310</v>
      </c>
      <c r="C111" s="175" t="s">
        <v>200</v>
      </c>
      <c r="D111" s="177">
        <v>1304.52</v>
      </c>
      <c r="E111" s="177">
        <v>1304.52</v>
      </c>
      <c r="F111" s="177">
        <v>1304.52</v>
      </c>
      <c r="G111" s="177">
        <v>1304.52</v>
      </c>
      <c r="H111" s="177">
        <v>1299.57</v>
      </c>
      <c r="I111" s="177">
        <v>1299.57</v>
      </c>
      <c r="J111" s="266">
        <v>1299.57</v>
      </c>
      <c r="K111" s="266">
        <v>1299.57</v>
      </c>
      <c r="L111" s="266">
        <v>1299.57</v>
      </c>
      <c r="M111" s="266">
        <v>1299.57</v>
      </c>
      <c r="N111" s="266">
        <v>1299.57</v>
      </c>
      <c r="O111" s="266">
        <v>1299.57</v>
      </c>
      <c r="P111" s="266">
        <v>1299.57</v>
      </c>
      <c r="Q111" s="266">
        <v>1299.57</v>
      </c>
      <c r="R111" s="17">
        <f t="shared" si="4"/>
        <v>15614.639999999998</v>
      </c>
      <c r="S111" s="1"/>
      <c r="T111" s="187"/>
      <c r="U111" s="1"/>
    </row>
    <row r="112" spans="1:21">
      <c r="A112" s="77">
        <f t="shared" si="2"/>
        <v>100</v>
      </c>
      <c r="B112" s="174">
        <v>9320</v>
      </c>
      <c r="C112" s="154" t="s">
        <v>311</v>
      </c>
      <c r="D112" s="177">
        <v>0</v>
      </c>
      <c r="E112" s="177">
        <v>0</v>
      </c>
      <c r="F112" s="177">
        <v>0</v>
      </c>
      <c r="G112" s="177">
        <v>0</v>
      </c>
      <c r="H112" s="177">
        <v>0</v>
      </c>
      <c r="I112" s="177">
        <v>11000</v>
      </c>
      <c r="J112" s="266">
        <v>0</v>
      </c>
      <c r="K112" s="266">
        <v>0</v>
      </c>
      <c r="L112" s="266">
        <v>0</v>
      </c>
      <c r="M112" s="266">
        <v>0</v>
      </c>
      <c r="N112" s="266">
        <v>0</v>
      </c>
      <c r="O112" s="266">
        <v>0</v>
      </c>
      <c r="P112" s="266"/>
      <c r="Q112" s="266"/>
      <c r="R112" s="17">
        <f t="shared" si="4"/>
        <v>11000</v>
      </c>
      <c r="S112" s="1"/>
      <c r="T112" s="1"/>
      <c r="U112" s="1"/>
    </row>
    <row r="113" spans="1:21">
      <c r="A113" s="77">
        <f t="shared" si="2"/>
        <v>101</v>
      </c>
      <c r="B113" s="1"/>
      <c r="C113" s="1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  <c r="O113" s="191"/>
      <c r="P113" s="191"/>
      <c r="Q113" s="191"/>
      <c r="R113" s="1"/>
      <c r="S113" s="1"/>
      <c r="T113" s="1"/>
      <c r="U113" s="1"/>
    </row>
    <row r="114" spans="1:21" ht="15.75" thickBot="1">
      <c r="A114" s="9">
        <f t="shared" si="2"/>
        <v>102</v>
      </c>
      <c r="B114" s="1"/>
      <c r="C114" s="1" t="s">
        <v>312</v>
      </c>
      <c r="D114" s="192">
        <f t="shared" ref="D114:Q114" si="5">SUM(D14:D113)</f>
        <v>-6672482.2500000037</v>
      </c>
      <c r="E114" s="192">
        <f t="shared" si="5"/>
        <v>-6217457.6300000008</v>
      </c>
      <c r="F114" s="192">
        <f t="shared" si="5"/>
        <v>-4422971.9699999988</v>
      </c>
      <c r="G114" s="192">
        <f t="shared" si="5"/>
        <v>-3199298.8199999989</v>
      </c>
      <c r="H114" s="192">
        <f t="shared" si="5"/>
        <v>-902644.24999999965</v>
      </c>
      <c r="I114" s="192">
        <f t="shared" si="5"/>
        <v>-492418.05999999761</v>
      </c>
      <c r="J114" s="193">
        <f t="shared" si="5"/>
        <v>-650087.68000000052</v>
      </c>
      <c r="K114" s="192">
        <f t="shared" si="5"/>
        <v>-421343.37999999756</v>
      </c>
      <c r="L114" s="192">
        <f t="shared" si="5"/>
        <v>-731379.93999999948</v>
      </c>
      <c r="M114" s="192">
        <f t="shared" si="5"/>
        <v>-1791227.2299999986</v>
      </c>
      <c r="N114" s="192">
        <f t="shared" si="5"/>
        <v>-3638044.3800000031</v>
      </c>
      <c r="O114" s="192">
        <f t="shared" si="5"/>
        <v>-6073844.9399999948</v>
      </c>
      <c r="P114" s="192">
        <f t="shared" si="5"/>
        <v>-6983408.310000007</v>
      </c>
      <c r="Q114" s="192">
        <f t="shared" si="5"/>
        <v>-6280125.4299999988</v>
      </c>
      <c r="R114" s="192">
        <f>SUM(R12:R113)</f>
        <v>-23076213.000000022</v>
      </c>
      <c r="S114" s="194"/>
      <c r="T114" s="17"/>
      <c r="U114" s="1"/>
    </row>
    <row r="115" spans="1:21" ht="15.75" thickTop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 t="s">
        <v>313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T116" s="1"/>
      <c r="U116" s="1"/>
    </row>
    <row r="117" spans="1:21">
      <c r="A117" s="1"/>
      <c r="B117" s="1"/>
      <c r="C117" s="195" t="s">
        <v>314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75"/>
      <c r="P117" s="75"/>
      <c r="Q117" s="75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R118" s="1"/>
      <c r="S118" s="17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7"/>
      <c r="K119" s="17"/>
      <c r="L119" s="1"/>
      <c r="M119" s="1"/>
      <c r="N119" s="1"/>
      <c r="R119" s="154"/>
      <c r="S119" s="154"/>
      <c r="T119" s="1"/>
      <c r="U119" s="1"/>
    </row>
    <row r="120" spans="1:21">
      <c r="A120" s="1"/>
      <c r="B120" s="1" t="s">
        <v>315</v>
      </c>
      <c r="C120" s="195"/>
      <c r="D120" s="1"/>
      <c r="E120" s="1"/>
      <c r="F120" s="17"/>
      <c r="G120" s="1"/>
      <c r="H120" s="1"/>
      <c r="I120" s="1"/>
      <c r="J120" s="17"/>
      <c r="K120" s="17"/>
      <c r="L120" s="1"/>
      <c r="M120" s="1"/>
      <c r="N120" s="1"/>
      <c r="R120" s="176">
        <f>SUM(R31:R112)</f>
        <v>118344159.68999992</v>
      </c>
      <c r="T120" s="1"/>
      <c r="U120" s="1"/>
    </row>
    <row r="121" spans="1:21">
      <c r="A121" s="1"/>
      <c r="B121" s="1" t="s">
        <v>316</v>
      </c>
      <c r="C121" s="1"/>
      <c r="D121" s="196"/>
      <c r="E121" s="196"/>
      <c r="F121" s="19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7"/>
      <c r="T121" s="1"/>
      <c r="U121" s="1"/>
    </row>
    <row r="122" spans="1:21">
      <c r="A122" s="1"/>
      <c r="B122" s="1" t="s">
        <v>317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7"/>
      <c r="P122" s="17"/>
      <c r="Q122" s="17"/>
      <c r="R122" s="1"/>
      <c r="S122" s="17"/>
      <c r="T122" s="1"/>
      <c r="U122" s="1"/>
    </row>
    <row r="123" spans="1:21">
      <c r="A123" s="1"/>
      <c r="B123" s="1"/>
      <c r="C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t="s">
        <v>318</v>
      </c>
      <c r="R123" s="1">
        <f>SUM(R48:R112)+R31+R32-R103</f>
        <v>17403321.43</v>
      </c>
      <c r="S123" s="1"/>
      <c r="T123" s="1"/>
      <c r="U123" s="1"/>
    </row>
    <row r="124" spans="1:21">
      <c r="A124" s="1"/>
      <c r="B124" s="1"/>
      <c r="C124" s="1"/>
      <c r="D124" s="1">
        <f>SUM(D48:D112)+D31+D32-D103</f>
        <v>1422291.2999999998</v>
      </c>
      <c r="E124" s="1">
        <f t="shared" ref="E124:O124" si="6">SUM(E48:E112)+E31+E32-E103</f>
        <v>1161373.8199999998</v>
      </c>
      <c r="F124" s="1">
        <f t="shared" si="6"/>
        <v>1308387.2100000002</v>
      </c>
      <c r="G124" s="1">
        <f t="shared" si="6"/>
        <v>1295849.9900000002</v>
      </c>
      <c r="H124" s="1">
        <f t="shared" si="6"/>
        <v>1361516.6900000004</v>
      </c>
      <c r="I124" s="1">
        <f t="shared" si="6"/>
        <v>1943285.7999999998</v>
      </c>
      <c r="J124" s="1">
        <f t="shared" si="6"/>
        <v>1359181.71</v>
      </c>
      <c r="K124" s="1">
        <f t="shared" si="6"/>
        <v>1745684.3400000008</v>
      </c>
      <c r="L124" s="1">
        <f t="shared" si="6"/>
        <v>1860188.3400000003</v>
      </c>
      <c r="M124" s="1">
        <f t="shared" si="6"/>
        <v>1297490.8700000008</v>
      </c>
      <c r="N124" s="1">
        <f t="shared" si="6"/>
        <v>1396546.3899999992</v>
      </c>
      <c r="O124" s="1">
        <f t="shared" si="6"/>
        <v>1251524.9700000002</v>
      </c>
      <c r="P124" s="1"/>
      <c r="Q124" s="1"/>
      <c r="R124" s="17"/>
      <c r="S124" s="1"/>
      <c r="T124" s="1"/>
      <c r="U124" s="1"/>
    </row>
    <row r="125" spans="1:21">
      <c r="A125" s="1"/>
      <c r="B125" s="1"/>
      <c r="C125" s="1"/>
      <c r="D125" s="1">
        <v>1422291.3</v>
      </c>
      <c r="E125" s="1">
        <v>1161373.82</v>
      </c>
      <c r="F125" s="1">
        <v>1308387.2099999997</v>
      </c>
      <c r="G125" s="1">
        <v>1295849.9899999998</v>
      </c>
      <c r="H125" s="1">
        <v>1361516.6900000002</v>
      </c>
      <c r="I125" s="1">
        <v>1943285.7999999996</v>
      </c>
      <c r="J125" s="1">
        <v>1313767.3699999999</v>
      </c>
      <c r="K125" s="1">
        <v>1146960.99</v>
      </c>
      <c r="L125" s="1">
        <v>1074936.31</v>
      </c>
      <c r="M125" s="1">
        <v>1174001.7989999999</v>
      </c>
      <c r="N125" s="1">
        <v>1196940.9963</v>
      </c>
      <c r="O125" s="1">
        <v>1101078.9165000001</v>
      </c>
      <c r="P125" s="1"/>
      <c r="Q125" s="1"/>
      <c r="R125" s="17"/>
      <c r="S125" s="1"/>
      <c r="T125" s="1"/>
      <c r="U125" s="1"/>
    </row>
    <row r="126" spans="1:21">
      <c r="A126" s="1"/>
      <c r="B126" s="1"/>
      <c r="C126" s="75"/>
      <c r="D126" s="197">
        <f>D124-D125</f>
        <v>0</v>
      </c>
      <c r="E126" s="197">
        <f t="shared" ref="E126:O126" si="7">E124-E125</f>
        <v>0</v>
      </c>
      <c r="F126" s="197">
        <f t="shared" si="7"/>
        <v>0</v>
      </c>
      <c r="G126" s="197">
        <f t="shared" si="7"/>
        <v>0</v>
      </c>
      <c r="H126" s="197">
        <f t="shared" si="7"/>
        <v>0</v>
      </c>
      <c r="I126" s="197">
        <f t="shared" si="7"/>
        <v>0</v>
      </c>
      <c r="J126" s="197">
        <f t="shared" si="7"/>
        <v>45414.340000000084</v>
      </c>
      <c r="K126" s="197">
        <f t="shared" si="7"/>
        <v>598723.35000000079</v>
      </c>
      <c r="L126" s="197">
        <f t="shared" si="7"/>
        <v>785252.03000000026</v>
      </c>
      <c r="M126" s="197">
        <f t="shared" si="7"/>
        <v>123489.07100000093</v>
      </c>
      <c r="N126" s="197">
        <f t="shared" si="7"/>
        <v>199605.3936999992</v>
      </c>
      <c r="O126" s="197">
        <f t="shared" si="7"/>
        <v>150446.05350000015</v>
      </c>
      <c r="P126" s="197"/>
      <c r="Q126" s="197"/>
      <c r="R126" s="17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95"/>
      <c r="O127" s="157"/>
      <c r="P127" s="157"/>
      <c r="Q127" s="157"/>
      <c r="R127" s="17"/>
      <c r="S127" s="1"/>
      <c r="T127" s="1"/>
      <c r="U127" s="1"/>
    </row>
    <row r="128" spans="1:21">
      <c r="A128" s="1"/>
      <c r="B128" s="1"/>
      <c r="C128" s="75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"/>
      <c r="P128" s="4"/>
      <c r="Q128" s="4"/>
      <c r="R128" s="1"/>
      <c r="S128" s="1"/>
      <c r="T128" s="1"/>
      <c r="U128" s="1"/>
    </row>
    <row r="129" spans="1:21">
      <c r="A129" s="1"/>
      <c r="B129" s="1"/>
      <c r="C129" s="14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57"/>
      <c r="P129" s="157"/>
      <c r="Q129" s="157"/>
      <c r="R129" s="1"/>
      <c r="S129" s="1"/>
      <c r="T129" s="1"/>
      <c r="U129" s="1"/>
    </row>
    <row r="130" spans="1:21">
      <c r="A130" s="1"/>
      <c r="B130" s="1"/>
      <c r="C130" s="14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57"/>
      <c r="P130" s="157"/>
      <c r="Q130" s="157"/>
      <c r="R130" s="17"/>
      <c r="S130" s="1"/>
      <c r="T130" s="1"/>
      <c r="U130" s="1"/>
    </row>
    <row r="131" spans="1:21">
      <c r="A131" s="1"/>
      <c r="B131" s="1"/>
      <c r="C131" s="14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7"/>
      <c r="P131" s="17"/>
      <c r="Q131" s="17"/>
      <c r="R131" s="1"/>
      <c r="S131" s="1"/>
      <c r="T131" s="1"/>
      <c r="U131" s="1"/>
    </row>
    <row r="132" spans="1:21">
      <c r="A132" s="1"/>
      <c r="B132" s="1"/>
      <c r="C132" s="14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7"/>
      <c r="P132" s="17"/>
      <c r="Q132" s="17"/>
      <c r="R132" s="1"/>
      <c r="S132" s="1"/>
      <c r="T132" s="1"/>
      <c r="U132" s="1"/>
    </row>
    <row r="133" spans="1:21">
      <c r="R133" s="1"/>
    </row>
    <row r="134" spans="1:21">
      <c r="R134" s="1"/>
    </row>
    <row r="135" spans="1:21">
      <c r="R135" s="1"/>
    </row>
    <row r="136" spans="1:21">
      <c r="R136" s="1"/>
    </row>
    <row r="138" spans="1:21">
      <c r="D138" s="198"/>
      <c r="E138" s="198"/>
      <c r="F138" s="198"/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  <c r="Q138" s="198"/>
      <c r="R138" s="198"/>
    </row>
    <row r="139" spans="1:21">
      <c r="J139" s="154"/>
      <c r="K139" s="154"/>
      <c r="L139" s="154"/>
      <c r="M139" s="154"/>
      <c r="N139" s="154"/>
      <c r="O139" s="154"/>
      <c r="P139" s="154"/>
      <c r="Q139" s="154"/>
    </row>
    <row r="140" spans="1:21">
      <c r="D140" s="199"/>
    </row>
    <row r="142" spans="1:21">
      <c r="J142" s="200"/>
    </row>
    <row r="144" spans="1:21">
      <c r="C144" s="75"/>
    </row>
  </sheetData>
  <mergeCells count="4">
    <mergeCell ref="A1:R1"/>
    <mergeCell ref="A2:R2"/>
    <mergeCell ref="A3:R3"/>
    <mergeCell ref="A4:R4"/>
  </mergeCells>
  <printOptions horizontalCentered="1"/>
  <pageMargins left="0.5" right="0.5" top="0.75" bottom="0.75" header="0.25" footer="0.25"/>
  <pageSetup scale="40" fitToHeight="2" orientation="landscape" verticalDpi="300" r:id="rId1"/>
  <headerFooter alignWithMargins="0">
    <oddHeader>&amp;RCASE NO. 2018-00281
ATTACHMENT 1
TO STAFF DR NO. 1-46
(SUPPLEMENT 03-29-19)</oddHeader>
    <oddFooter>&amp;RSchedule &amp;A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78"/>
  <sheetViews>
    <sheetView view="pageBreakPreview" zoomScale="80" zoomScaleNormal="70" zoomScaleSheetLayoutView="80" workbookViewId="0">
      <pane xSplit="3" ySplit="11" topLeftCell="D12" activePane="bottomRight" state="frozen"/>
      <selection sqref="A1:J1"/>
      <selection pane="topRight" sqref="A1:J1"/>
      <selection pane="bottomLeft" sqref="A1:J1"/>
      <selection pane="bottomRight" activeCell="D12" sqref="D12"/>
    </sheetView>
  </sheetViews>
  <sheetFormatPr defaultColWidth="7.109375" defaultRowHeight="15"/>
  <cols>
    <col min="1" max="1" width="6.21875" style="154" customWidth="1"/>
    <col min="2" max="2" width="7.21875" style="154" customWidth="1"/>
    <col min="3" max="3" width="38.88671875" style="154" customWidth="1"/>
    <col min="4" max="5" width="11.109375" style="154" customWidth="1"/>
    <col min="6" max="6" width="11.77734375" style="154" bestFit="1" customWidth="1"/>
    <col min="7" max="7" width="11.33203125" style="154" bestFit="1" customWidth="1"/>
    <col min="8" max="8" width="11.109375" style="154" customWidth="1"/>
    <col min="9" max="9" width="12" style="154" bestFit="1" customWidth="1"/>
    <col min="10" max="13" width="11.33203125" style="154" bestFit="1" customWidth="1"/>
    <col min="14" max="14" width="12.44140625" style="154" customWidth="1"/>
    <col min="15" max="15" width="10.5546875" style="154" bestFit="1" customWidth="1"/>
    <col min="16" max="17" width="10.5546875" style="154" customWidth="1"/>
    <col min="18" max="18" width="12.44140625" style="154" customWidth="1"/>
    <col min="19" max="19" width="12.5546875" style="154" customWidth="1"/>
    <col min="20" max="16384" width="7.109375" style="154"/>
  </cols>
  <sheetData>
    <row r="1" spans="1:20">
      <c r="A1" s="279" t="s">
        <v>360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17"/>
      <c r="T1" s="17"/>
    </row>
    <row r="2" spans="1:20">
      <c r="A2" s="279" t="s">
        <v>361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17"/>
      <c r="T2" s="17"/>
    </row>
    <row r="3" spans="1:20" ht="15.75">
      <c r="A3" s="279" t="s">
        <v>331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17"/>
      <c r="T3" s="17"/>
    </row>
    <row r="4" spans="1:20">
      <c r="A4" s="279" t="s">
        <v>363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17"/>
      <c r="T4" s="17"/>
    </row>
    <row r="5" spans="1:20">
      <c r="A5" s="17"/>
      <c r="B5" s="201"/>
      <c r="C5" s="201"/>
      <c r="D5" s="201"/>
      <c r="E5" s="201"/>
      <c r="F5" s="201"/>
      <c r="G5" s="202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17"/>
      <c r="S5" s="17"/>
      <c r="T5" s="17"/>
    </row>
    <row r="6" spans="1:20" ht="15.75">
      <c r="A6" s="156" t="str">
        <f>'C.2.2 B 09'!A6</f>
        <v>Data:___X____Base Period________Forecasted Period</v>
      </c>
      <c r="B6" s="17"/>
      <c r="C6" s="156"/>
      <c r="D6" s="17"/>
      <c r="E6" s="17"/>
      <c r="F6" s="203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57" t="s">
        <v>214</v>
      </c>
      <c r="S6" s="17"/>
      <c r="T6" s="17"/>
    </row>
    <row r="7" spans="1:20">
      <c r="A7" s="156" t="str">
        <f>'C.2.2 B 09'!A7</f>
        <v>Type of Filing:___X____Original________Updated ________Revised</v>
      </c>
      <c r="B7" s="17"/>
      <c r="C7" s="15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59" t="s">
        <v>215</v>
      </c>
      <c r="S7" s="17"/>
      <c r="T7" s="17"/>
    </row>
    <row r="8" spans="1:20">
      <c r="A8" s="160" t="str">
        <f>'C.2.2 B 09'!A8</f>
        <v>Workpaper Reference No(s).____________________</v>
      </c>
      <c r="B8" s="161"/>
      <c r="C8" s="205"/>
      <c r="D8" s="162"/>
      <c r="E8" s="162"/>
      <c r="F8" s="162"/>
      <c r="G8" s="162"/>
      <c r="H8" s="162"/>
      <c r="I8" s="162"/>
      <c r="J8" s="162"/>
      <c r="K8" s="162"/>
      <c r="L8" s="162"/>
      <c r="M8" s="161"/>
      <c r="N8" s="161"/>
      <c r="O8" s="161"/>
      <c r="P8" s="153"/>
      <c r="Q8" s="153"/>
      <c r="R8" s="163" t="str">
        <f>'C.1'!J9</f>
        <v>Witness: Waller, Densman</v>
      </c>
      <c r="S8" s="17"/>
      <c r="T8" s="17"/>
    </row>
    <row r="9" spans="1:20">
      <c r="A9" s="164" t="s">
        <v>9</v>
      </c>
      <c r="B9" s="165" t="s">
        <v>216</v>
      </c>
      <c r="C9" s="166"/>
      <c r="D9" s="206" t="str">
        <f>'C.2.2 B 09'!D9</f>
        <v>actual</v>
      </c>
      <c r="E9" s="206" t="str">
        <f>'C.2.2 B 09'!F9</f>
        <v>actual</v>
      </c>
      <c r="F9" s="206" t="str">
        <f>'C.2.2 B 09'!F9</f>
        <v>actual</v>
      </c>
      <c r="G9" s="206" t="str">
        <f>'C.2.2 B 09'!G9</f>
        <v>actual</v>
      </c>
      <c r="H9" s="206" t="str">
        <f>'C.2.2 B 09'!H9</f>
        <v>actual</v>
      </c>
      <c r="I9" s="206" t="str">
        <f>'C.2.2 B 09'!I9</f>
        <v>actual</v>
      </c>
      <c r="J9" s="206" t="str">
        <f>'C.2.2 B 09'!J9</f>
        <v>actual</v>
      </c>
      <c r="K9" s="206" t="str">
        <f>'C.2.2 B 09'!K9</f>
        <v>actual</v>
      </c>
      <c r="L9" s="206" t="str">
        <f>'C.2.2 B 09'!L9</f>
        <v>actual</v>
      </c>
      <c r="M9" s="206" t="str">
        <f>'C.2.2 B 09'!M9</f>
        <v>actual</v>
      </c>
      <c r="N9" s="206" t="str">
        <f>'C.2.2 B 09'!N9</f>
        <v>actual</v>
      </c>
      <c r="O9" s="206" t="str">
        <f>'C.2.2 B 09'!O9</f>
        <v>actual</v>
      </c>
      <c r="P9" s="206" t="str">
        <f>'C.2.2 B 09'!P9</f>
        <v>actual</v>
      </c>
      <c r="Q9" s="206" t="str">
        <f>'C.2.2 B 09'!Q9</f>
        <v>actual</v>
      </c>
      <c r="R9" s="208"/>
      <c r="S9" s="77"/>
      <c r="T9" s="77"/>
    </row>
    <row r="10" spans="1:20">
      <c r="A10" s="168" t="s">
        <v>12</v>
      </c>
      <c r="B10" s="169" t="s">
        <v>12</v>
      </c>
      <c r="C10" s="170" t="s">
        <v>218</v>
      </c>
      <c r="D10" s="209">
        <f>'C.2.2 B 09'!D10</f>
        <v>43101</v>
      </c>
      <c r="E10" s="209">
        <f>'C.2.2 B 09'!E10</f>
        <v>43132</v>
      </c>
      <c r="F10" s="209">
        <f>'C.2.2 B 09'!F10</f>
        <v>43160</v>
      </c>
      <c r="G10" s="209">
        <f>'C.2.2 B 09'!G10</f>
        <v>43191</v>
      </c>
      <c r="H10" s="209">
        <f>'C.2.2 B 09'!H10</f>
        <v>43221</v>
      </c>
      <c r="I10" s="209">
        <f>'C.2.2 B 09'!I10</f>
        <v>43252</v>
      </c>
      <c r="J10" s="209">
        <f>'C.2.2 B 09'!J10</f>
        <v>43282</v>
      </c>
      <c r="K10" s="209">
        <f>'C.2.2 B 09'!K10</f>
        <v>43313</v>
      </c>
      <c r="L10" s="209">
        <f>'C.2.2 B 09'!L10</f>
        <v>43344</v>
      </c>
      <c r="M10" s="209">
        <f>'C.2.2 B 09'!M10</f>
        <v>43374</v>
      </c>
      <c r="N10" s="209">
        <f>'C.2.2 B 09'!N10</f>
        <v>43405</v>
      </c>
      <c r="O10" s="209">
        <f>'C.2.2 B 09'!O10</f>
        <v>43435</v>
      </c>
      <c r="P10" s="209">
        <f>'C.2.2 B 09'!P10</f>
        <v>43466</v>
      </c>
      <c r="Q10" s="209">
        <f>'C.2.2 B 09'!Q10</f>
        <v>43497</v>
      </c>
      <c r="R10" s="209" t="str">
        <f>'C.2.2 B 09'!R10</f>
        <v>Total</v>
      </c>
      <c r="S10" s="223"/>
      <c r="T10" s="77"/>
    </row>
    <row r="11" spans="1:20">
      <c r="A11" s="17"/>
      <c r="B11" s="17"/>
      <c r="C11" s="17"/>
      <c r="D11" s="64" t="s">
        <v>220</v>
      </c>
      <c r="E11" s="64" t="s">
        <v>220</v>
      </c>
      <c r="F11" s="64" t="s">
        <v>220</v>
      </c>
      <c r="G11" s="64" t="s">
        <v>220</v>
      </c>
      <c r="H11" s="64" t="s">
        <v>220</v>
      </c>
      <c r="I11" s="64" t="s">
        <v>220</v>
      </c>
      <c r="J11" s="64" t="s">
        <v>220</v>
      </c>
      <c r="K11" s="64" t="s">
        <v>220</v>
      </c>
      <c r="L11" s="64" t="s">
        <v>220</v>
      </c>
      <c r="M11" s="64" t="s">
        <v>220</v>
      </c>
      <c r="N11" s="64" t="s">
        <v>220</v>
      </c>
      <c r="O11" s="64" t="s">
        <v>220</v>
      </c>
      <c r="P11" s="64"/>
      <c r="Q11" s="64"/>
      <c r="R11" s="64" t="s">
        <v>220</v>
      </c>
      <c r="S11" s="64"/>
      <c r="T11" s="17"/>
    </row>
    <row r="12" spans="1:20">
      <c r="A12" s="17"/>
      <c r="B12" s="174" t="s">
        <v>209</v>
      </c>
      <c r="C12" s="175" t="s">
        <v>221</v>
      </c>
      <c r="D12" s="177">
        <v>3834544.8</v>
      </c>
      <c r="E12" s="177">
        <v>3389683.01</v>
      </c>
      <c r="F12" s="177">
        <v>-10554542</v>
      </c>
      <c r="G12" s="177">
        <v>1775436.38</v>
      </c>
      <c r="H12" s="177">
        <v>196481.18</v>
      </c>
      <c r="I12" s="177">
        <v>-1971503</v>
      </c>
      <c r="J12" s="177">
        <v>202254.51</v>
      </c>
      <c r="K12" s="113">
        <v>202254.51</v>
      </c>
      <c r="L12" s="113">
        <v>202254.51</v>
      </c>
      <c r="M12" s="113">
        <v>202254.51</v>
      </c>
      <c r="N12" s="113">
        <v>202254.51</v>
      </c>
      <c r="O12" s="113">
        <v>202254.51</v>
      </c>
      <c r="P12" s="113">
        <v>2600050.09</v>
      </c>
      <c r="Q12" s="113">
        <v>2302350.79</v>
      </c>
      <c r="R12" s="17">
        <f t="shared" ref="R12:R15" si="0">SUM(D12:O12)</f>
        <v>-2116372.5700000022</v>
      </c>
      <c r="S12" s="64"/>
      <c r="T12" s="17"/>
    </row>
    <row r="13" spans="1:20">
      <c r="A13" s="17"/>
      <c r="B13" s="17"/>
      <c r="C13" s="17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17">
        <f t="shared" si="0"/>
        <v>0</v>
      </c>
      <c r="S13" s="64"/>
      <c r="T13" s="17"/>
    </row>
    <row r="14" spans="1:20">
      <c r="A14" s="77">
        <v>1</v>
      </c>
      <c r="B14" s="174">
        <v>4030</v>
      </c>
      <c r="C14" s="17" t="s">
        <v>59</v>
      </c>
      <c r="D14" s="177">
        <v>-4.2632564145606011E-13</v>
      </c>
      <c r="E14" s="177">
        <v>-2.9842794901924208E-13</v>
      </c>
      <c r="F14" s="177">
        <v>-1.2789769243681803E-13</v>
      </c>
      <c r="G14" s="177">
        <v>-2.8421709430404007E-13</v>
      </c>
      <c r="H14" s="177">
        <v>-2.5579538487363607E-13</v>
      </c>
      <c r="I14" s="177">
        <v>1.0000000000118803E-2</v>
      </c>
      <c r="J14" s="267">
        <v>1.9895196601282805E-13</v>
      </c>
      <c r="K14" s="267">
        <v>-4.5474735088646412E-13</v>
      </c>
      <c r="L14" s="267">
        <v>-9.9999999994508926E-3</v>
      </c>
      <c r="M14" s="267">
        <v>-9.9475983006414026E-14</v>
      </c>
      <c r="N14" s="267">
        <v>-9.9999999999340616E-3</v>
      </c>
      <c r="O14" s="267">
        <v>-5.6843418860808015E-14</v>
      </c>
      <c r="P14" s="267"/>
      <c r="Q14" s="267"/>
      <c r="R14" s="17">
        <f t="shared" si="0"/>
        <v>-1.000000000107093E-2</v>
      </c>
      <c r="S14" s="158"/>
      <c r="T14" s="17"/>
    </row>
    <row r="15" spans="1:20">
      <c r="A15" s="77">
        <f>A14+1</f>
        <v>2</v>
      </c>
      <c r="B15" s="174" t="s">
        <v>332</v>
      </c>
      <c r="C15" s="17" t="s">
        <v>223</v>
      </c>
      <c r="D15" s="177">
        <v>0</v>
      </c>
      <c r="E15" s="177">
        <v>0</v>
      </c>
      <c r="F15" s="177">
        <v>0</v>
      </c>
      <c r="G15" s="177">
        <v>0</v>
      </c>
      <c r="H15" s="177">
        <v>0</v>
      </c>
      <c r="I15" s="177">
        <v>0</v>
      </c>
      <c r="J15" s="267">
        <v>0</v>
      </c>
      <c r="K15" s="267">
        <v>0</v>
      </c>
      <c r="L15" s="267">
        <v>0</v>
      </c>
      <c r="M15" s="267">
        <v>1.0000000000218279E-2</v>
      </c>
      <c r="N15" s="267">
        <v>1.0000000000218279E-2</v>
      </c>
      <c r="O15" s="267">
        <v>1.0000000000218279E-2</v>
      </c>
      <c r="P15" s="267"/>
      <c r="Q15" s="267"/>
      <c r="R15" s="17">
        <f t="shared" si="0"/>
        <v>3.0000000000654836E-2</v>
      </c>
      <c r="S15" s="158"/>
      <c r="T15" s="17"/>
    </row>
    <row r="16" spans="1:20">
      <c r="A16" s="77">
        <f t="shared" ref="A16:A60" si="1">A15+1</f>
        <v>3</v>
      </c>
      <c r="B16" s="174">
        <v>4081</v>
      </c>
      <c r="C16" s="17" t="s">
        <v>224</v>
      </c>
      <c r="D16" s="177">
        <v>1.0000000009313226E-2</v>
      </c>
      <c r="E16" s="177">
        <v>-6.1186167243931777E-11</v>
      </c>
      <c r="F16" s="177">
        <v>-9.9999999931128514E-3</v>
      </c>
      <c r="G16" s="177">
        <v>8.8817841970012523E-13</v>
      </c>
      <c r="H16" s="177">
        <v>1.9999999981905603E-2</v>
      </c>
      <c r="I16" s="177">
        <v>113942.48999999989</v>
      </c>
      <c r="J16" s="267">
        <v>7.2759576141834259E-12</v>
      </c>
      <c r="K16" s="267">
        <v>-9.9999999926367877E-3</v>
      </c>
      <c r="L16" s="267">
        <v>-2.120259523508139E-11</v>
      </c>
      <c r="M16" s="267">
        <v>7.2759576141834259E-12</v>
      </c>
      <c r="N16" s="267">
        <v>1.3324097380973399E-10</v>
      </c>
      <c r="O16" s="267">
        <v>4.8885340220294893E-12</v>
      </c>
      <c r="P16" s="267"/>
      <c r="Q16" s="267"/>
      <c r="R16" s="17">
        <f t="shared" ref="R16:R54" si="2">SUM(D16:O16)</f>
        <v>113942.49999999996</v>
      </c>
      <c r="S16" s="17"/>
      <c r="T16" s="17"/>
    </row>
    <row r="17" spans="1:20">
      <c r="A17" s="77">
        <f t="shared" si="1"/>
        <v>4</v>
      </c>
      <c r="B17" s="174">
        <v>8170</v>
      </c>
      <c r="C17" s="17" t="s">
        <v>253</v>
      </c>
      <c r="D17" s="177">
        <v>47.02</v>
      </c>
      <c r="E17" s="177">
        <v>48.37</v>
      </c>
      <c r="F17" s="177">
        <v>44.57</v>
      </c>
      <c r="G17" s="177">
        <v>43.43</v>
      </c>
      <c r="H17" s="177">
        <v>39.32</v>
      </c>
      <c r="I17" s="177">
        <v>41.59</v>
      </c>
      <c r="J17" s="267">
        <v>42.26</v>
      </c>
      <c r="K17" s="267">
        <v>44.22</v>
      </c>
      <c r="L17" s="267">
        <v>43</v>
      </c>
      <c r="M17" s="267">
        <v>42.99</v>
      </c>
      <c r="N17" s="267">
        <v>41.29</v>
      </c>
      <c r="O17" s="267">
        <v>40.31</v>
      </c>
      <c r="P17" s="267">
        <v>41.88</v>
      </c>
      <c r="Q17" s="267">
        <v>41.39</v>
      </c>
      <c r="R17" s="17">
        <f t="shared" si="2"/>
        <v>518.37</v>
      </c>
      <c r="S17" s="17"/>
      <c r="T17" s="17"/>
    </row>
    <row r="18" spans="1:20">
      <c r="A18" s="77">
        <f t="shared" si="1"/>
        <v>5</v>
      </c>
      <c r="B18" s="174">
        <v>8180</v>
      </c>
      <c r="C18" s="17" t="s">
        <v>254</v>
      </c>
      <c r="D18" s="177">
        <v>48.879999999999995</v>
      </c>
      <c r="E18" s="177">
        <v>50.289999999999964</v>
      </c>
      <c r="F18" s="177">
        <v>46.340000000000032</v>
      </c>
      <c r="G18" s="177">
        <v>45.160000000000025</v>
      </c>
      <c r="H18" s="177">
        <v>40.880000000000024</v>
      </c>
      <c r="I18" s="177">
        <v>36.180000000000035</v>
      </c>
      <c r="J18" s="267">
        <v>45.25</v>
      </c>
      <c r="K18" s="267">
        <v>47.539999999999964</v>
      </c>
      <c r="L18" s="267">
        <v>46.210000000000008</v>
      </c>
      <c r="M18" s="267">
        <v>30.089999999999975</v>
      </c>
      <c r="N18" s="267">
        <v>28.899999999999977</v>
      </c>
      <c r="O18" s="267">
        <v>28.22</v>
      </c>
      <c r="P18" s="267">
        <v>29.319999999999993</v>
      </c>
      <c r="Q18" s="267">
        <v>28.96999999999997</v>
      </c>
      <c r="R18" s="17">
        <f t="shared" si="2"/>
        <v>493.93999999999994</v>
      </c>
      <c r="S18" s="17"/>
      <c r="T18" s="17"/>
    </row>
    <row r="19" spans="1:20">
      <c r="A19" s="77">
        <f t="shared" si="1"/>
        <v>6</v>
      </c>
      <c r="B19" s="174">
        <v>8190</v>
      </c>
      <c r="C19" s="17" t="s">
        <v>255</v>
      </c>
      <c r="D19" s="177">
        <v>383.55</v>
      </c>
      <c r="E19" s="177">
        <v>10.26</v>
      </c>
      <c r="F19" s="177">
        <v>502</v>
      </c>
      <c r="G19" s="177">
        <v>70.14</v>
      </c>
      <c r="H19" s="177">
        <v>9.85</v>
      </c>
      <c r="I19" s="177">
        <v>599.29</v>
      </c>
      <c r="J19" s="267">
        <v>1460.5</v>
      </c>
      <c r="K19" s="267">
        <v>1990.67</v>
      </c>
      <c r="L19" s="267">
        <v>1088.5899999999999</v>
      </c>
      <c r="M19" s="267">
        <v>2186.34</v>
      </c>
      <c r="N19" s="267">
        <v>55.27</v>
      </c>
      <c r="O19" s="267">
        <v>125.99</v>
      </c>
      <c r="P19" s="267">
        <v>467.01</v>
      </c>
      <c r="Q19" s="267">
        <v>425.31</v>
      </c>
      <c r="R19" s="17">
        <f t="shared" si="2"/>
        <v>8482.4500000000007</v>
      </c>
      <c r="S19" s="17"/>
      <c r="T19" s="17"/>
    </row>
    <row r="20" spans="1:20">
      <c r="A20" s="77">
        <f t="shared" si="1"/>
        <v>7</v>
      </c>
      <c r="B20" s="174">
        <v>8210</v>
      </c>
      <c r="C20" s="17" t="s">
        <v>257</v>
      </c>
      <c r="D20" s="177">
        <v>519.27</v>
      </c>
      <c r="E20" s="177">
        <v>411.45000000000005</v>
      </c>
      <c r="F20" s="177">
        <v>374.24</v>
      </c>
      <c r="G20" s="177">
        <v>192.34</v>
      </c>
      <c r="H20" s="177">
        <v>111.9</v>
      </c>
      <c r="I20" s="177">
        <v>107.28</v>
      </c>
      <c r="J20" s="267">
        <v>135.48999999999998</v>
      </c>
      <c r="K20" s="267">
        <v>93.36999999999999</v>
      </c>
      <c r="L20" s="267">
        <v>93.04</v>
      </c>
      <c r="M20" s="267">
        <v>135.32</v>
      </c>
      <c r="N20" s="267">
        <v>213.24</v>
      </c>
      <c r="O20" s="267">
        <v>387.01</v>
      </c>
      <c r="P20" s="267">
        <v>552.93000000000006</v>
      </c>
      <c r="Q20" s="267">
        <v>457.19</v>
      </c>
      <c r="R20" s="17">
        <f t="shared" si="2"/>
        <v>2773.95</v>
      </c>
      <c r="S20" s="17"/>
      <c r="T20" s="17"/>
    </row>
    <row r="21" spans="1:20">
      <c r="A21" s="77">
        <f t="shared" si="1"/>
        <v>8</v>
      </c>
      <c r="B21" s="174">
        <v>8240</v>
      </c>
      <c r="C21" s="17" t="s">
        <v>258</v>
      </c>
      <c r="D21" s="177">
        <f>0</f>
        <v>0</v>
      </c>
      <c r="E21" s="177">
        <f>0</f>
        <v>0</v>
      </c>
      <c r="F21" s="177">
        <f>0</f>
        <v>0</v>
      </c>
      <c r="G21" s="177">
        <f>0</f>
        <v>0</v>
      </c>
      <c r="H21" s="177">
        <f>0</f>
        <v>0</v>
      </c>
      <c r="I21" s="177">
        <f>0</f>
        <v>0</v>
      </c>
      <c r="J21" s="267"/>
      <c r="K21" s="267"/>
      <c r="L21" s="267"/>
      <c r="M21" s="267"/>
      <c r="N21" s="267"/>
      <c r="O21" s="267"/>
      <c r="P21" s="267"/>
      <c r="Q21" s="267"/>
      <c r="R21" s="17">
        <f t="shared" si="2"/>
        <v>0</v>
      </c>
      <c r="S21" s="17"/>
      <c r="T21" s="17"/>
    </row>
    <row r="22" spans="1:20">
      <c r="A22" s="77">
        <f t="shared" si="1"/>
        <v>9</v>
      </c>
      <c r="B22" s="174">
        <v>8250</v>
      </c>
      <c r="C22" s="17" t="s">
        <v>259</v>
      </c>
      <c r="D22" s="177">
        <v>3345.0399999999995</v>
      </c>
      <c r="E22" s="177">
        <v>956.67000000000007</v>
      </c>
      <c r="F22" s="177">
        <v>2383.56</v>
      </c>
      <c r="G22" s="177">
        <v>3108.65</v>
      </c>
      <c r="H22" s="177">
        <v>841.48</v>
      </c>
      <c r="I22" s="177">
        <v>571.55999999999995</v>
      </c>
      <c r="J22" s="267">
        <v>159.07</v>
      </c>
      <c r="K22" s="267">
        <v>515.24</v>
      </c>
      <c r="L22" s="267">
        <v>102.52999999999999</v>
      </c>
      <c r="M22" s="267">
        <v>1210.25</v>
      </c>
      <c r="N22" s="267">
        <v>793.64</v>
      </c>
      <c r="O22" s="267">
        <v>1643.7</v>
      </c>
      <c r="P22" s="267">
        <v>2590.6899999999996</v>
      </c>
      <c r="Q22" s="267">
        <v>1810.39</v>
      </c>
      <c r="R22" s="17">
        <f t="shared" si="2"/>
        <v>15631.389999999998</v>
      </c>
      <c r="S22" s="17"/>
      <c r="T22" s="17"/>
    </row>
    <row r="23" spans="1:20">
      <c r="A23" s="275">
        <f t="shared" si="1"/>
        <v>10</v>
      </c>
      <c r="B23" s="174">
        <v>8500</v>
      </c>
      <c r="C23" s="17" t="s">
        <v>141</v>
      </c>
      <c r="D23" s="177">
        <f>0</f>
        <v>0</v>
      </c>
      <c r="E23" s="177">
        <f>0</f>
        <v>0</v>
      </c>
      <c r="F23" s="177">
        <f>0</f>
        <v>0</v>
      </c>
      <c r="G23" s="177">
        <f>0</f>
        <v>0</v>
      </c>
      <c r="H23" s="177">
        <f>0</f>
        <v>0</v>
      </c>
      <c r="I23" s="177">
        <f>0</f>
        <v>0</v>
      </c>
      <c r="J23" s="267">
        <v>0</v>
      </c>
      <c r="K23" s="267">
        <v>0</v>
      </c>
      <c r="L23" s="267">
        <v>0</v>
      </c>
      <c r="M23" s="267">
        <v>0</v>
      </c>
      <c r="N23" s="267">
        <v>0</v>
      </c>
      <c r="O23" s="267">
        <v>0</v>
      </c>
      <c r="P23" s="267"/>
      <c r="Q23" s="267"/>
      <c r="R23" s="17">
        <f t="shared" si="2"/>
        <v>0</v>
      </c>
      <c r="S23" s="17"/>
      <c r="T23" s="17"/>
    </row>
    <row r="24" spans="1:20">
      <c r="A24" s="275">
        <f t="shared" si="1"/>
        <v>11</v>
      </c>
      <c r="B24" s="174">
        <v>8560</v>
      </c>
      <c r="C24" s="17" t="s">
        <v>266</v>
      </c>
      <c r="D24" s="177">
        <v>62.850000000000023</v>
      </c>
      <c r="E24" s="177">
        <v>64.649999999999977</v>
      </c>
      <c r="F24" s="177">
        <v>59.569999999999993</v>
      </c>
      <c r="G24" s="177">
        <v>58.06</v>
      </c>
      <c r="H24" s="177">
        <v>52.56</v>
      </c>
      <c r="I24" s="177">
        <v>46.520000000000039</v>
      </c>
      <c r="J24" s="267">
        <v>58.180000000000007</v>
      </c>
      <c r="K24" s="267">
        <v>61.120000000000005</v>
      </c>
      <c r="L24" s="267">
        <v>59.410000000000025</v>
      </c>
      <c r="M24" s="267">
        <v>38.69</v>
      </c>
      <c r="N24" s="267">
        <v>721.90999999999985</v>
      </c>
      <c r="O24" s="267">
        <v>36.28000000000003</v>
      </c>
      <c r="P24" s="267">
        <v>37.69</v>
      </c>
      <c r="Q24" s="267">
        <v>37.25</v>
      </c>
      <c r="R24" s="17">
        <f t="shared" si="2"/>
        <v>1319.8</v>
      </c>
      <c r="S24" s="17"/>
      <c r="T24" s="17"/>
    </row>
    <row r="25" spans="1:20">
      <c r="A25" s="275">
        <f t="shared" si="1"/>
        <v>12</v>
      </c>
      <c r="B25" s="174">
        <v>8570</v>
      </c>
      <c r="C25" s="17" t="s">
        <v>267</v>
      </c>
      <c r="D25" s="177">
        <v>94.04</v>
      </c>
      <c r="E25" s="177">
        <v>96.74</v>
      </c>
      <c r="F25" s="177">
        <v>89.14</v>
      </c>
      <c r="G25" s="177">
        <v>86.87</v>
      </c>
      <c r="H25" s="177">
        <v>78.63</v>
      </c>
      <c r="I25" s="177">
        <v>83.19</v>
      </c>
      <c r="J25" s="267">
        <v>84.52</v>
      </c>
      <c r="K25" s="267">
        <v>88.43</v>
      </c>
      <c r="L25" s="267">
        <v>85.99</v>
      </c>
      <c r="M25" s="267">
        <v>85.98</v>
      </c>
      <c r="N25" s="267">
        <v>82.58</v>
      </c>
      <c r="O25" s="267">
        <v>80.62</v>
      </c>
      <c r="P25" s="267">
        <v>83.76</v>
      </c>
      <c r="Q25" s="267">
        <v>82.77</v>
      </c>
      <c r="R25" s="17">
        <f t="shared" si="2"/>
        <v>1036.73</v>
      </c>
      <c r="S25" s="17"/>
      <c r="T25" s="228"/>
    </row>
    <row r="26" spans="1:20">
      <c r="A26" s="275">
        <f t="shared" si="1"/>
        <v>13</v>
      </c>
      <c r="B26" s="174">
        <v>8650</v>
      </c>
      <c r="C26" s="229" t="s">
        <v>333</v>
      </c>
      <c r="D26" s="177">
        <v>0</v>
      </c>
      <c r="E26" s="177">
        <v>0</v>
      </c>
      <c r="F26" s="177">
        <v>0</v>
      </c>
      <c r="G26" s="177">
        <v>0</v>
      </c>
      <c r="H26" s="177">
        <v>0</v>
      </c>
      <c r="I26" s="177">
        <v>444.74</v>
      </c>
      <c r="J26" s="267">
        <v>240.34</v>
      </c>
      <c r="K26" s="267">
        <v>0</v>
      </c>
      <c r="L26" s="267">
        <v>0</v>
      </c>
      <c r="M26" s="267">
        <v>0</v>
      </c>
      <c r="N26" s="267">
        <v>0</v>
      </c>
      <c r="O26" s="267">
        <v>0</v>
      </c>
      <c r="P26" s="267"/>
      <c r="Q26" s="267"/>
      <c r="R26" s="17">
        <f t="shared" si="2"/>
        <v>685.08</v>
      </c>
      <c r="S26" s="17"/>
      <c r="T26" s="228"/>
    </row>
    <row r="27" spans="1:20">
      <c r="A27" s="275">
        <f t="shared" si="1"/>
        <v>14</v>
      </c>
      <c r="B27" s="174">
        <v>8700</v>
      </c>
      <c r="C27" s="17" t="s">
        <v>271</v>
      </c>
      <c r="D27" s="177">
        <v>293118.21000000002</v>
      </c>
      <c r="E27" s="177">
        <v>240515.67999999993</v>
      </c>
      <c r="F27" s="177">
        <v>223258.58999999997</v>
      </c>
      <c r="G27" s="177">
        <v>246464.21000000008</v>
      </c>
      <c r="H27" s="177">
        <v>254197.18999999994</v>
      </c>
      <c r="I27" s="177">
        <v>238115.81999999992</v>
      </c>
      <c r="J27" s="267">
        <v>293222.84999999992</v>
      </c>
      <c r="K27" s="267">
        <v>261948.6500000002</v>
      </c>
      <c r="L27" s="267">
        <v>327178.95999999996</v>
      </c>
      <c r="M27" s="267">
        <v>197298.87</v>
      </c>
      <c r="N27" s="267">
        <v>232447.21000000005</v>
      </c>
      <c r="O27" s="267">
        <v>231223.08999999997</v>
      </c>
      <c r="P27" s="267">
        <v>324600.64</v>
      </c>
      <c r="Q27" s="267">
        <v>263683.20000000007</v>
      </c>
      <c r="R27" s="17">
        <f t="shared" si="2"/>
        <v>3038989.3299999996</v>
      </c>
      <c r="S27" s="17"/>
      <c r="T27" s="228"/>
    </row>
    <row r="28" spans="1:20">
      <c r="A28" s="275">
        <f t="shared" si="1"/>
        <v>15</v>
      </c>
      <c r="B28" s="174">
        <v>8711</v>
      </c>
      <c r="C28" s="17" t="s">
        <v>273</v>
      </c>
      <c r="D28" s="177">
        <v>16631.21</v>
      </c>
      <c r="E28" s="177">
        <v>13456.7</v>
      </c>
      <c r="F28" s="177">
        <v>0</v>
      </c>
      <c r="G28" s="177">
        <v>2264.35</v>
      </c>
      <c r="H28" s="177">
        <v>0</v>
      </c>
      <c r="I28" s="177">
        <v>3084.98</v>
      </c>
      <c r="J28" s="267">
        <v>6054.12</v>
      </c>
      <c r="K28" s="267">
        <v>0</v>
      </c>
      <c r="L28" s="267">
        <v>0</v>
      </c>
      <c r="M28" s="267">
        <v>0</v>
      </c>
      <c r="N28" s="267">
        <v>0</v>
      </c>
      <c r="O28" s="267">
        <v>3037.72</v>
      </c>
      <c r="P28" s="267">
        <v>28033.65</v>
      </c>
      <c r="Q28" s="267">
        <v>0</v>
      </c>
      <c r="R28" s="17">
        <f t="shared" si="2"/>
        <v>44529.08</v>
      </c>
      <c r="S28" s="17"/>
      <c r="T28" s="228"/>
    </row>
    <row r="29" spans="1:20">
      <c r="A29" s="275">
        <f t="shared" si="1"/>
        <v>16</v>
      </c>
      <c r="B29" s="174">
        <v>8740</v>
      </c>
      <c r="C29" s="17" t="s">
        <v>275</v>
      </c>
      <c r="D29" s="177">
        <v>14446.550000000003</v>
      </c>
      <c r="E29" s="177">
        <v>8226.41</v>
      </c>
      <c r="F29" s="177">
        <v>6437.23</v>
      </c>
      <c r="G29" s="177">
        <v>7402.23</v>
      </c>
      <c r="H29" s="177">
        <v>10511.759999999997</v>
      </c>
      <c r="I29" s="177">
        <v>-11155.189999999999</v>
      </c>
      <c r="J29" s="267">
        <v>6959.159999999998</v>
      </c>
      <c r="K29" s="267">
        <v>7216.6799999999994</v>
      </c>
      <c r="L29" s="267">
        <v>1930.1600000000049</v>
      </c>
      <c r="M29" s="267">
        <v>6406.46</v>
      </c>
      <c r="N29" s="267">
        <v>7300.61</v>
      </c>
      <c r="O29" s="267">
        <v>9736.630000000001</v>
      </c>
      <c r="P29" s="267">
        <v>19862.180000000004</v>
      </c>
      <c r="Q29" s="267">
        <v>6994.8900000000012</v>
      </c>
      <c r="R29" s="17">
        <f t="shared" si="2"/>
        <v>75418.689999999988</v>
      </c>
      <c r="S29" s="17"/>
      <c r="T29" s="228"/>
    </row>
    <row r="30" spans="1:20">
      <c r="A30" s="275">
        <f t="shared" si="1"/>
        <v>17</v>
      </c>
      <c r="B30" s="174">
        <v>8750</v>
      </c>
      <c r="C30" s="17" t="s">
        <v>276</v>
      </c>
      <c r="D30" s="177">
        <v>12539.320000000002</v>
      </c>
      <c r="E30" s="177">
        <v>9849.65</v>
      </c>
      <c r="F30" s="177">
        <v>13718.970000000001</v>
      </c>
      <c r="G30" s="177">
        <v>18886.350000000002</v>
      </c>
      <c r="H30" s="177">
        <v>14789.86</v>
      </c>
      <c r="I30" s="177">
        <v>12619.23</v>
      </c>
      <c r="J30" s="267">
        <v>6629.41</v>
      </c>
      <c r="K30" s="267">
        <v>8372.33</v>
      </c>
      <c r="L30" s="267">
        <v>4799.91</v>
      </c>
      <c r="M30" s="267">
        <v>9200.11</v>
      </c>
      <c r="N30" s="267">
        <v>8217.61</v>
      </c>
      <c r="O30" s="267">
        <v>7276.36</v>
      </c>
      <c r="P30" s="267">
        <v>9014.6</v>
      </c>
      <c r="Q30" s="267">
        <v>12477.839999999998</v>
      </c>
      <c r="R30" s="17">
        <f t="shared" si="2"/>
        <v>126899.11000000002</v>
      </c>
      <c r="S30" s="17"/>
      <c r="T30" s="228"/>
    </row>
    <row r="31" spans="1:20">
      <c r="A31" s="275">
        <f t="shared" si="1"/>
        <v>18</v>
      </c>
      <c r="B31" s="174">
        <v>8760</v>
      </c>
      <c r="C31" s="154" t="s">
        <v>277</v>
      </c>
      <c r="D31" s="177">
        <f>0</f>
        <v>0</v>
      </c>
      <c r="E31" s="177">
        <f>0</f>
        <v>0</v>
      </c>
      <c r="F31" s="177">
        <f>0</f>
        <v>0</v>
      </c>
      <c r="G31" s="177">
        <f>0</f>
        <v>0</v>
      </c>
      <c r="H31" s="177">
        <f>0</f>
        <v>0</v>
      </c>
      <c r="I31" s="177">
        <f>0</f>
        <v>0</v>
      </c>
      <c r="J31" s="267">
        <v>2195.5500000000002</v>
      </c>
      <c r="K31" s="267">
        <v>-333.63</v>
      </c>
      <c r="L31" s="267">
        <v>2916.65</v>
      </c>
      <c r="M31" s="267">
        <v>3742.01</v>
      </c>
      <c r="N31" s="267">
        <v>8725.26</v>
      </c>
      <c r="O31" s="267">
        <v>707.3599999999999</v>
      </c>
      <c r="P31" s="267">
        <v>3351.49</v>
      </c>
      <c r="Q31" s="267">
        <v>7970.26</v>
      </c>
      <c r="R31" s="17">
        <f t="shared" si="2"/>
        <v>17953.2</v>
      </c>
      <c r="S31" s="17"/>
      <c r="T31" s="228"/>
    </row>
    <row r="32" spans="1:20">
      <c r="A32" s="275">
        <f t="shared" si="1"/>
        <v>19</v>
      </c>
      <c r="B32" s="174">
        <v>8770</v>
      </c>
      <c r="C32" s="17" t="s">
        <v>278</v>
      </c>
      <c r="D32" s="177">
        <v>240</v>
      </c>
      <c r="E32" s="177">
        <v>3984.12</v>
      </c>
      <c r="F32" s="177">
        <v>4153.6000000000004</v>
      </c>
      <c r="G32" s="177">
        <v>0</v>
      </c>
      <c r="H32" s="177">
        <v>2043.1</v>
      </c>
      <c r="I32" s="177">
        <v>0</v>
      </c>
      <c r="J32" s="267">
        <v>2252.89</v>
      </c>
      <c r="K32" s="267">
        <v>2269.4499999999998</v>
      </c>
      <c r="L32" s="267">
        <v>0</v>
      </c>
      <c r="M32" s="267">
        <v>0</v>
      </c>
      <c r="N32" s="267">
        <v>0</v>
      </c>
      <c r="O32" s="267">
        <v>0</v>
      </c>
      <c r="P32" s="267"/>
      <c r="Q32" s="267"/>
      <c r="R32" s="17">
        <f t="shared" si="2"/>
        <v>14943.16</v>
      </c>
      <c r="S32" s="17"/>
      <c r="T32" s="228"/>
    </row>
    <row r="33" spans="1:20">
      <c r="A33" s="275">
        <f t="shared" si="1"/>
        <v>20</v>
      </c>
      <c r="B33" s="174">
        <v>8780</v>
      </c>
      <c r="C33" s="17" t="s">
        <v>279</v>
      </c>
      <c r="D33" s="177"/>
      <c r="E33" s="177"/>
      <c r="F33" s="177"/>
      <c r="G33" s="177"/>
      <c r="H33" s="177"/>
      <c r="I33" s="177"/>
      <c r="J33" s="267"/>
      <c r="K33" s="267"/>
      <c r="L33" s="267"/>
      <c r="M33" s="267"/>
      <c r="N33" s="267"/>
      <c r="O33" s="267"/>
      <c r="P33" s="267"/>
      <c r="Q33" s="267">
        <v>141.44</v>
      </c>
      <c r="R33" s="17">
        <f t="shared" si="2"/>
        <v>0</v>
      </c>
      <c r="S33" s="17"/>
      <c r="T33" s="228"/>
    </row>
    <row r="34" spans="1:20">
      <c r="A34" s="275">
        <f t="shared" si="1"/>
        <v>21</v>
      </c>
      <c r="B34" s="174">
        <v>8800</v>
      </c>
      <c r="C34" s="17" t="s">
        <v>281</v>
      </c>
      <c r="D34" s="177">
        <f>0</f>
        <v>0</v>
      </c>
      <c r="E34" s="177">
        <f>0</f>
        <v>0</v>
      </c>
      <c r="F34" s="177">
        <f>0</f>
        <v>0</v>
      </c>
      <c r="G34" s="177">
        <f>0</f>
        <v>0</v>
      </c>
      <c r="H34" s="177">
        <f>0</f>
        <v>0</v>
      </c>
      <c r="I34" s="177">
        <f>0</f>
        <v>0</v>
      </c>
      <c r="J34" s="267">
        <v>0</v>
      </c>
      <c r="K34" s="267">
        <v>0</v>
      </c>
      <c r="L34" s="267">
        <v>0</v>
      </c>
      <c r="M34" s="267">
        <v>38.76</v>
      </c>
      <c r="N34" s="267">
        <v>0</v>
      </c>
      <c r="O34" s="267">
        <v>0</v>
      </c>
      <c r="P34" s="267">
        <v>392.88</v>
      </c>
      <c r="Q34" s="267">
        <v>4808.5499999999993</v>
      </c>
      <c r="R34" s="17">
        <f t="shared" si="2"/>
        <v>38.76</v>
      </c>
      <c r="S34" s="17"/>
      <c r="T34" s="228"/>
    </row>
    <row r="35" spans="1:20">
      <c r="A35" s="275">
        <f t="shared" si="1"/>
        <v>22</v>
      </c>
      <c r="B35" s="174">
        <v>8810</v>
      </c>
      <c r="C35" s="17" t="s">
        <v>282</v>
      </c>
      <c r="D35" s="177">
        <v>23863.19</v>
      </c>
      <c r="E35" s="177">
        <v>23776.409999999996</v>
      </c>
      <c r="F35" s="177">
        <v>23072.840000000004</v>
      </c>
      <c r="G35" s="177">
        <v>21788.320000000007</v>
      </c>
      <c r="H35" s="177">
        <v>23331.98</v>
      </c>
      <c r="I35" s="177">
        <v>23465.510000000002</v>
      </c>
      <c r="J35" s="267">
        <v>23562.359999999997</v>
      </c>
      <c r="K35" s="267">
        <v>26922.2</v>
      </c>
      <c r="L35" s="267">
        <v>26807.79</v>
      </c>
      <c r="M35" s="267">
        <v>26162.640000000003</v>
      </c>
      <c r="N35" s="267">
        <v>26359.490000000005</v>
      </c>
      <c r="O35" s="267">
        <v>26113.170000000002</v>
      </c>
      <c r="P35" s="267">
        <v>29596.16</v>
      </c>
      <c r="Q35" s="267">
        <v>27323.480000000007</v>
      </c>
      <c r="R35" s="17">
        <f t="shared" si="2"/>
        <v>295225.90000000002</v>
      </c>
      <c r="S35" s="17"/>
      <c r="T35" s="228"/>
    </row>
    <row r="36" spans="1:20">
      <c r="A36" s="275">
        <f t="shared" si="1"/>
        <v>23</v>
      </c>
      <c r="B36" s="174">
        <v>9010</v>
      </c>
      <c r="C36" s="154" t="s">
        <v>292</v>
      </c>
      <c r="D36" s="177">
        <v>1990.21</v>
      </c>
      <c r="E36" s="177">
        <v>2055.58</v>
      </c>
      <c r="F36" s="177">
        <v>3097.59</v>
      </c>
      <c r="G36" s="177">
        <v>2446.7799999999997</v>
      </c>
      <c r="H36" s="177">
        <v>2901.1800000000003</v>
      </c>
      <c r="I36" s="177">
        <v>2562.1</v>
      </c>
      <c r="J36" s="267">
        <v>1444.04</v>
      </c>
      <c r="K36" s="267">
        <v>876.73</v>
      </c>
      <c r="L36" s="267">
        <v>2376.9799999999996</v>
      </c>
      <c r="M36" s="267">
        <v>2654.98</v>
      </c>
      <c r="N36" s="267">
        <v>2680.72</v>
      </c>
      <c r="O36" s="267">
        <v>2258.36</v>
      </c>
      <c r="P36" s="267">
        <v>2443.48</v>
      </c>
      <c r="Q36" s="267">
        <v>318.71000000000015</v>
      </c>
      <c r="R36" s="17">
        <f t="shared" si="2"/>
        <v>27345.25</v>
      </c>
      <c r="S36" s="17"/>
      <c r="T36" s="228"/>
    </row>
    <row r="37" spans="1:20">
      <c r="A37" s="275">
        <f t="shared" si="1"/>
        <v>24</v>
      </c>
      <c r="B37" s="174">
        <v>9020</v>
      </c>
      <c r="C37" s="154" t="s">
        <v>293</v>
      </c>
      <c r="D37" s="177">
        <f>0</f>
        <v>0</v>
      </c>
      <c r="E37" s="177">
        <f>0</f>
        <v>0</v>
      </c>
      <c r="F37" s="177">
        <f>0</f>
        <v>0</v>
      </c>
      <c r="G37" s="177">
        <f>0</f>
        <v>0</v>
      </c>
      <c r="H37" s="177">
        <f>0</f>
        <v>0</v>
      </c>
      <c r="I37" s="177">
        <f>0</f>
        <v>0</v>
      </c>
      <c r="J37" s="267">
        <v>0</v>
      </c>
      <c r="K37" s="267">
        <v>0</v>
      </c>
      <c r="L37" s="267">
        <v>0</v>
      </c>
      <c r="M37" s="267">
        <v>0</v>
      </c>
      <c r="N37" s="267">
        <v>0</v>
      </c>
      <c r="O37" s="267">
        <v>0</v>
      </c>
      <c r="P37" s="267"/>
      <c r="Q37" s="267"/>
      <c r="R37" s="17">
        <f t="shared" si="2"/>
        <v>0</v>
      </c>
      <c r="S37" s="17"/>
      <c r="T37" s="228"/>
    </row>
    <row r="38" spans="1:20">
      <c r="A38" s="275">
        <f t="shared" si="1"/>
        <v>25</v>
      </c>
      <c r="B38" s="174">
        <v>9030</v>
      </c>
      <c r="C38" s="17" t="s">
        <v>294</v>
      </c>
      <c r="D38" s="177">
        <v>164974.76999999999</v>
      </c>
      <c r="E38" s="177">
        <v>161951</v>
      </c>
      <c r="F38" s="177">
        <v>176360.40000000002</v>
      </c>
      <c r="G38" s="177">
        <v>160299.22000000003</v>
      </c>
      <c r="H38" s="177">
        <v>168108.4</v>
      </c>
      <c r="I38" s="177">
        <v>148875.78999999998</v>
      </c>
      <c r="J38" s="267">
        <v>148098.79</v>
      </c>
      <c r="K38" s="267">
        <v>156044.68</v>
      </c>
      <c r="L38" s="267">
        <v>150073.71</v>
      </c>
      <c r="M38" s="267">
        <v>156436.59</v>
      </c>
      <c r="N38" s="267">
        <v>150444.5</v>
      </c>
      <c r="O38" s="267">
        <v>154076.17000000001</v>
      </c>
      <c r="P38" s="267">
        <v>180365.73</v>
      </c>
      <c r="Q38" s="267">
        <v>112032.07</v>
      </c>
      <c r="R38" s="17">
        <f t="shared" si="2"/>
        <v>1895744.02</v>
      </c>
      <c r="S38" s="17"/>
      <c r="T38" s="228"/>
    </row>
    <row r="39" spans="1:20">
      <c r="A39" s="275">
        <f t="shared" si="1"/>
        <v>26</v>
      </c>
      <c r="B39" s="174">
        <v>9090</v>
      </c>
      <c r="C39" s="17" t="s">
        <v>296</v>
      </c>
      <c r="D39" s="177"/>
      <c r="E39" s="177"/>
      <c r="F39" s="177"/>
      <c r="G39" s="177"/>
      <c r="H39" s="177"/>
      <c r="I39" s="177"/>
      <c r="J39" s="267">
        <v>0</v>
      </c>
      <c r="K39" s="267">
        <v>0</v>
      </c>
      <c r="L39" s="267">
        <v>0</v>
      </c>
      <c r="M39" s="267">
        <v>8027.83</v>
      </c>
      <c r="N39" s="267">
        <v>11449.44</v>
      </c>
      <c r="O39" s="267">
        <v>14458.670000000002</v>
      </c>
      <c r="P39" s="267">
        <v>17527.57</v>
      </c>
      <c r="Q39" s="267">
        <v>14635.41</v>
      </c>
      <c r="R39" s="17">
        <f t="shared" si="2"/>
        <v>33935.94</v>
      </c>
      <c r="S39" s="17"/>
      <c r="T39" s="228"/>
    </row>
    <row r="40" spans="1:20">
      <c r="A40" s="275">
        <f t="shared" si="1"/>
        <v>27</v>
      </c>
      <c r="B40" s="174">
        <v>9100</v>
      </c>
      <c r="C40" s="17" t="s">
        <v>297</v>
      </c>
      <c r="D40" s="177">
        <v>79.75</v>
      </c>
      <c r="E40" s="177">
        <v>0</v>
      </c>
      <c r="F40" s="177">
        <v>61.18</v>
      </c>
      <c r="G40" s="177">
        <v>0</v>
      </c>
      <c r="H40" s="177">
        <v>394.68</v>
      </c>
      <c r="I40" s="177">
        <v>61.46</v>
      </c>
      <c r="J40" s="267">
        <v>61.46</v>
      </c>
      <c r="K40" s="267">
        <v>115.24</v>
      </c>
      <c r="L40" s="267">
        <v>53.78</v>
      </c>
      <c r="M40" s="267">
        <v>52.52</v>
      </c>
      <c r="N40" s="267">
        <v>0</v>
      </c>
      <c r="O40" s="267">
        <v>90.19</v>
      </c>
      <c r="P40" s="267">
        <v>47.19</v>
      </c>
      <c r="Q40" s="267">
        <v>4.1900000000000004</v>
      </c>
      <c r="R40" s="17">
        <f t="shared" si="2"/>
        <v>970.26</v>
      </c>
      <c r="S40" s="17"/>
      <c r="T40" s="228"/>
    </row>
    <row r="41" spans="1:20">
      <c r="A41" s="275">
        <f t="shared" si="1"/>
        <v>28</v>
      </c>
      <c r="B41" s="174">
        <v>9110</v>
      </c>
      <c r="C41" s="17" t="s">
        <v>298</v>
      </c>
      <c r="D41" s="177">
        <v>14900.009999999998</v>
      </c>
      <c r="E41" s="177">
        <v>10718.38</v>
      </c>
      <c r="F41" s="177">
        <v>14997.630000000001</v>
      </c>
      <c r="G41" s="177">
        <v>32050.83</v>
      </c>
      <c r="H41" s="177">
        <v>10611.88</v>
      </c>
      <c r="I41" s="177">
        <v>11034.450000000003</v>
      </c>
      <c r="J41" s="267">
        <v>11759.560000000001</v>
      </c>
      <c r="K41" s="267">
        <v>11643.31</v>
      </c>
      <c r="L41" s="267">
        <v>15218.329999999998</v>
      </c>
      <c r="M41" s="267">
        <v>11908.26</v>
      </c>
      <c r="N41" s="267">
        <v>10429.669999999998</v>
      </c>
      <c r="O41" s="267">
        <v>7571.4</v>
      </c>
      <c r="P41" s="267">
        <v>9287.7799999999988</v>
      </c>
      <c r="Q41" s="267">
        <v>6884.96</v>
      </c>
      <c r="R41" s="17">
        <f t="shared" si="2"/>
        <v>162843.71</v>
      </c>
      <c r="S41" s="17"/>
      <c r="T41" s="228"/>
    </row>
    <row r="42" spans="1:20">
      <c r="A42" s="275">
        <f t="shared" si="1"/>
        <v>29</v>
      </c>
      <c r="B42" s="174">
        <v>9120</v>
      </c>
      <c r="C42" s="17" t="s">
        <v>299</v>
      </c>
      <c r="D42" s="177">
        <f>0</f>
        <v>0</v>
      </c>
      <c r="E42" s="177">
        <f>0</f>
        <v>0</v>
      </c>
      <c r="F42" s="177">
        <f>0</f>
        <v>0</v>
      </c>
      <c r="G42" s="177">
        <f>0</f>
        <v>0</v>
      </c>
      <c r="H42" s="177">
        <f>0</f>
        <v>0</v>
      </c>
      <c r="I42" s="177">
        <f>0</f>
        <v>0</v>
      </c>
      <c r="J42" s="267">
        <v>0</v>
      </c>
      <c r="K42" s="267">
        <v>0</v>
      </c>
      <c r="L42" s="267">
        <v>2638.03</v>
      </c>
      <c r="M42" s="267">
        <v>0</v>
      </c>
      <c r="N42" s="267">
        <v>0</v>
      </c>
      <c r="O42" s="267">
        <v>0</v>
      </c>
      <c r="P42" s="267"/>
      <c r="Q42" s="267"/>
      <c r="R42" s="17">
        <f t="shared" si="2"/>
        <v>2638.03</v>
      </c>
      <c r="S42" s="17"/>
      <c r="T42" s="228"/>
    </row>
    <row r="43" spans="1:20">
      <c r="A43" s="275">
        <f t="shared" si="1"/>
        <v>30</v>
      </c>
      <c r="B43" s="174">
        <v>9130</v>
      </c>
      <c r="C43" s="17" t="s">
        <v>300</v>
      </c>
      <c r="D43" s="177">
        <v>0</v>
      </c>
      <c r="E43" s="177">
        <v>0</v>
      </c>
      <c r="F43" s="177">
        <v>0</v>
      </c>
      <c r="G43" s="177">
        <v>0</v>
      </c>
      <c r="H43" s="177">
        <v>411.8</v>
      </c>
      <c r="I43" s="177">
        <v>126.84</v>
      </c>
      <c r="J43" s="267">
        <v>0</v>
      </c>
      <c r="K43" s="267">
        <v>3244.9</v>
      </c>
      <c r="L43" s="267">
        <v>3491.13</v>
      </c>
      <c r="M43" s="267">
        <v>0</v>
      </c>
      <c r="N43" s="267">
        <v>0</v>
      </c>
      <c r="O43" s="267">
        <v>0</v>
      </c>
      <c r="P43" s="267">
        <v>278.37</v>
      </c>
      <c r="Q43" s="267">
        <v>408.12</v>
      </c>
      <c r="R43" s="17">
        <f t="shared" si="2"/>
        <v>7274.67</v>
      </c>
      <c r="S43" s="17"/>
      <c r="T43" s="228"/>
    </row>
    <row r="44" spans="1:20">
      <c r="A44" s="275">
        <f t="shared" si="1"/>
        <v>31</v>
      </c>
      <c r="B44" s="174">
        <v>9200</v>
      </c>
      <c r="C44" s="17" t="s">
        <v>301</v>
      </c>
      <c r="D44" s="177">
        <v>-9381.69</v>
      </c>
      <c r="E44" s="177">
        <v>-31796</v>
      </c>
      <c r="F44" s="177">
        <v>-6412.89</v>
      </c>
      <c r="G44" s="177">
        <v>-14768.94</v>
      </c>
      <c r="H44" s="177">
        <v>-29538.82</v>
      </c>
      <c r="I44" s="177">
        <v>-14680.71</v>
      </c>
      <c r="J44" s="267">
        <v>-6032.05</v>
      </c>
      <c r="K44" s="267">
        <v>-24001.51</v>
      </c>
      <c r="L44" s="267">
        <v>8019.85</v>
      </c>
      <c r="M44" s="267">
        <v>-30266.29</v>
      </c>
      <c r="N44" s="267">
        <v>-5542.77</v>
      </c>
      <c r="O44" s="267">
        <v>-5481.54</v>
      </c>
      <c r="P44" s="267">
        <v>-4909.32</v>
      </c>
      <c r="Q44" s="267">
        <v>-49821.27</v>
      </c>
      <c r="R44" s="17">
        <f t="shared" si="2"/>
        <v>-169883.36</v>
      </c>
      <c r="S44" s="17"/>
      <c r="T44" s="228"/>
    </row>
    <row r="45" spans="1:20">
      <c r="A45" s="275">
        <f t="shared" si="1"/>
        <v>32</v>
      </c>
      <c r="B45" s="174">
        <v>9210</v>
      </c>
      <c r="C45" s="17" t="s">
        <v>302</v>
      </c>
      <c r="D45" s="177">
        <v>25.27</v>
      </c>
      <c r="E45" s="177">
        <v>280.61</v>
      </c>
      <c r="F45" s="177">
        <v>1997.2000000000003</v>
      </c>
      <c r="G45" s="177">
        <v>0</v>
      </c>
      <c r="H45" s="177">
        <v>0</v>
      </c>
      <c r="I45" s="177">
        <v>49.97</v>
      </c>
      <c r="J45" s="267">
        <v>0</v>
      </c>
      <c r="K45" s="267">
        <v>78000</v>
      </c>
      <c r="L45" s="267">
        <v>89.85</v>
      </c>
      <c r="M45" s="267">
        <v>633.73</v>
      </c>
      <c r="N45" s="267">
        <v>1506.41</v>
      </c>
      <c r="O45" s="267">
        <v>-139635.26999999999</v>
      </c>
      <c r="P45" s="267">
        <v>1166.8599999999999</v>
      </c>
      <c r="Q45" s="267">
        <v>1537.0900000000001</v>
      </c>
      <c r="R45" s="17">
        <f t="shared" si="2"/>
        <v>-57052.229999999981</v>
      </c>
      <c r="S45" s="17"/>
      <c r="T45" s="17"/>
    </row>
    <row r="46" spans="1:20">
      <c r="A46" s="275">
        <f t="shared" si="1"/>
        <v>33</v>
      </c>
      <c r="B46" s="174">
        <v>9220</v>
      </c>
      <c r="C46" s="17" t="s">
        <v>303</v>
      </c>
      <c r="D46" s="177">
        <v>-756389.59999999963</v>
      </c>
      <c r="E46" s="177">
        <v>-597520.22000000067</v>
      </c>
      <c r="F46" s="177">
        <v>-734178.82000000007</v>
      </c>
      <c r="G46" s="177">
        <v>-668457.68999999994</v>
      </c>
      <c r="H46" s="177">
        <v>-750311.7899999998</v>
      </c>
      <c r="I46" s="177">
        <v>-600333.47999999975</v>
      </c>
      <c r="J46" s="267">
        <v>-818967.87000000011</v>
      </c>
      <c r="K46" s="267">
        <v>-760952.8600000001</v>
      </c>
      <c r="L46" s="267">
        <v>-580322.85999999975</v>
      </c>
      <c r="M46" s="267">
        <v>-465274</v>
      </c>
      <c r="N46" s="267">
        <v>-531071.42000000039</v>
      </c>
      <c r="O46" s="267">
        <v>-392947.34</v>
      </c>
      <c r="P46" s="267">
        <v>-773192.42999999993</v>
      </c>
      <c r="Q46" s="267">
        <v>-566419.77000000025</v>
      </c>
      <c r="R46" s="17">
        <f t="shared" si="2"/>
        <v>-7656727.9499999993</v>
      </c>
      <c r="S46" s="158"/>
      <c r="T46" s="17"/>
    </row>
    <row r="47" spans="1:20">
      <c r="A47" s="275">
        <f t="shared" si="1"/>
        <v>34</v>
      </c>
      <c r="B47" s="174">
        <v>9230</v>
      </c>
      <c r="C47" s="17" t="s">
        <v>304</v>
      </c>
      <c r="D47" s="177">
        <v>1630</v>
      </c>
      <c r="E47" s="177">
        <v>1731.1899999999998</v>
      </c>
      <c r="F47" s="177">
        <v>13786.73</v>
      </c>
      <c r="G47" s="177">
        <v>7154.8099999999995</v>
      </c>
      <c r="H47" s="177">
        <v>8172.24</v>
      </c>
      <c r="I47" s="177">
        <v>22890.76</v>
      </c>
      <c r="J47" s="267">
        <v>37696.22</v>
      </c>
      <c r="K47" s="267">
        <v>54459.930000000008</v>
      </c>
      <c r="L47" s="267">
        <v>-32292.51</v>
      </c>
      <c r="M47" s="267">
        <v>527.26</v>
      </c>
      <c r="N47" s="267">
        <v>5230.71</v>
      </c>
      <c r="O47" s="267">
        <v>20251.96</v>
      </c>
      <c r="P47" s="267">
        <v>5090.2299999999996</v>
      </c>
      <c r="Q47" s="267">
        <v>35871.590000000004</v>
      </c>
      <c r="R47" s="17">
        <f t="shared" si="2"/>
        <v>141239.30000000002</v>
      </c>
      <c r="S47" s="17"/>
      <c r="T47" s="17"/>
    </row>
    <row r="48" spans="1:20">
      <c r="A48" s="275">
        <f t="shared" si="1"/>
        <v>35</v>
      </c>
      <c r="B48" s="174">
        <v>9240</v>
      </c>
      <c r="C48" s="17" t="s">
        <v>305</v>
      </c>
      <c r="D48" s="177">
        <v>-1027.6899999999998</v>
      </c>
      <c r="E48" s="177">
        <v>-1105.1799999999998</v>
      </c>
      <c r="F48" s="177">
        <v>-1217.1300000000001</v>
      </c>
      <c r="G48" s="177">
        <v>-1119.44</v>
      </c>
      <c r="H48" s="177">
        <v>-1065.8600000000001</v>
      </c>
      <c r="I48" s="177">
        <v>-1092.7600000000002</v>
      </c>
      <c r="J48" s="267">
        <v>-1086.1999999999998</v>
      </c>
      <c r="K48" s="267">
        <v>-1074.0300000000002</v>
      </c>
      <c r="L48" s="267">
        <v>-1112.92</v>
      </c>
      <c r="M48" s="267">
        <v>-1052.4000000000001</v>
      </c>
      <c r="N48" s="267">
        <v>-1001.66</v>
      </c>
      <c r="O48" s="267">
        <v>-1049.3699999999999</v>
      </c>
      <c r="P48" s="267">
        <v>-1140.44</v>
      </c>
      <c r="Q48" s="267">
        <v>-1153.3400000000001</v>
      </c>
      <c r="R48" s="17">
        <f t="shared" si="2"/>
        <v>-13004.64</v>
      </c>
      <c r="S48" s="17"/>
      <c r="T48" s="17"/>
    </row>
    <row r="49" spans="1:20">
      <c r="A49" s="275">
        <f t="shared" si="1"/>
        <v>36</v>
      </c>
      <c r="B49" s="174">
        <v>9250</v>
      </c>
      <c r="C49" s="17" t="s">
        <v>306</v>
      </c>
      <c r="D49" s="177">
        <v>19633.169999999998</v>
      </c>
      <c r="E49" s="177">
        <v>19705.46</v>
      </c>
      <c r="F49" s="177">
        <v>16366.97</v>
      </c>
      <c r="G49" s="177">
        <v>18873.91</v>
      </c>
      <c r="H49" s="177">
        <v>18864.690000000002</v>
      </c>
      <c r="I49" s="177">
        <v>18486.41</v>
      </c>
      <c r="J49" s="267">
        <v>-1021.2900000000009</v>
      </c>
      <c r="K49" s="267">
        <v>26371.09</v>
      </c>
      <c r="L49" s="267">
        <v>14473.919999999998</v>
      </c>
      <c r="M49" s="267">
        <v>29606.350000000002</v>
      </c>
      <c r="N49" s="267">
        <v>19910.48</v>
      </c>
      <c r="O49" s="267">
        <v>-27986.33</v>
      </c>
      <c r="P49" s="267">
        <v>17954.080000000002</v>
      </c>
      <c r="Q49" s="267">
        <v>17720.23</v>
      </c>
      <c r="R49" s="17">
        <f t="shared" si="2"/>
        <v>173284.83000000002</v>
      </c>
      <c r="S49" s="17"/>
      <c r="T49" s="17"/>
    </row>
    <row r="50" spans="1:20">
      <c r="A50" s="275">
        <f t="shared" si="1"/>
        <v>37</v>
      </c>
      <c r="B50" s="230">
        <v>9260</v>
      </c>
      <c r="C50" s="17" t="s">
        <v>307</v>
      </c>
      <c r="D50" s="177">
        <v>197785.25999999998</v>
      </c>
      <c r="E50" s="177">
        <v>132531.79000000004</v>
      </c>
      <c r="F50" s="177">
        <v>241000.5</v>
      </c>
      <c r="G50" s="177">
        <v>163110.41</v>
      </c>
      <c r="H50" s="177">
        <v>257903.08999999997</v>
      </c>
      <c r="I50" s="177">
        <v>143957.49</v>
      </c>
      <c r="J50" s="267">
        <v>284945.39000000019</v>
      </c>
      <c r="K50" s="267">
        <v>142699.25999999989</v>
      </c>
      <c r="L50" s="267">
        <v>50809.34</v>
      </c>
      <c r="M50" s="267">
        <v>40166.669999999744</v>
      </c>
      <c r="N50" s="267">
        <v>45976.909999999989</v>
      </c>
      <c r="O50" s="267">
        <v>87956.650000000111</v>
      </c>
      <c r="P50" s="267">
        <v>126426.04000000018</v>
      </c>
      <c r="Q50" s="267">
        <v>101699.07000000008</v>
      </c>
      <c r="R50" s="17">
        <f t="shared" si="2"/>
        <v>1788842.7599999998</v>
      </c>
      <c r="S50" s="17"/>
      <c r="T50" s="17"/>
    </row>
    <row r="51" spans="1:20">
      <c r="A51" s="275">
        <f t="shared" si="1"/>
        <v>38</v>
      </c>
      <c r="B51" s="230">
        <v>9269</v>
      </c>
      <c r="C51" s="17" t="s">
        <v>365</v>
      </c>
      <c r="D51" s="177"/>
      <c r="E51" s="177"/>
      <c r="F51" s="177"/>
      <c r="G51" s="177"/>
      <c r="H51" s="177"/>
      <c r="I51" s="177"/>
      <c r="J51" s="267">
        <v>0</v>
      </c>
      <c r="K51" s="267">
        <v>0</v>
      </c>
      <c r="L51" s="267">
        <v>0</v>
      </c>
      <c r="M51" s="267">
        <v>0</v>
      </c>
      <c r="N51" s="267">
        <v>0</v>
      </c>
      <c r="O51" s="267">
        <v>0</v>
      </c>
      <c r="P51" s="267"/>
      <c r="Q51" s="267"/>
      <c r="R51" s="17">
        <f t="shared" si="2"/>
        <v>0</v>
      </c>
      <c r="S51" s="17"/>
      <c r="T51" s="17"/>
    </row>
    <row r="52" spans="1:20">
      <c r="A52" s="275">
        <f t="shared" si="1"/>
        <v>39</v>
      </c>
      <c r="B52" s="230">
        <v>9280</v>
      </c>
      <c r="C52" s="154" t="s">
        <v>309</v>
      </c>
      <c r="D52" s="177">
        <v>441.4</v>
      </c>
      <c r="E52" s="177">
        <v>0</v>
      </c>
      <c r="F52" s="177">
        <v>0</v>
      </c>
      <c r="G52" s="177">
        <v>0</v>
      </c>
      <c r="H52" s="177">
        <v>0</v>
      </c>
      <c r="I52" s="177">
        <v>0</v>
      </c>
      <c r="J52" s="267">
        <v>0</v>
      </c>
      <c r="K52" s="273"/>
      <c r="L52" s="273"/>
      <c r="M52" s="273"/>
      <c r="N52" s="273"/>
      <c r="O52" s="267">
        <v>0</v>
      </c>
      <c r="P52" s="267"/>
      <c r="Q52" s="267"/>
      <c r="R52" s="17">
        <f t="shared" si="2"/>
        <v>441.4</v>
      </c>
      <c r="S52" s="17"/>
      <c r="T52" s="17"/>
    </row>
    <row r="53" spans="1:20">
      <c r="A53" s="275">
        <f t="shared" si="1"/>
        <v>40</v>
      </c>
      <c r="B53" s="174">
        <v>9302</v>
      </c>
      <c r="C53" s="17" t="s">
        <v>310</v>
      </c>
      <c r="D53" s="177">
        <v>0</v>
      </c>
      <c r="E53" s="177">
        <v>0</v>
      </c>
      <c r="F53" s="177">
        <v>0</v>
      </c>
      <c r="G53" s="177">
        <v>0</v>
      </c>
      <c r="H53" s="177">
        <v>7500</v>
      </c>
      <c r="I53" s="177">
        <v>0</v>
      </c>
      <c r="J53" s="267"/>
      <c r="K53" s="267">
        <v>3337</v>
      </c>
      <c r="L53" s="267">
        <v>1331.1299999999999</v>
      </c>
      <c r="M53" s="267">
        <v>0</v>
      </c>
      <c r="N53" s="267">
        <v>5000</v>
      </c>
      <c r="O53" s="267"/>
      <c r="P53" s="267"/>
      <c r="Q53" s="267"/>
      <c r="R53" s="17">
        <f t="shared" si="2"/>
        <v>17168.129999999997</v>
      </c>
      <c r="S53" s="17"/>
      <c r="T53" s="17"/>
    </row>
    <row r="54" spans="1:20">
      <c r="A54" s="275">
        <f t="shared" si="1"/>
        <v>41</v>
      </c>
      <c r="B54" s="174">
        <v>9310</v>
      </c>
      <c r="C54" s="17" t="s">
        <v>200</v>
      </c>
      <c r="D54" s="177">
        <f>0</f>
        <v>0</v>
      </c>
      <c r="E54" s="177">
        <f>0</f>
        <v>0</v>
      </c>
      <c r="F54" s="177">
        <f>0</f>
        <v>0</v>
      </c>
      <c r="G54" s="177">
        <f>0</f>
        <v>0</v>
      </c>
      <c r="H54" s="177">
        <f>0</f>
        <v>0</v>
      </c>
      <c r="I54" s="177">
        <f>0</f>
        <v>0</v>
      </c>
      <c r="J54" s="267"/>
      <c r="K54" s="267"/>
      <c r="L54" s="267"/>
      <c r="M54" s="267"/>
      <c r="N54" s="267">
        <v>0</v>
      </c>
      <c r="O54" s="267">
        <v>0</v>
      </c>
      <c r="P54" s="267"/>
      <c r="Q54" s="267"/>
      <c r="R54" s="17">
        <f t="shared" si="2"/>
        <v>0</v>
      </c>
      <c r="S54" s="17"/>
      <c r="T54" s="17"/>
    </row>
    <row r="55" spans="1:20">
      <c r="A55" s="275">
        <f t="shared" si="1"/>
        <v>42</v>
      </c>
      <c r="B55" s="17"/>
      <c r="C55" s="213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7"/>
      <c r="P55" s="17"/>
      <c r="Q55" s="17"/>
      <c r="R55" s="17"/>
      <c r="S55" s="17"/>
      <c r="T55" s="17"/>
    </row>
    <row r="56" spans="1:20" ht="15.75" thickBot="1">
      <c r="A56" s="275">
        <f t="shared" si="1"/>
        <v>43</v>
      </c>
      <c r="B56" s="17" t="s">
        <v>312</v>
      </c>
      <c r="C56" s="213"/>
      <c r="D56" s="214">
        <f t="shared" ref="D56:Q56" si="3">SUM(D14:D55)</f>
        <v>5.2966697694500908E-10</v>
      </c>
      <c r="E56" s="214">
        <f t="shared" si="3"/>
        <v>9.9999992235098034E-3</v>
      </c>
      <c r="F56" s="214">
        <f t="shared" si="3"/>
        <v>0</v>
      </c>
      <c r="G56" s="214">
        <f t="shared" si="3"/>
        <v>2.3283064365386963E-10</v>
      </c>
      <c r="H56" s="214">
        <f t="shared" si="3"/>
        <v>2.0000000018626451E-2</v>
      </c>
      <c r="I56" s="214">
        <f t="shared" si="3"/>
        <v>113941.51999999986</v>
      </c>
      <c r="J56" s="214">
        <f t="shared" si="3"/>
        <v>-5.8207660913467407E-11</v>
      </c>
      <c r="K56" s="214">
        <f t="shared" si="3"/>
        <v>0</v>
      </c>
      <c r="L56" s="214">
        <f t="shared" si="3"/>
        <v>-9.9999998540170054E-3</v>
      </c>
      <c r="M56" s="214">
        <f t="shared" si="3"/>
        <v>1.9999999822175596E-2</v>
      </c>
      <c r="N56" s="214">
        <f t="shared" si="3"/>
        <v>-3.0559021979570389E-10</v>
      </c>
      <c r="O56" s="214">
        <f t="shared" si="3"/>
        <v>2.0000000149593689E-2</v>
      </c>
      <c r="P56" s="214">
        <f t="shared" si="3"/>
        <v>2.0000000178697519E-2</v>
      </c>
      <c r="Q56" s="214">
        <f t="shared" si="3"/>
        <v>-1.0000000038417056E-2</v>
      </c>
      <c r="R56" s="214">
        <f>SUM(R12:R55)</f>
        <v>-2002430.990000003</v>
      </c>
      <c r="S56" s="17"/>
      <c r="T56" s="17"/>
    </row>
    <row r="57" spans="1:20" ht="15.75" thickTop="1">
      <c r="A57" s="275">
        <f t="shared" si="1"/>
        <v>44</v>
      </c>
      <c r="B57" s="17"/>
      <c r="C57" s="21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>
      <c r="A58" s="275">
        <f t="shared" si="1"/>
        <v>45</v>
      </c>
      <c r="B58" s="174">
        <f>B46</f>
        <v>9220</v>
      </c>
      <c r="C58" s="33" t="str">
        <f>C46</f>
        <v>A&amp;G-Administrative expense transferred-Credit</v>
      </c>
      <c r="D58" s="215">
        <f>D46</f>
        <v>-756389.59999999963</v>
      </c>
      <c r="E58" s="215">
        <f t="shared" ref="E58:H58" si="4">-(E56-E46)</f>
        <v>-597520.22999999986</v>
      </c>
      <c r="F58" s="215">
        <f t="shared" si="4"/>
        <v>-734178.82000000007</v>
      </c>
      <c r="G58" s="215">
        <f t="shared" si="4"/>
        <v>-668457.69000000018</v>
      </c>
      <c r="H58" s="215">
        <f t="shared" si="4"/>
        <v>-750311.80999999982</v>
      </c>
      <c r="I58" s="215">
        <f>I46</f>
        <v>-600333.47999999975</v>
      </c>
      <c r="J58" s="215">
        <f t="shared" ref="J58:M58" si="5">J46</f>
        <v>-818967.87000000011</v>
      </c>
      <c r="K58" s="215">
        <f t="shared" si="5"/>
        <v>-760952.8600000001</v>
      </c>
      <c r="L58" s="215">
        <f t="shared" si="5"/>
        <v>-580322.85999999975</v>
      </c>
      <c r="M58" s="215">
        <f t="shared" si="5"/>
        <v>-465274</v>
      </c>
      <c r="N58" s="215">
        <f t="shared" ref="N58:Q58" si="6">N46</f>
        <v>-531071.42000000039</v>
      </c>
      <c r="O58" s="215">
        <f t="shared" si="6"/>
        <v>-392947.34</v>
      </c>
      <c r="P58" s="215">
        <f t="shared" si="6"/>
        <v>-773192.42999999993</v>
      </c>
      <c r="Q58" s="215">
        <f t="shared" si="6"/>
        <v>-566419.77000000025</v>
      </c>
      <c r="R58" s="17">
        <f t="shared" ref="R58" si="7">SUM(D58:O58)</f>
        <v>-7656727.9799999986</v>
      </c>
      <c r="S58" s="215"/>
      <c r="T58" s="17"/>
    </row>
    <row r="59" spans="1:20">
      <c r="A59" s="275">
        <f t="shared" si="1"/>
        <v>46</v>
      </c>
      <c r="B59" s="17"/>
      <c r="C59" s="216" t="s">
        <v>323</v>
      </c>
      <c r="D59" s="217">
        <f>D60/D58</f>
        <v>0.49779999619243864</v>
      </c>
      <c r="E59" s="217">
        <f t="shared" ref="E59:I59" si="8">E60/E58</f>
        <v>0.49779999917324985</v>
      </c>
      <c r="F59" s="217">
        <f t="shared" si="8"/>
        <v>0.49780000463647256</v>
      </c>
      <c r="G59" s="217">
        <f t="shared" si="8"/>
        <v>0.49780000286929138</v>
      </c>
      <c r="H59" s="217">
        <f t="shared" si="8"/>
        <v>0.49779998798099701</v>
      </c>
      <c r="I59" s="217">
        <f t="shared" si="8"/>
        <v>0.49780002274735724</v>
      </c>
      <c r="J59" s="217">
        <f t="shared" ref="J59:Q59" si="9">J60/J58</f>
        <v>0.49780000526760587</v>
      </c>
      <c r="K59" s="217">
        <f t="shared" si="9"/>
        <v>0.49780000826858051</v>
      </c>
      <c r="L59" s="217">
        <f t="shared" si="9"/>
        <v>0.49780000050316836</v>
      </c>
      <c r="M59" s="217">
        <f t="shared" si="9"/>
        <v>0.50494717091434294</v>
      </c>
      <c r="N59" s="217">
        <f t="shared" si="9"/>
        <v>0.50548344326267791</v>
      </c>
      <c r="O59" s="217">
        <f t="shared" si="9"/>
        <v>0.50391899840828547</v>
      </c>
      <c r="P59" s="217">
        <f t="shared" si="9"/>
        <v>0.59575041364541048</v>
      </c>
      <c r="Q59" s="217">
        <f t="shared" si="9"/>
        <v>0.60276932071068046</v>
      </c>
      <c r="R59" s="217">
        <f t="shared" ref="R59" si="10">R60/R58</f>
        <v>0.49908126682593734</v>
      </c>
      <c r="S59" s="17"/>
      <c r="T59" s="17"/>
    </row>
    <row r="60" spans="1:20">
      <c r="A60" s="275">
        <f t="shared" si="1"/>
        <v>47</v>
      </c>
      <c r="B60" s="17"/>
      <c r="C60" s="17" t="s">
        <v>324</v>
      </c>
      <c r="D60" s="17">
        <v>-376530.74</v>
      </c>
      <c r="E60" s="17">
        <v>-297445.57</v>
      </c>
      <c r="F60" s="17">
        <v>-365474.22</v>
      </c>
      <c r="G60" s="17">
        <v>-332758.24</v>
      </c>
      <c r="H60" s="17">
        <v>-373505.21</v>
      </c>
      <c r="I60" s="17">
        <v>-298846.02</v>
      </c>
      <c r="J60" s="17">
        <v>-407682.21</v>
      </c>
      <c r="K60" s="17">
        <v>-378802.34</v>
      </c>
      <c r="L60" s="17">
        <v>-288884.71999999997</v>
      </c>
      <c r="M60" s="17">
        <v>-234938.78999999998</v>
      </c>
      <c r="N60" s="17">
        <v>-268447.81</v>
      </c>
      <c r="O60" s="17">
        <v>-198013.63</v>
      </c>
      <c r="P60" s="17">
        <v>-460629.71</v>
      </c>
      <c r="Q60" s="17">
        <v>-341420.46</v>
      </c>
      <c r="R60" s="17">
        <f>SUM(D60:O60)</f>
        <v>-3821329.4999999995</v>
      </c>
      <c r="S60" s="17"/>
      <c r="T60" s="17"/>
    </row>
    <row r="61" spans="1:20">
      <c r="A61" s="17"/>
      <c r="B61" s="17"/>
      <c r="C61" s="213"/>
      <c r="D61" s="231"/>
      <c r="E61" s="231"/>
      <c r="F61" s="231"/>
      <c r="G61" s="231"/>
      <c r="H61" s="231"/>
      <c r="I61" s="231"/>
      <c r="J61" s="153"/>
      <c r="K61" s="153"/>
      <c r="L61" s="153"/>
      <c r="M61" s="153"/>
      <c r="N61" s="153"/>
      <c r="O61" s="153"/>
      <c r="P61" s="153"/>
      <c r="Q61" s="153"/>
      <c r="R61" s="153"/>
      <c r="S61" s="17"/>
      <c r="T61" s="17"/>
    </row>
    <row r="62" spans="1:20">
      <c r="A62" s="17"/>
      <c r="B62" s="17"/>
      <c r="C62" s="213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53"/>
      <c r="O62" s="153"/>
      <c r="P62" s="153"/>
      <c r="Q62" s="153"/>
      <c r="R62" s="17"/>
      <c r="S62" s="17"/>
      <c r="T62" s="17"/>
    </row>
    <row r="63" spans="1:20">
      <c r="A63" s="17"/>
      <c r="B63" s="17" t="s">
        <v>325</v>
      </c>
      <c r="C63" s="213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53"/>
      <c r="O63" s="153"/>
      <c r="P63" s="153"/>
      <c r="Q63" s="153"/>
      <c r="R63" s="17"/>
      <c r="S63" s="17"/>
      <c r="T63" s="17"/>
    </row>
    <row r="64" spans="1:20">
      <c r="A64" s="17"/>
      <c r="B64" s="17"/>
      <c r="C64" s="21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53"/>
      <c r="O64" s="153"/>
      <c r="P64" s="153"/>
      <c r="Q64" s="153"/>
      <c r="R64" s="17"/>
      <c r="S64" s="17"/>
      <c r="T64" s="17"/>
    </row>
    <row r="65" spans="1:20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S65" s="17"/>
      <c r="T65" s="17"/>
    </row>
    <row r="66" spans="1:20">
      <c r="A66" s="17"/>
      <c r="B66" s="17" t="s">
        <v>315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>
      <c r="A67" s="17"/>
      <c r="B67" s="17" t="s">
        <v>334</v>
      </c>
      <c r="C67" s="17"/>
      <c r="D67" s="17">
        <f>D46</f>
        <v>-756389.59999999963</v>
      </c>
      <c r="E67" s="17">
        <f t="shared" ref="E67:O67" si="11">E46</f>
        <v>-597520.22000000067</v>
      </c>
      <c r="F67" s="17">
        <f t="shared" si="11"/>
        <v>-734178.82000000007</v>
      </c>
      <c r="G67" s="17">
        <f t="shared" si="11"/>
        <v>-668457.68999999994</v>
      </c>
      <c r="H67" s="17">
        <f t="shared" si="11"/>
        <v>-750311.7899999998</v>
      </c>
      <c r="I67" s="17">
        <f t="shared" si="11"/>
        <v>-600333.47999999975</v>
      </c>
      <c r="J67" s="17">
        <f t="shared" si="11"/>
        <v>-818967.87000000011</v>
      </c>
      <c r="K67" s="17">
        <f t="shared" si="11"/>
        <v>-760952.8600000001</v>
      </c>
      <c r="L67" s="17">
        <f t="shared" si="11"/>
        <v>-580322.85999999975</v>
      </c>
      <c r="M67" s="17">
        <f t="shared" si="11"/>
        <v>-465274</v>
      </c>
      <c r="N67" s="17">
        <f t="shared" si="11"/>
        <v>-531071.42000000039</v>
      </c>
      <c r="O67" s="17">
        <f t="shared" si="11"/>
        <v>-392947.34</v>
      </c>
      <c r="P67" s="17"/>
      <c r="Q67" s="17"/>
      <c r="R67" s="175"/>
      <c r="S67" s="218"/>
      <c r="T67" s="17"/>
    </row>
    <row r="68" spans="1:20">
      <c r="A68" s="17"/>
      <c r="B68" s="17" t="s">
        <v>317</v>
      </c>
      <c r="C68" s="17"/>
      <c r="D68" s="17">
        <v>756389.5900000002</v>
      </c>
      <c r="E68" s="17">
        <v>597520.23</v>
      </c>
      <c r="F68" s="17">
        <v>734178.83000000007</v>
      </c>
      <c r="G68" s="17">
        <v>668457.69000000006</v>
      </c>
      <c r="H68" s="17">
        <v>750311.78999999992</v>
      </c>
      <c r="I68" s="17">
        <v>600333.5</v>
      </c>
      <c r="J68" s="17">
        <v>1001650.9100000001</v>
      </c>
      <c r="K68" s="17">
        <v>857469.37999999989</v>
      </c>
      <c r="L68" s="17">
        <v>934151.82999999984</v>
      </c>
      <c r="M68" s="17">
        <v>895867.54649999994</v>
      </c>
      <c r="N68" s="17">
        <v>971965.96309999982</v>
      </c>
      <c r="O68" s="17">
        <v>944579.75680000009</v>
      </c>
      <c r="P68" s="17"/>
      <c r="Q68" s="17"/>
      <c r="R68" s="17"/>
      <c r="S68" s="17"/>
      <c r="T68" s="17"/>
    </row>
    <row r="69" spans="1:20">
      <c r="A69" s="17"/>
      <c r="B69" s="17"/>
      <c r="C69" s="17"/>
      <c r="D69" s="17">
        <f>D67+D68</f>
        <v>-9.9999994272366166E-3</v>
      </c>
      <c r="E69" s="17">
        <f t="shared" ref="E69:O69" si="12">E67+E68</f>
        <v>9.9999993108212948E-3</v>
      </c>
      <c r="F69" s="17">
        <f t="shared" si="12"/>
        <v>1.0000000009313226E-2</v>
      </c>
      <c r="G69" s="17">
        <f t="shared" si="12"/>
        <v>0</v>
      </c>
      <c r="H69" s="17">
        <f t="shared" si="12"/>
        <v>0</v>
      </c>
      <c r="I69" s="17">
        <f t="shared" si="12"/>
        <v>2.0000000251457095E-2</v>
      </c>
      <c r="J69" s="17">
        <f t="shared" si="12"/>
        <v>182683.04000000004</v>
      </c>
      <c r="K69" s="17">
        <f t="shared" si="12"/>
        <v>96516.519999999786</v>
      </c>
      <c r="L69" s="17">
        <f t="shared" si="12"/>
        <v>353828.97000000009</v>
      </c>
      <c r="M69" s="17">
        <f t="shared" si="12"/>
        <v>430593.54649999994</v>
      </c>
      <c r="N69" s="17">
        <f t="shared" si="12"/>
        <v>440894.54309999943</v>
      </c>
      <c r="O69" s="17">
        <f t="shared" si="12"/>
        <v>551632.41680000001</v>
      </c>
      <c r="P69" s="17"/>
      <c r="Q69" s="17"/>
      <c r="R69" s="17"/>
      <c r="S69" s="17"/>
      <c r="T69" s="17"/>
    </row>
    <row r="70" spans="1:20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57"/>
      <c r="P70" s="157"/>
      <c r="Q70" s="157"/>
      <c r="R70" s="17"/>
      <c r="S70" s="17"/>
      <c r="T70" s="17"/>
    </row>
    <row r="71" spans="1:20">
      <c r="A71" s="17"/>
      <c r="B71" s="17"/>
      <c r="C71" s="15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57"/>
      <c r="P71" s="157"/>
      <c r="Q71" s="157"/>
      <c r="R71" s="17"/>
      <c r="S71" s="158"/>
      <c r="T71" s="17"/>
    </row>
    <row r="72" spans="1:20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57"/>
      <c r="P72" s="157"/>
      <c r="Q72" s="157"/>
      <c r="R72" s="17"/>
      <c r="S72" s="17"/>
      <c r="T72" s="17"/>
    </row>
    <row r="73" spans="1:20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57"/>
      <c r="P73" s="157"/>
      <c r="Q73" s="157"/>
      <c r="R73" s="17"/>
      <c r="S73" s="17"/>
      <c r="T73" s="17"/>
    </row>
    <row r="74" spans="1:20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57"/>
      <c r="P74" s="157"/>
      <c r="Q74" s="157"/>
      <c r="R74" s="17"/>
      <c r="S74" s="17"/>
      <c r="T74" s="17"/>
    </row>
    <row r="75" spans="1:20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8" spans="1:20">
      <c r="C78" s="158"/>
    </row>
  </sheetData>
  <mergeCells count="4">
    <mergeCell ref="A1:R1"/>
    <mergeCell ref="A2:R2"/>
    <mergeCell ref="A3:R3"/>
    <mergeCell ref="A4:R4"/>
  </mergeCells>
  <printOptions horizontalCentered="1"/>
  <pageMargins left="0.5" right="0.5" top="0.75" bottom="0.59" header="0.25" footer="0.25"/>
  <pageSetup scale="48" fitToHeight="2" orientation="landscape" verticalDpi="300" r:id="rId1"/>
  <headerFooter alignWithMargins="0">
    <oddHeader>&amp;RCASE NO. 2018-00281
ATTACHMENT 1
TO STAFF DR NO. 1-46
(SUPPLEMENT 03-29-19)</oddHeader>
    <oddFooter>&amp;RSchedule &amp;A
Page &amp;P of &amp;N</oddFooter>
  </headerFooter>
  <rowBreaks count="1" manualBreakCount="1">
    <brk id="64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3"/>
  <sheetViews>
    <sheetView view="pageBreakPreview" zoomScale="80" zoomScaleNormal="70" zoomScaleSheetLayoutView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09375" defaultRowHeight="15"/>
  <cols>
    <col min="1" max="1" width="4.6640625" style="154" customWidth="1"/>
    <col min="2" max="2" width="7.21875" style="154" customWidth="1"/>
    <col min="3" max="3" width="54.21875" style="154" customWidth="1"/>
    <col min="4" max="4" width="13.109375" style="154" bestFit="1" customWidth="1"/>
    <col min="5" max="6" width="11.109375" style="154" customWidth="1"/>
    <col min="7" max="8" width="13.109375" style="154" bestFit="1" customWidth="1"/>
    <col min="9" max="9" width="11.109375" style="154" customWidth="1"/>
    <col min="10" max="10" width="10.88671875" style="154" customWidth="1"/>
    <col min="11" max="14" width="13.109375" style="154" bestFit="1" customWidth="1"/>
    <col min="15" max="17" width="12.44140625" style="154" customWidth="1"/>
    <col min="18" max="18" width="12.44140625" style="154" bestFit="1" customWidth="1"/>
    <col min="19" max="19" width="12.44140625" style="154" customWidth="1"/>
    <col min="20" max="20" width="12.5546875" style="154" customWidth="1"/>
    <col min="21" max="21" width="11.33203125" style="154" bestFit="1" customWidth="1"/>
    <col min="22" max="16384" width="7.109375" style="154"/>
  </cols>
  <sheetData>
    <row r="1" spans="1:19">
      <c r="A1" s="279" t="s">
        <v>360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17"/>
    </row>
    <row r="2" spans="1:19">
      <c r="A2" s="279" t="s">
        <v>361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17"/>
    </row>
    <row r="3" spans="1:19" ht="15.75">
      <c r="A3" s="279" t="s">
        <v>329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17"/>
    </row>
    <row r="4" spans="1:19">
      <c r="A4" s="279" t="s">
        <v>363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17"/>
    </row>
    <row r="5" spans="1:19">
      <c r="A5" s="17"/>
      <c r="B5" s="201"/>
      <c r="C5" s="201"/>
      <c r="D5" s="201"/>
      <c r="E5" s="201"/>
      <c r="F5" s="201"/>
      <c r="G5" s="202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17"/>
      <c r="S5" s="17"/>
    </row>
    <row r="6" spans="1:19" ht="15.75">
      <c r="A6" s="156" t="str">
        <f>'C.2.2 B 09'!A6</f>
        <v>Data:___X____Base Period________Forecasted Period</v>
      </c>
      <c r="B6" s="17"/>
      <c r="C6" s="156"/>
      <c r="D6" s="20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57" t="s">
        <v>214</v>
      </c>
      <c r="S6" s="17"/>
    </row>
    <row r="7" spans="1:19">
      <c r="A7" s="156" t="str">
        <f>'C.2.2 B 09'!A7</f>
        <v>Type of Filing:___X____Original________Updated ________Revised</v>
      </c>
      <c r="B7" s="17"/>
      <c r="C7" s="15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59" t="s">
        <v>215</v>
      </c>
      <c r="S7" s="17"/>
    </row>
    <row r="8" spans="1:19">
      <c r="A8" s="160" t="str">
        <f>'C.2.2 B 09'!A8</f>
        <v>Workpaper Reference No(s).____________________</v>
      </c>
      <c r="B8" s="161"/>
      <c r="C8" s="205"/>
      <c r="D8" s="162"/>
      <c r="E8" s="162"/>
      <c r="F8" s="162"/>
      <c r="G8" s="162"/>
      <c r="H8" s="162"/>
      <c r="I8" s="162"/>
      <c r="J8" s="162"/>
      <c r="K8" s="162"/>
      <c r="L8" s="162"/>
      <c r="M8" s="161"/>
      <c r="N8" s="161"/>
      <c r="O8" s="161"/>
      <c r="P8" s="153"/>
      <c r="Q8" s="153"/>
      <c r="R8" s="163" t="str">
        <f>'C.1'!J9</f>
        <v>Witness: Waller, Densman</v>
      </c>
      <c r="S8" s="17"/>
    </row>
    <row r="9" spans="1:19">
      <c r="A9" s="164" t="s">
        <v>9</v>
      </c>
      <c r="B9" s="165" t="s">
        <v>216</v>
      </c>
      <c r="C9" s="166"/>
      <c r="D9" s="206" t="str">
        <f>'C.2.2 B 09'!D9</f>
        <v>actual</v>
      </c>
      <c r="E9" s="206" t="str">
        <f>'C.2.2 B 09'!F9</f>
        <v>actual</v>
      </c>
      <c r="F9" s="206" t="str">
        <f>'C.2.2 B 09'!F9</f>
        <v>actual</v>
      </c>
      <c r="G9" s="206" t="str">
        <f>'C.2.2 B 09'!G9</f>
        <v>actual</v>
      </c>
      <c r="H9" s="206" t="str">
        <f>'C.2.2 B 09'!H9</f>
        <v>actual</v>
      </c>
      <c r="I9" s="206" t="str">
        <f>'C.2.2 B 09'!I9</f>
        <v>actual</v>
      </c>
      <c r="J9" s="206" t="str">
        <f>'C.2.2 B 09'!J9</f>
        <v>actual</v>
      </c>
      <c r="K9" s="206" t="str">
        <f>'C.2.2 B 09'!K9</f>
        <v>actual</v>
      </c>
      <c r="L9" s="206" t="str">
        <f>'C.2.2 B 09'!L9</f>
        <v>actual</v>
      </c>
      <c r="M9" s="206" t="str">
        <f>'C.2.2 B 09'!M9</f>
        <v>actual</v>
      </c>
      <c r="N9" s="206" t="str">
        <f>'C.2.2 B 09'!N9</f>
        <v>actual</v>
      </c>
      <c r="O9" s="206" t="str">
        <f>'C.2.2 B 09'!O9</f>
        <v>actual</v>
      </c>
      <c r="P9" s="206" t="str">
        <f>'C.2.2 B 09'!P9</f>
        <v>actual</v>
      </c>
      <c r="Q9" s="206" t="str">
        <f>'C.2.2 B 09'!Q9</f>
        <v>actual</v>
      </c>
      <c r="R9" s="208"/>
      <c r="S9" s="77"/>
    </row>
    <row r="10" spans="1:19">
      <c r="A10" s="168" t="s">
        <v>12</v>
      </c>
      <c r="B10" s="169" t="s">
        <v>12</v>
      </c>
      <c r="C10" s="170" t="s">
        <v>218</v>
      </c>
      <c r="D10" s="209">
        <f>'C.2.2 B 09'!D10</f>
        <v>43101</v>
      </c>
      <c r="E10" s="209">
        <f>'C.2.2 B 09'!F10</f>
        <v>43160</v>
      </c>
      <c r="F10" s="209">
        <f>'C.2.2 B 09'!F10</f>
        <v>43160</v>
      </c>
      <c r="G10" s="209">
        <f>'C.2.2 B 09'!G10</f>
        <v>43191</v>
      </c>
      <c r="H10" s="209">
        <f>'C.2.2 B 09'!H10</f>
        <v>43221</v>
      </c>
      <c r="I10" s="209">
        <f>'C.2.2 B 09'!I10</f>
        <v>43252</v>
      </c>
      <c r="J10" s="209">
        <f>'C.2.2 B 09'!J10</f>
        <v>43282</v>
      </c>
      <c r="K10" s="209">
        <f>'C.2.2 B 09'!K10</f>
        <v>43313</v>
      </c>
      <c r="L10" s="209">
        <f>'C.2.2 B 09'!L10</f>
        <v>43344</v>
      </c>
      <c r="M10" s="209">
        <f>'C.2.2 B 09'!M10</f>
        <v>43374</v>
      </c>
      <c r="N10" s="209">
        <f>'C.2.2 B 09'!N10</f>
        <v>43405</v>
      </c>
      <c r="O10" s="209">
        <f>'C.2.2 B 09'!O10</f>
        <v>43435</v>
      </c>
      <c r="P10" s="209">
        <f>'C.2.2 B 09'!P10</f>
        <v>43466</v>
      </c>
      <c r="Q10" s="209">
        <f>'C.2.2 B 09'!Q10</f>
        <v>43497</v>
      </c>
      <c r="R10" s="209" t="str">
        <f>'C.2.2 B 09'!R10</f>
        <v>Total</v>
      </c>
      <c r="S10" s="223"/>
    </row>
    <row r="11" spans="1:19">
      <c r="A11" s="17"/>
      <c r="B11" s="17"/>
      <c r="C11" s="17"/>
      <c r="D11" s="64" t="s">
        <v>220</v>
      </c>
      <c r="E11" s="64" t="s">
        <v>220</v>
      </c>
      <c r="F11" s="64" t="s">
        <v>220</v>
      </c>
      <c r="G11" s="64" t="s">
        <v>220</v>
      </c>
      <c r="H11" s="64" t="s">
        <v>220</v>
      </c>
      <c r="I11" s="64" t="s">
        <v>220</v>
      </c>
      <c r="J11" s="64" t="s">
        <v>220</v>
      </c>
      <c r="K11" s="64" t="s">
        <v>220</v>
      </c>
      <c r="L11" s="64" t="s">
        <v>220</v>
      </c>
      <c r="M11" s="64" t="s">
        <v>220</v>
      </c>
      <c r="N11" s="64" t="s">
        <v>220</v>
      </c>
      <c r="O11" s="64" t="s">
        <v>220</v>
      </c>
      <c r="P11" s="64"/>
      <c r="Q11" s="64"/>
      <c r="R11" s="64" t="s">
        <v>220</v>
      </c>
      <c r="S11" s="64"/>
    </row>
    <row r="12" spans="1:19">
      <c r="A12" s="77">
        <v>1</v>
      </c>
      <c r="B12" s="174">
        <v>4030</v>
      </c>
      <c r="C12" s="17" t="s">
        <v>59</v>
      </c>
      <c r="D12" s="177">
        <v>5.7639226724859327E-11</v>
      </c>
      <c r="E12" s="177">
        <v>0</v>
      </c>
      <c r="F12" s="177">
        <v>0</v>
      </c>
      <c r="G12" s="177">
        <v>-1.1641532182693481E-10</v>
      </c>
      <c r="H12" s="177">
        <v>9.7315933089703321E-11</v>
      </c>
      <c r="I12" s="177">
        <v>-8.7311491370201111E-11</v>
      </c>
      <c r="J12" s="267">
        <v>1.1641532182693481E-10</v>
      </c>
      <c r="K12" s="267">
        <v>-1.7462298274040222E-10</v>
      </c>
      <c r="L12" s="267">
        <v>-4.3655745685100555E-11</v>
      </c>
      <c r="M12" s="267">
        <v>1.8332002582610585E-11</v>
      </c>
      <c r="N12" s="267">
        <v>3.2741809263825417E-11</v>
      </c>
      <c r="O12" s="267">
        <v>3.637978807091713E-11</v>
      </c>
      <c r="P12" s="267"/>
      <c r="Q12" s="267"/>
      <c r="R12" s="17">
        <f t="shared" ref="R12:R25" si="0">SUM(D12:O12)</f>
        <v>-6.3181460063788109E-11</v>
      </c>
      <c r="S12" s="158"/>
    </row>
    <row r="13" spans="1:19">
      <c r="A13" s="77">
        <f>A12+1</f>
        <v>2</v>
      </c>
      <c r="B13" s="174">
        <v>4081</v>
      </c>
      <c r="C13" s="17" t="s">
        <v>224</v>
      </c>
      <c r="D13" s="177">
        <v>1.3926637620897964E-11</v>
      </c>
      <c r="E13" s="177">
        <v>-1.6143530956469476E-11</v>
      </c>
      <c r="F13" s="177">
        <v>-6.986056177993305E-11</v>
      </c>
      <c r="G13" s="177">
        <v>1.0000000021543443E-2</v>
      </c>
      <c r="H13" s="177">
        <v>2.1827872842550278E-11</v>
      </c>
      <c r="I13" s="177">
        <v>-2.9103830456733704E-11</v>
      </c>
      <c r="J13" s="267">
        <v>-9.9999999555713259E-3</v>
      </c>
      <c r="K13" s="267">
        <v>1.6008527836675057E-11</v>
      </c>
      <c r="L13" s="267">
        <v>-1.4551915228366852E-11</v>
      </c>
      <c r="M13" s="267">
        <v>9.9999999794482264E-3</v>
      </c>
      <c r="N13" s="267">
        <v>2.0000000008174368E-2</v>
      </c>
      <c r="O13" s="267">
        <v>9.9999999845579168E-3</v>
      </c>
      <c r="P13" s="267"/>
      <c r="Q13" s="267"/>
      <c r="R13" s="17">
        <f t="shared" si="0"/>
        <v>3.9999999960255828E-2</v>
      </c>
      <c r="S13" s="17"/>
    </row>
    <row r="14" spans="1:19">
      <c r="A14" s="77">
        <f t="shared" ref="A14:A36" si="1">A13+1</f>
        <v>3</v>
      </c>
      <c r="B14" s="174">
        <v>8700</v>
      </c>
      <c r="C14" s="17" t="s">
        <v>271</v>
      </c>
      <c r="D14" s="177">
        <v>0</v>
      </c>
      <c r="E14" s="177">
        <v>395</v>
      </c>
      <c r="F14" s="177">
        <v>0</v>
      </c>
      <c r="G14" s="177">
        <v>0</v>
      </c>
      <c r="H14" s="177">
        <v>1136.92</v>
      </c>
      <c r="I14" s="177">
        <v>3315.76</v>
      </c>
      <c r="J14" s="267">
        <v>899.07</v>
      </c>
      <c r="K14" s="267">
        <v>1626.55</v>
      </c>
      <c r="L14" s="267">
        <v>0</v>
      </c>
      <c r="M14" s="267">
        <v>0</v>
      </c>
      <c r="N14" s="267">
        <v>0</v>
      </c>
      <c r="O14" s="267">
        <v>0</v>
      </c>
      <c r="P14" s="267"/>
      <c r="Q14" s="267"/>
      <c r="R14" s="17">
        <f t="shared" si="0"/>
        <v>7373.3</v>
      </c>
      <c r="S14" s="17"/>
    </row>
    <row r="15" spans="1:19">
      <c r="A15" s="77">
        <f t="shared" si="1"/>
        <v>4</v>
      </c>
      <c r="B15" s="174">
        <v>8740</v>
      </c>
      <c r="C15" s="17" t="s">
        <v>275</v>
      </c>
      <c r="D15" s="177">
        <v>1599.32</v>
      </c>
      <c r="E15" s="177">
        <v>1400.53</v>
      </c>
      <c r="F15" s="177">
        <v>1614.3</v>
      </c>
      <c r="G15" s="177">
        <v>1672.3899999999999</v>
      </c>
      <c r="H15" s="177">
        <v>1408.5</v>
      </c>
      <c r="I15" s="177">
        <v>1470.71</v>
      </c>
      <c r="J15" s="267">
        <v>2529.37</v>
      </c>
      <c r="K15" s="267">
        <v>2733.37</v>
      </c>
      <c r="L15" s="267">
        <v>2531.81</v>
      </c>
      <c r="M15" s="267">
        <v>2703.8900000000003</v>
      </c>
      <c r="N15" s="267">
        <v>9281.58</v>
      </c>
      <c r="O15" s="267">
        <v>14875.980000000003</v>
      </c>
      <c r="P15" s="267">
        <v>-3982.8599999999997</v>
      </c>
      <c r="Q15" s="267">
        <v>27839.119999999995</v>
      </c>
      <c r="R15" s="17">
        <f t="shared" si="0"/>
        <v>43821.75</v>
      </c>
      <c r="S15" s="17"/>
    </row>
    <row r="16" spans="1:19">
      <c r="A16" s="77">
        <f t="shared" si="1"/>
        <v>5</v>
      </c>
      <c r="B16" s="174">
        <v>8800</v>
      </c>
      <c r="C16" s="17" t="s">
        <v>281</v>
      </c>
      <c r="D16" s="177">
        <f>0</f>
        <v>0</v>
      </c>
      <c r="E16" s="177">
        <f>0</f>
        <v>0</v>
      </c>
      <c r="F16" s="177">
        <f>0</f>
        <v>0</v>
      </c>
      <c r="G16" s="177">
        <f>0</f>
        <v>0</v>
      </c>
      <c r="H16" s="177">
        <f>0</f>
        <v>0</v>
      </c>
      <c r="I16" s="177">
        <f>0</f>
        <v>0</v>
      </c>
      <c r="J16" s="267">
        <v>0</v>
      </c>
      <c r="K16" s="267">
        <v>0</v>
      </c>
      <c r="L16" s="267">
        <v>0</v>
      </c>
      <c r="M16" s="267">
        <v>0</v>
      </c>
      <c r="N16" s="267">
        <v>0</v>
      </c>
      <c r="O16" s="267">
        <v>0</v>
      </c>
      <c r="P16" s="267"/>
      <c r="Q16" s="267"/>
      <c r="R16" s="17">
        <f t="shared" si="0"/>
        <v>0</v>
      </c>
      <c r="S16" s="17"/>
    </row>
    <row r="17" spans="1:19">
      <c r="A17" s="77">
        <f>A16+1</f>
        <v>6</v>
      </c>
      <c r="B17" s="174">
        <v>9010</v>
      </c>
      <c r="C17" s="17" t="s">
        <v>292</v>
      </c>
      <c r="D17" s="177">
        <v>352196.32999999996</v>
      </c>
      <c r="E17" s="177">
        <v>307312.05</v>
      </c>
      <c r="F17" s="177">
        <v>349670.04999999993</v>
      </c>
      <c r="G17" s="177">
        <v>327959.96000000002</v>
      </c>
      <c r="H17" s="177">
        <v>361871.54000000004</v>
      </c>
      <c r="I17" s="177">
        <v>319906.17</v>
      </c>
      <c r="J17" s="267">
        <v>338689.35</v>
      </c>
      <c r="K17" s="267">
        <v>359484.08999999997</v>
      </c>
      <c r="L17" s="267">
        <v>346146.01</v>
      </c>
      <c r="M17" s="267">
        <v>354101.64</v>
      </c>
      <c r="N17" s="267">
        <v>346361.46</v>
      </c>
      <c r="O17" s="267">
        <v>332571.70999999996</v>
      </c>
      <c r="P17" s="267">
        <v>356430.04</v>
      </c>
      <c r="Q17" s="267">
        <v>308405.53999999992</v>
      </c>
      <c r="R17" s="17">
        <f t="shared" si="0"/>
        <v>4096270.36</v>
      </c>
      <c r="S17" s="17"/>
    </row>
    <row r="18" spans="1:19">
      <c r="A18" s="77">
        <f t="shared" si="1"/>
        <v>7</v>
      </c>
      <c r="B18" s="174">
        <v>9020</v>
      </c>
      <c r="C18" s="17" t="s">
        <v>293</v>
      </c>
      <c r="D18" s="177">
        <f>0</f>
        <v>0</v>
      </c>
      <c r="E18" s="177">
        <f>0</f>
        <v>0</v>
      </c>
      <c r="F18" s="177">
        <f>0</f>
        <v>0</v>
      </c>
      <c r="G18" s="177">
        <f>0</f>
        <v>0</v>
      </c>
      <c r="H18" s="177">
        <f>0</f>
        <v>0</v>
      </c>
      <c r="I18" s="177">
        <f>0</f>
        <v>0</v>
      </c>
      <c r="J18" s="267">
        <v>213.1</v>
      </c>
      <c r="K18" s="267">
        <v>0</v>
      </c>
      <c r="L18" s="267">
        <v>0</v>
      </c>
      <c r="M18" s="267">
        <v>0</v>
      </c>
      <c r="N18" s="267">
        <v>0</v>
      </c>
      <c r="O18" s="267">
        <v>0</v>
      </c>
      <c r="P18" s="267"/>
      <c r="Q18" s="267"/>
      <c r="R18" s="17">
        <f t="shared" si="0"/>
        <v>213.1</v>
      </c>
      <c r="S18" s="17"/>
    </row>
    <row r="19" spans="1:19">
      <c r="A19" s="77">
        <f t="shared" si="1"/>
        <v>8</v>
      </c>
      <c r="B19" s="174">
        <v>9030</v>
      </c>
      <c r="C19" s="17" t="s">
        <v>294</v>
      </c>
      <c r="D19" s="177">
        <v>1741679.5099999995</v>
      </c>
      <c r="E19" s="177">
        <v>1492515.87</v>
      </c>
      <c r="F19" s="177">
        <v>1708357.45</v>
      </c>
      <c r="G19" s="177">
        <v>1522186.24</v>
      </c>
      <c r="H19" s="177">
        <v>1617145.7900000003</v>
      </c>
      <c r="I19" s="177">
        <v>1504396.51</v>
      </c>
      <c r="J19" s="267">
        <v>1539796.02</v>
      </c>
      <c r="K19" s="267">
        <v>1489810.85</v>
      </c>
      <c r="L19" s="267">
        <v>1411448.1300000004</v>
      </c>
      <c r="M19" s="267">
        <v>1612313.08</v>
      </c>
      <c r="N19" s="267">
        <v>1770860.84</v>
      </c>
      <c r="O19" s="267">
        <v>1653108.2000000002</v>
      </c>
      <c r="P19" s="267">
        <v>1880541.0300000005</v>
      </c>
      <c r="Q19" s="267">
        <v>1562548.0400000003</v>
      </c>
      <c r="R19" s="17">
        <f t="shared" si="0"/>
        <v>19063618.490000002</v>
      </c>
      <c r="S19" s="17"/>
    </row>
    <row r="20" spans="1:19">
      <c r="A20" s="77">
        <f t="shared" si="1"/>
        <v>9</v>
      </c>
      <c r="B20" s="174">
        <v>9200</v>
      </c>
      <c r="C20" s="17" t="s">
        <v>301</v>
      </c>
      <c r="D20" s="177">
        <v>372337.49999999988</v>
      </c>
      <c r="E20" s="177">
        <v>306657.81</v>
      </c>
      <c r="F20" s="177">
        <v>349705.97000000003</v>
      </c>
      <c r="G20" s="177">
        <v>390956.49000000005</v>
      </c>
      <c r="H20" s="177">
        <v>367637.88000000006</v>
      </c>
      <c r="I20" s="177">
        <v>344048.59999999992</v>
      </c>
      <c r="J20" s="267">
        <v>368535.08</v>
      </c>
      <c r="K20" s="267">
        <v>375909.25999999995</v>
      </c>
      <c r="L20" s="267">
        <v>255686.95</v>
      </c>
      <c r="M20" s="267">
        <v>370865.95000000007</v>
      </c>
      <c r="N20" s="267">
        <v>343223.36</v>
      </c>
      <c r="O20" s="267">
        <v>319114.09999999998</v>
      </c>
      <c r="P20" s="267">
        <v>370808.36000000004</v>
      </c>
      <c r="Q20" s="267">
        <v>298757.85999999993</v>
      </c>
      <c r="R20" s="17">
        <f t="shared" si="0"/>
        <v>4164678.95</v>
      </c>
      <c r="S20" s="17"/>
    </row>
    <row r="21" spans="1:19">
      <c r="A21" s="77">
        <f t="shared" si="1"/>
        <v>10</v>
      </c>
      <c r="B21" s="174">
        <v>9210</v>
      </c>
      <c r="C21" s="17" t="s">
        <v>302</v>
      </c>
      <c r="D21" s="177">
        <v>589411.78000000014</v>
      </c>
      <c r="E21" s="177">
        <v>605657.49</v>
      </c>
      <c r="F21" s="177">
        <v>714835.34000000008</v>
      </c>
      <c r="G21" s="177">
        <v>706341.24000000022</v>
      </c>
      <c r="H21" s="177">
        <v>644057.04999999993</v>
      </c>
      <c r="I21" s="177">
        <v>628961.27</v>
      </c>
      <c r="J21" s="267">
        <v>695623.87000000011</v>
      </c>
      <c r="K21" s="267">
        <v>658076.29</v>
      </c>
      <c r="L21" s="267">
        <v>812977.11999999988</v>
      </c>
      <c r="M21" s="267">
        <v>750175.30000000028</v>
      </c>
      <c r="N21" s="267">
        <v>628919.73999999976</v>
      </c>
      <c r="O21" s="267">
        <v>632971.47</v>
      </c>
      <c r="P21" s="267">
        <v>637845.13</v>
      </c>
      <c r="Q21" s="267">
        <v>721870.65</v>
      </c>
      <c r="R21" s="17">
        <f t="shared" si="0"/>
        <v>8068007.9600000018</v>
      </c>
      <c r="S21" s="17"/>
    </row>
    <row r="22" spans="1:19">
      <c r="A22" s="77">
        <f t="shared" si="1"/>
        <v>11</v>
      </c>
      <c r="B22" s="174">
        <v>9220</v>
      </c>
      <c r="C22" s="17" t="s">
        <v>303</v>
      </c>
      <c r="D22" s="177">
        <v>-4107535.8400000003</v>
      </c>
      <c r="E22" s="177">
        <v>-3616023.3699999996</v>
      </c>
      <c r="F22" s="177">
        <v>-3896278.8499999996</v>
      </c>
      <c r="G22" s="177">
        <v>-3884435.4500000007</v>
      </c>
      <c r="H22" s="177">
        <v>-4070220.4099999997</v>
      </c>
      <c r="I22" s="177">
        <v>-3717146.5799999996</v>
      </c>
      <c r="J22" s="267">
        <v>-3921979.8700000006</v>
      </c>
      <c r="K22" s="267">
        <v>-3819195.2899999996</v>
      </c>
      <c r="L22" s="267">
        <v>-3931348.3599999989</v>
      </c>
      <c r="M22" s="267">
        <v>-4066731.35</v>
      </c>
      <c r="N22" s="267">
        <v>-4144345.1200000006</v>
      </c>
      <c r="O22" s="267">
        <v>-3876031.7399999993</v>
      </c>
      <c r="P22" s="267">
        <v>-4260098.68</v>
      </c>
      <c r="Q22" s="267">
        <v>-3857455.2100000004</v>
      </c>
      <c r="R22" s="17">
        <f t="shared" si="0"/>
        <v>-47051272.229999997</v>
      </c>
      <c r="S22" s="158"/>
    </row>
    <row r="23" spans="1:19">
      <c r="A23" s="77">
        <f t="shared" si="1"/>
        <v>12</v>
      </c>
      <c r="B23" s="174">
        <v>9230</v>
      </c>
      <c r="C23" s="17" t="s">
        <v>304</v>
      </c>
      <c r="D23" s="177">
        <v>85331.510000000009</v>
      </c>
      <c r="E23" s="177">
        <v>57129.81</v>
      </c>
      <c r="F23" s="177">
        <v>52402.36</v>
      </c>
      <c r="G23" s="177">
        <v>61633.69</v>
      </c>
      <c r="H23" s="177">
        <v>103506.25</v>
      </c>
      <c r="I23" s="177">
        <v>59967.729999999996</v>
      </c>
      <c r="J23" s="267">
        <v>55816.85</v>
      </c>
      <c r="K23" s="267">
        <v>63367.899999999994</v>
      </c>
      <c r="L23" s="267">
        <v>336281.58</v>
      </c>
      <c r="M23" s="267">
        <v>40038.06</v>
      </c>
      <c r="N23" s="267">
        <v>91667.58</v>
      </c>
      <c r="O23" s="267">
        <v>40414.22</v>
      </c>
      <c r="P23" s="267">
        <v>34839.729999999996</v>
      </c>
      <c r="Q23" s="267">
        <v>76993.95</v>
      </c>
      <c r="R23" s="17">
        <f t="shared" si="0"/>
        <v>1047557.5399999999</v>
      </c>
      <c r="S23" s="17"/>
    </row>
    <row r="24" spans="1:19">
      <c r="A24" s="77">
        <f t="shared" si="1"/>
        <v>13</v>
      </c>
      <c r="B24" s="174">
        <v>9240</v>
      </c>
      <c r="C24" s="17" t="s">
        <v>305</v>
      </c>
      <c r="D24" s="177">
        <v>8105.89</v>
      </c>
      <c r="E24" s="177">
        <v>8105.89</v>
      </c>
      <c r="F24" s="177">
        <v>7660.39</v>
      </c>
      <c r="G24" s="177">
        <v>7660.39</v>
      </c>
      <c r="H24" s="177">
        <v>7660.39</v>
      </c>
      <c r="I24" s="177">
        <v>7660.39</v>
      </c>
      <c r="J24" s="267">
        <v>7660.39</v>
      </c>
      <c r="K24" s="267">
        <v>7660.39</v>
      </c>
      <c r="L24" s="267">
        <v>7660.39</v>
      </c>
      <c r="M24" s="267">
        <v>7660.39</v>
      </c>
      <c r="N24" s="267">
        <v>7660.39</v>
      </c>
      <c r="O24" s="267">
        <v>7660.39</v>
      </c>
      <c r="P24" s="267">
        <v>7660.39</v>
      </c>
      <c r="Q24" s="267">
        <v>7660.39</v>
      </c>
      <c r="R24" s="17">
        <f t="shared" si="0"/>
        <v>92815.680000000008</v>
      </c>
      <c r="S24" s="17"/>
    </row>
    <row r="25" spans="1:19">
      <c r="A25" s="77">
        <f t="shared" si="1"/>
        <v>14</v>
      </c>
      <c r="B25" s="174">
        <v>9250</v>
      </c>
      <c r="C25" s="154" t="s">
        <v>306</v>
      </c>
      <c r="D25" s="177">
        <v>17.28</v>
      </c>
      <c r="E25" s="177">
        <v>17.28</v>
      </c>
      <c r="F25" s="177">
        <v>17.28</v>
      </c>
      <c r="G25" s="177">
        <v>0</v>
      </c>
      <c r="H25" s="177">
        <v>0</v>
      </c>
      <c r="I25" s="177">
        <v>0</v>
      </c>
      <c r="J25" s="267">
        <v>0</v>
      </c>
      <c r="K25" s="267">
        <v>0</v>
      </c>
      <c r="L25" s="267">
        <v>0</v>
      </c>
      <c r="M25" s="267">
        <v>0</v>
      </c>
      <c r="N25" s="267">
        <v>0</v>
      </c>
      <c r="O25" s="267">
        <v>0</v>
      </c>
      <c r="P25" s="267"/>
      <c r="Q25" s="267"/>
      <c r="R25" s="17">
        <f t="shared" si="0"/>
        <v>51.84</v>
      </c>
      <c r="S25" s="17"/>
    </row>
    <row r="26" spans="1:19">
      <c r="A26" s="77">
        <f t="shared" si="1"/>
        <v>15</v>
      </c>
      <c r="B26" s="174">
        <v>9260</v>
      </c>
      <c r="C26" s="17" t="s">
        <v>307</v>
      </c>
      <c r="D26" s="177">
        <v>823774.28000000014</v>
      </c>
      <c r="E26" s="177">
        <v>704864.38000000012</v>
      </c>
      <c r="F26" s="177">
        <v>579503.47000000009</v>
      </c>
      <c r="G26" s="177">
        <v>731729.77999999991</v>
      </c>
      <c r="H26" s="177">
        <v>834566.24999999965</v>
      </c>
      <c r="I26" s="177">
        <v>715361.59</v>
      </c>
      <c r="J26" s="267">
        <v>780545.61000000022</v>
      </c>
      <c r="K26" s="267">
        <v>729220.40999999968</v>
      </c>
      <c r="L26" s="267">
        <v>626442.8400000002</v>
      </c>
      <c r="M26" s="267">
        <v>797772.34</v>
      </c>
      <c r="N26" s="267">
        <v>801002.27999999991</v>
      </c>
      <c r="O26" s="267">
        <v>744012.00999999978</v>
      </c>
      <c r="P26" s="267">
        <v>836758.70000000007</v>
      </c>
      <c r="Q26" s="267">
        <v>713934.30000000016</v>
      </c>
      <c r="R26" s="17">
        <f>SUM(D26:O26)</f>
        <v>8868795.2399999984</v>
      </c>
      <c r="S26" s="17"/>
    </row>
    <row r="27" spans="1:19">
      <c r="A27" s="271">
        <f t="shared" si="1"/>
        <v>16</v>
      </c>
      <c r="B27" s="174">
        <v>9302</v>
      </c>
      <c r="C27" s="175" t="s">
        <v>367</v>
      </c>
      <c r="D27" s="177"/>
      <c r="E27" s="177"/>
      <c r="F27" s="177"/>
      <c r="G27" s="177"/>
      <c r="H27" s="177"/>
      <c r="I27" s="177"/>
      <c r="J27" s="267">
        <v>0</v>
      </c>
      <c r="K27" s="267">
        <v>0</v>
      </c>
      <c r="L27" s="267">
        <v>0</v>
      </c>
      <c r="M27" s="267">
        <v>0</v>
      </c>
      <c r="N27" s="267">
        <v>1279.3499999999999</v>
      </c>
      <c r="O27" s="267">
        <v>0</v>
      </c>
      <c r="P27" s="267"/>
      <c r="Q27" s="267"/>
      <c r="R27" s="17">
        <f>SUM(D27:O27)</f>
        <v>1279.3499999999999</v>
      </c>
      <c r="S27" s="17"/>
    </row>
    <row r="28" spans="1:19">
      <c r="A28" s="271">
        <f t="shared" si="1"/>
        <v>17</v>
      </c>
      <c r="B28" s="174">
        <v>9310</v>
      </c>
      <c r="C28" s="17" t="s">
        <v>200</v>
      </c>
      <c r="D28" s="177">
        <v>131073.48000000001</v>
      </c>
      <c r="E28" s="177">
        <v>131911.15</v>
      </c>
      <c r="F28" s="177">
        <v>131577.41</v>
      </c>
      <c r="G28" s="177">
        <v>134295.28</v>
      </c>
      <c r="H28" s="177">
        <v>131229.85999999999</v>
      </c>
      <c r="I28" s="177">
        <v>131089.63999999998</v>
      </c>
      <c r="J28" s="267">
        <v>131083.84</v>
      </c>
      <c r="K28" s="267">
        <v>131086.69999999998</v>
      </c>
      <c r="L28" s="267">
        <v>131301.96</v>
      </c>
      <c r="M28" s="267">
        <v>131100.71</v>
      </c>
      <c r="N28" s="267">
        <v>142319.66999999998</v>
      </c>
      <c r="O28" s="267">
        <v>130977.27</v>
      </c>
      <c r="P28" s="267">
        <v>139198.18</v>
      </c>
      <c r="Q28" s="267">
        <v>139383.86000000002</v>
      </c>
      <c r="R28" s="17">
        <f>SUM(D28:O28)</f>
        <v>1589046.97</v>
      </c>
      <c r="S28" s="17"/>
    </row>
    <row r="29" spans="1:19">
      <c r="A29" s="271">
        <f t="shared" si="1"/>
        <v>18</v>
      </c>
      <c r="B29" s="174">
        <v>9320</v>
      </c>
      <c r="C29" s="17" t="s">
        <v>311</v>
      </c>
      <c r="D29" s="177">
        <v>2008.94</v>
      </c>
      <c r="E29" s="177">
        <v>56.08</v>
      </c>
      <c r="F29" s="177">
        <v>934.84</v>
      </c>
      <c r="G29" s="177">
        <v>0</v>
      </c>
      <c r="H29" s="177">
        <v>0</v>
      </c>
      <c r="I29" s="177">
        <v>968.25</v>
      </c>
      <c r="J29" s="267">
        <v>587.33000000000004</v>
      </c>
      <c r="K29" s="267">
        <v>219.54</v>
      </c>
      <c r="L29" s="267">
        <v>871.57</v>
      </c>
      <c r="M29" s="267">
        <v>0</v>
      </c>
      <c r="N29" s="267">
        <v>1768.8400000000001</v>
      </c>
      <c r="O29" s="267">
        <v>326.39</v>
      </c>
      <c r="P29" s="267"/>
      <c r="Q29" s="267">
        <v>61.51</v>
      </c>
      <c r="R29" s="17">
        <f>SUM(D29:O29)</f>
        <v>7741.7800000000007</v>
      </c>
      <c r="S29" s="17"/>
    </row>
    <row r="30" spans="1:19">
      <c r="A30" s="271">
        <f t="shared" si="1"/>
        <v>19</v>
      </c>
      <c r="B30" s="17"/>
      <c r="C30" s="213"/>
      <c r="D30" s="191"/>
      <c r="E30" s="191"/>
      <c r="F30" s="191"/>
      <c r="G30" s="191"/>
      <c r="H30" s="191"/>
      <c r="I30" s="191"/>
      <c r="J30" s="270"/>
      <c r="K30" s="270"/>
      <c r="L30" s="270"/>
      <c r="M30" s="270"/>
      <c r="N30" s="270"/>
      <c r="O30" s="270"/>
      <c r="P30" s="270"/>
      <c r="Q30" s="270"/>
      <c r="R30" s="17"/>
      <c r="S30" s="17"/>
    </row>
    <row r="31" spans="1:19" ht="15.75" thickBot="1">
      <c r="A31" s="271">
        <f t="shared" si="1"/>
        <v>20</v>
      </c>
      <c r="B31" s="17" t="s">
        <v>312</v>
      </c>
      <c r="C31" s="213"/>
      <c r="D31" s="214">
        <f>SUM(D12:D29)</f>
        <v>-2.0000000166419341E-2</v>
      </c>
      <c r="E31" s="214">
        <f t="shared" ref="E31:R31" si="2">SUM(E12:E30)</f>
        <v>-2.9999999433059088E-2</v>
      </c>
      <c r="F31" s="214">
        <f t="shared" si="2"/>
        <v>1.0000000827744771E-2</v>
      </c>
      <c r="G31" s="214">
        <f t="shared" si="2"/>
        <v>1.999999929103069E-2</v>
      </c>
      <c r="H31" s="214">
        <f t="shared" si="2"/>
        <v>2.0000000135041773E-2</v>
      </c>
      <c r="I31" s="214">
        <f t="shared" si="2"/>
        <v>4.0000000357395038E-2</v>
      </c>
      <c r="J31" s="274">
        <f t="shared" si="2"/>
        <v>-2.7819169190479442E-10</v>
      </c>
      <c r="K31" s="274">
        <f t="shared" si="2"/>
        <v>5.999999981489168E-2</v>
      </c>
      <c r="L31" s="274">
        <f t="shared" si="2"/>
        <v>1.3609451343654655E-9</v>
      </c>
      <c r="M31" s="274">
        <f t="shared" si="2"/>
        <v>2.0000000513391569E-2</v>
      </c>
      <c r="N31" s="274">
        <f t="shared" si="2"/>
        <v>-1.0000000704167178E-2</v>
      </c>
      <c r="O31" s="274">
        <f t="shared" si="2"/>
        <v>1.0000000213608473E-2</v>
      </c>
      <c r="P31" s="274">
        <f t="shared" si="2"/>
        <v>2.00000005424954E-2</v>
      </c>
      <c r="Q31" s="274">
        <f t="shared" si="2"/>
        <v>9.9999996798558755E-3</v>
      </c>
      <c r="R31" s="214">
        <f t="shared" si="2"/>
        <v>0.12000000334410288</v>
      </c>
      <c r="S31" s="224"/>
    </row>
    <row r="32" spans="1:19" ht="15.75" thickTop="1">
      <c r="A32" s="271">
        <f t="shared" si="1"/>
        <v>21</v>
      </c>
      <c r="B32" s="17"/>
      <c r="C32" s="21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>
      <c r="A33" s="271">
        <f t="shared" si="1"/>
        <v>22</v>
      </c>
      <c r="B33" s="174">
        <f>B22</f>
        <v>9220</v>
      </c>
      <c r="C33" s="225" t="str">
        <f>C22</f>
        <v>A&amp;G-Administrative expense transferred-Credit</v>
      </c>
      <c r="D33" s="215">
        <f>D22</f>
        <v>-4107535.8400000003</v>
      </c>
      <c r="E33" s="215">
        <f t="shared" ref="E33:I33" si="3">E22</f>
        <v>-3616023.3699999996</v>
      </c>
      <c r="F33" s="215">
        <f t="shared" si="3"/>
        <v>-3896278.8499999996</v>
      </c>
      <c r="G33" s="215">
        <f t="shared" si="3"/>
        <v>-3884435.4500000007</v>
      </c>
      <c r="H33" s="215">
        <f t="shared" si="3"/>
        <v>-4070220.4099999997</v>
      </c>
      <c r="I33" s="215">
        <f t="shared" si="3"/>
        <v>-3717146.5799999996</v>
      </c>
      <c r="J33" s="215">
        <f t="shared" ref="J33:M33" si="4">J22</f>
        <v>-3921979.8700000006</v>
      </c>
      <c r="K33" s="215">
        <f t="shared" si="4"/>
        <v>-3819195.2899999996</v>
      </c>
      <c r="L33" s="215">
        <f t="shared" si="4"/>
        <v>-3931348.3599999989</v>
      </c>
      <c r="M33" s="215">
        <f t="shared" si="4"/>
        <v>-4066731.35</v>
      </c>
      <c r="N33" s="226">
        <f>N22</f>
        <v>-4144345.1200000006</v>
      </c>
      <c r="O33" s="226">
        <f>O22</f>
        <v>-3876031.7399999993</v>
      </c>
      <c r="P33" s="226">
        <f t="shared" ref="P33:Q33" si="5">P22</f>
        <v>-4260098.68</v>
      </c>
      <c r="Q33" s="226">
        <f t="shared" si="5"/>
        <v>-3857455.2100000004</v>
      </c>
      <c r="R33" s="17">
        <f t="shared" ref="R33" si="6">SUM(D33:O33)</f>
        <v>-47051272.229999997</v>
      </c>
      <c r="S33" s="17"/>
    </row>
    <row r="34" spans="1:19">
      <c r="A34" s="271">
        <f t="shared" si="1"/>
        <v>23</v>
      </c>
      <c r="B34" s="17"/>
      <c r="C34" s="216" t="s">
        <v>323</v>
      </c>
      <c r="D34" s="217">
        <f>D35/D33</f>
        <v>4.5425395484802386E-2</v>
      </c>
      <c r="E34" s="217">
        <f t="shared" ref="E34:I34" si="7">E35/E33</f>
        <v>4.5008688646832502E-2</v>
      </c>
      <c r="F34" s="217">
        <f t="shared" si="7"/>
        <v>4.5234786006140199E-2</v>
      </c>
      <c r="G34" s="217">
        <f t="shared" si="7"/>
        <v>4.4863950564553716E-2</v>
      </c>
      <c r="H34" s="217">
        <f t="shared" si="7"/>
        <v>4.5404575522729494E-2</v>
      </c>
      <c r="I34" s="217">
        <f t="shared" si="7"/>
        <v>4.3839586761735945E-2</v>
      </c>
      <c r="J34" s="217">
        <f t="shared" ref="J34:Q34" si="8">J35/J33</f>
        <v>4.4609068837469575E-2</v>
      </c>
      <c r="K34" s="217">
        <f t="shared" si="8"/>
        <v>4.4492658033205734E-2</v>
      </c>
      <c r="L34" s="217">
        <f t="shared" si="8"/>
        <v>4.0045805047914926E-2</v>
      </c>
      <c r="M34" s="217">
        <f t="shared" si="8"/>
        <v>5.3404449743157972E-2</v>
      </c>
      <c r="N34" s="217">
        <f t="shared" si="8"/>
        <v>5.3759046013040532E-2</v>
      </c>
      <c r="O34" s="217">
        <f t="shared" si="8"/>
        <v>5.3439288915626902E-2</v>
      </c>
      <c r="P34" s="217">
        <f t="shared" si="8"/>
        <v>5.374009082813077E-2</v>
      </c>
      <c r="Q34" s="217">
        <f t="shared" si="8"/>
        <v>5.3651658602148738E-2</v>
      </c>
      <c r="R34" s="217">
        <f t="shared" ref="R34" si="9">R35/R33</f>
        <v>4.6694766493458537E-2</v>
      </c>
      <c r="S34" s="17"/>
    </row>
    <row r="35" spans="1:19">
      <c r="A35" s="271">
        <f t="shared" si="1"/>
        <v>24</v>
      </c>
      <c r="B35" s="17"/>
      <c r="C35" s="17" t="s">
        <v>324</v>
      </c>
      <c r="D35" s="17">
        <v>-186586.44</v>
      </c>
      <c r="E35" s="17">
        <v>-162752.47</v>
      </c>
      <c r="F35" s="17">
        <v>-176247.34</v>
      </c>
      <c r="G35" s="17">
        <v>-174271.12</v>
      </c>
      <c r="H35" s="17">
        <v>-184806.63</v>
      </c>
      <c r="I35" s="17">
        <v>-162958.17000000001</v>
      </c>
      <c r="J35" s="17">
        <v>-174955.87</v>
      </c>
      <c r="K35" s="17">
        <v>-169926.15</v>
      </c>
      <c r="L35" s="17">
        <v>-157434.01</v>
      </c>
      <c r="M35" s="17">
        <v>-217181.55</v>
      </c>
      <c r="N35" s="17">
        <v>-222796.04</v>
      </c>
      <c r="O35" s="17">
        <v>-207132.38</v>
      </c>
      <c r="P35" s="17">
        <v>-228938.09</v>
      </c>
      <c r="Q35" s="17">
        <v>-206958.87</v>
      </c>
      <c r="R35" s="17">
        <f>SUM(D35:O35)</f>
        <v>-2197048.17</v>
      </c>
      <c r="S35" s="17"/>
    </row>
    <row r="36" spans="1:19">
      <c r="A36" s="271">
        <f t="shared" si="1"/>
        <v>25</v>
      </c>
      <c r="B36" s="17"/>
      <c r="C36" s="21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53"/>
      <c r="P36" s="153"/>
      <c r="Q36" s="153"/>
      <c r="R36" s="227"/>
      <c r="S36" s="17"/>
    </row>
    <row r="37" spans="1:19">
      <c r="A37" s="17"/>
      <c r="B37" s="17"/>
      <c r="C37" s="21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53"/>
      <c r="P37" s="153"/>
      <c r="Q37" s="153"/>
      <c r="R37" s="153"/>
      <c r="S37" s="17"/>
    </row>
    <row r="38" spans="1:19">
      <c r="A38" s="17"/>
      <c r="B38" s="17" t="s">
        <v>325</v>
      </c>
      <c r="C38" s="213"/>
      <c r="D38" s="224"/>
      <c r="E38" s="224"/>
      <c r="F38" s="224"/>
      <c r="G38" s="224"/>
      <c r="H38" s="224"/>
      <c r="I38" s="224"/>
      <c r="J38" s="17"/>
      <c r="K38" s="17"/>
      <c r="L38" s="17"/>
      <c r="M38" s="17"/>
      <c r="N38" s="17"/>
      <c r="O38" s="17"/>
      <c r="P38" s="17"/>
      <c r="Q38" s="17"/>
      <c r="R38" s="224"/>
      <c r="S38" s="17"/>
    </row>
    <row r="39" spans="1:19">
      <c r="A39" s="17"/>
      <c r="B39" s="17"/>
      <c r="C39" s="17"/>
      <c r="D39" s="153"/>
      <c r="E39" s="153"/>
      <c r="F39" s="153"/>
      <c r="G39" s="153"/>
      <c r="H39" s="153"/>
      <c r="I39" s="153"/>
      <c r="J39" s="17"/>
      <c r="K39" s="153"/>
      <c r="L39" s="153"/>
      <c r="M39" s="153"/>
      <c r="N39" s="153"/>
      <c r="O39" s="153"/>
      <c r="P39" s="153"/>
      <c r="Q39" s="153"/>
      <c r="R39" s="153"/>
      <c r="S39" s="153"/>
    </row>
    <row r="40" spans="1:19">
      <c r="A40" s="17"/>
      <c r="B40" s="17"/>
      <c r="C40" s="17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8"/>
      <c r="S40" s="153"/>
    </row>
    <row r="41" spans="1:19">
      <c r="A41" s="17"/>
      <c r="B41" s="17" t="s">
        <v>315</v>
      </c>
      <c r="C41" s="17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</row>
    <row r="42" spans="1:19">
      <c r="A42" s="17"/>
      <c r="B42" s="17" t="s">
        <v>330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218"/>
      <c r="S42" s="17"/>
    </row>
    <row r="43" spans="1:19">
      <c r="A43" s="17"/>
      <c r="B43" s="17" t="s">
        <v>317</v>
      </c>
      <c r="C43" s="17"/>
      <c r="D43" s="2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53"/>
      <c r="P44" s="153"/>
      <c r="Q44" s="153"/>
      <c r="R44" s="153"/>
      <c r="S44" s="17"/>
    </row>
    <row r="45" spans="1:19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53"/>
      <c r="P45" s="153"/>
      <c r="Q45" s="153"/>
      <c r="R45" s="153"/>
      <c r="S45" s="17"/>
    </row>
    <row r="46" spans="1:19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53"/>
      <c r="P46" s="153"/>
      <c r="Q46" s="153"/>
      <c r="R46" s="153"/>
      <c r="S46" s="17"/>
    </row>
    <row r="47" spans="1:19">
      <c r="A47" s="17"/>
      <c r="B47" s="17"/>
      <c r="C47" s="15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</row>
    <row r="48" spans="1:19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:19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1:19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>
      <c r="A51" s="17"/>
    </row>
    <row r="53" spans="1:19">
      <c r="C53" s="158"/>
    </row>
  </sheetData>
  <mergeCells count="4">
    <mergeCell ref="A1:R1"/>
    <mergeCell ref="A2:R2"/>
    <mergeCell ref="A3:R3"/>
    <mergeCell ref="A4:R4"/>
  </mergeCells>
  <printOptions horizontalCentered="1"/>
  <pageMargins left="0.5" right="0.5" top="0.75" bottom="0.63" header="0.25" footer="0.25"/>
  <pageSetup scale="40" fitToHeight="2" orientation="landscape" verticalDpi="300" r:id="rId1"/>
  <headerFooter alignWithMargins="0">
    <oddHeader>&amp;RCASE NO. 2018-00281
ATTACHMENT 1
TO STAFF DR NO. 1-46
(SUPPLEMENT 03-29-19)</oddHeader>
    <oddFooter>&amp;RSchedule &amp;A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43"/>
  <sheetViews>
    <sheetView view="pageBreakPreview" zoomScale="70" zoomScaleNormal="90" zoomScaleSheetLayoutView="70" workbookViewId="0">
      <selection sqref="A1:H1"/>
    </sheetView>
  </sheetViews>
  <sheetFormatPr defaultColWidth="13.88671875" defaultRowHeight="15"/>
  <cols>
    <col min="1" max="1" width="3.6640625" style="233" customWidth="1"/>
    <col min="2" max="2" width="16.21875" style="233" customWidth="1"/>
    <col min="3" max="3" width="11" style="233" customWidth="1"/>
    <col min="4" max="4" width="12.33203125" style="233" customWidth="1"/>
    <col min="5" max="5" width="13.109375" style="233" customWidth="1"/>
    <col min="6" max="6" width="12.5546875" style="233" customWidth="1"/>
    <col min="7" max="7" width="13.109375" style="233" customWidth="1"/>
    <col min="8" max="8" width="8.6640625" style="233" customWidth="1"/>
    <col min="9" max="9" width="13.88671875" style="233" customWidth="1"/>
    <col min="10" max="10" width="15.109375" style="233" customWidth="1"/>
    <col min="11" max="16384" width="13.88671875" style="233"/>
  </cols>
  <sheetData>
    <row r="1" spans="1:16">
      <c r="A1" s="280" t="s">
        <v>360</v>
      </c>
      <c r="B1" s="280"/>
      <c r="C1" s="280"/>
      <c r="D1" s="280"/>
      <c r="E1" s="280"/>
      <c r="F1" s="280"/>
      <c r="G1" s="280"/>
      <c r="H1" s="280"/>
      <c r="I1" s="232"/>
      <c r="M1" s="234"/>
      <c r="O1" s="234"/>
      <c r="P1" s="234"/>
    </row>
    <row r="2" spans="1:16">
      <c r="A2" s="280" t="s">
        <v>361</v>
      </c>
      <c r="B2" s="280"/>
      <c r="C2" s="280"/>
      <c r="D2" s="280"/>
      <c r="E2" s="280"/>
      <c r="F2" s="280"/>
      <c r="G2" s="280"/>
      <c r="H2" s="280"/>
      <c r="I2" s="232"/>
      <c r="P2" s="234"/>
    </row>
    <row r="3" spans="1:16">
      <c r="A3" s="280" t="s">
        <v>335</v>
      </c>
      <c r="B3" s="280"/>
      <c r="C3" s="280"/>
      <c r="D3" s="280"/>
      <c r="E3" s="280"/>
      <c r="F3" s="280"/>
      <c r="G3" s="280"/>
      <c r="H3" s="280"/>
      <c r="I3" s="232"/>
    </row>
    <row r="4" spans="1:16">
      <c r="A4" s="280" t="s">
        <v>363</v>
      </c>
      <c r="B4" s="280"/>
      <c r="C4" s="280"/>
      <c r="D4" s="280"/>
      <c r="E4" s="280"/>
      <c r="F4" s="280"/>
      <c r="G4" s="280"/>
      <c r="H4" s="280"/>
      <c r="I4" s="232"/>
      <c r="M4" s="234"/>
      <c r="O4" s="234"/>
      <c r="P4" s="234"/>
    </row>
    <row r="5" spans="1:16">
      <c r="A5" s="280" t="s">
        <v>362</v>
      </c>
      <c r="B5" s="280"/>
      <c r="C5" s="280"/>
      <c r="D5" s="280"/>
      <c r="E5" s="280"/>
      <c r="F5" s="280"/>
      <c r="G5" s="280"/>
      <c r="H5" s="280"/>
      <c r="I5" s="232"/>
      <c r="M5" s="234"/>
      <c r="O5" s="234"/>
      <c r="P5" s="234"/>
    </row>
    <row r="6" spans="1:16">
      <c r="A6" s="3"/>
      <c r="B6" s="235"/>
      <c r="C6" s="235"/>
      <c r="D6" s="236"/>
      <c r="P6" s="234"/>
    </row>
    <row r="7" spans="1:16">
      <c r="B7" s="236"/>
      <c r="C7" s="236"/>
      <c r="D7" s="236"/>
      <c r="H7" s="4" t="s">
        <v>336</v>
      </c>
      <c r="I7" s="3"/>
    </row>
    <row r="8" spans="1:16">
      <c r="A8" s="3" t="s">
        <v>3</v>
      </c>
      <c r="B8" s="236"/>
      <c r="C8" s="236"/>
      <c r="D8" s="236"/>
      <c r="H8" s="5" t="s">
        <v>337</v>
      </c>
      <c r="I8" s="3"/>
      <c r="M8" s="234"/>
      <c r="O8" s="234"/>
      <c r="P8" s="234"/>
    </row>
    <row r="9" spans="1:16">
      <c r="A9" s="53" t="s">
        <v>5</v>
      </c>
      <c r="B9" s="237"/>
      <c r="C9" s="237"/>
      <c r="D9" s="237"/>
      <c r="E9" s="238"/>
      <c r="F9" s="238"/>
      <c r="G9" s="238"/>
      <c r="H9" s="8" t="s">
        <v>338</v>
      </c>
      <c r="I9" s="236"/>
      <c r="M9" s="234"/>
      <c r="P9" s="234"/>
    </row>
    <row r="10" spans="1:16">
      <c r="E10" s="236"/>
      <c r="F10" s="235"/>
      <c r="G10" s="236"/>
      <c r="H10" s="235"/>
      <c r="I10" s="236"/>
    </row>
    <row r="11" spans="1:16">
      <c r="A11" s="234" t="s">
        <v>9</v>
      </c>
      <c r="E11" s="239" t="s">
        <v>339</v>
      </c>
      <c r="F11" s="10"/>
      <c r="G11" s="9" t="s">
        <v>340</v>
      </c>
      <c r="H11" s="9" t="s">
        <v>341</v>
      </c>
      <c r="I11" s="173"/>
    </row>
    <row r="12" spans="1:16">
      <c r="A12" s="240" t="s">
        <v>12</v>
      </c>
      <c r="B12" s="240" t="s">
        <v>13</v>
      </c>
      <c r="C12" s="237"/>
      <c r="D12" s="237"/>
      <c r="E12" s="12" t="s">
        <v>68</v>
      </c>
      <c r="F12" s="12" t="s">
        <v>43</v>
      </c>
      <c r="G12" s="12" t="s">
        <v>342</v>
      </c>
      <c r="H12" s="12" t="s">
        <v>44</v>
      </c>
      <c r="I12" s="239"/>
    </row>
    <row r="13" spans="1:16">
      <c r="E13" s="10" t="s">
        <v>72</v>
      </c>
      <c r="F13" s="10" t="s">
        <v>343</v>
      </c>
      <c r="G13" s="10" t="s">
        <v>344</v>
      </c>
      <c r="H13" s="10"/>
      <c r="I13" s="239"/>
    </row>
    <row r="14" spans="1:16">
      <c r="E14" s="10"/>
      <c r="F14" s="10"/>
      <c r="G14" s="10"/>
      <c r="H14" s="10"/>
      <c r="I14" s="239"/>
    </row>
    <row r="15" spans="1:16">
      <c r="A15" s="9">
        <v>1</v>
      </c>
      <c r="B15" s="233" t="s">
        <v>345</v>
      </c>
      <c r="E15" s="241">
        <f>+'C.2'!D14-SUM('C.2'!D17:D27)</f>
        <v>35262663.180000037</v>
      </c>
      <c r="F15" s="241">
        <f>+G15-E15</f>
        <v>-1205743.6744268835</v>
      </c>
      <c r="G15" s="241">
        <f>'C.2'!O14-SUM('C.2'!O17:O27)</f>
        <v>34056919.505573153</v>
      </c>
      <c r="H15" s="10" t="s">
        <v>346</v>
      </c>
      <c r="I15" s="239"/>
    </row>
    <row r="16" spans="1:16">
      <c r="A16" s="9"/>
      <c r="E16" s="242"/>
      <c r="F16" s="242"/>
      <c r="G16" s="242"/>
      <c r="H16" s="10"/>
      <c r="I16" s="10"/>
    </row>
    <row r="17" spans="1:34">
      <c r="A17" s="9">
        <v>2</v>
      </c>
      <c r="B17" s="233" t="s">
        <v>347</v>
      </c>
      <c r="E17" s="243">
        <f>+E32</f>
        <v>7832144.741811295</v>
      </c>
      <c r="F17" s="243">
        <f>+G17-E17</f>
        <v>1535589.98025556</v>
      </c>
      <c r="G17" s="243">
        <f>+G32</f>
        <v>9367734.7220668551</v>
      </c>
      <c r="H17" s="10" t="s">
        <v>52</v>
      </c>
      <c r="I17" s="10"/>
    </row>
    <row r="18" spans="1:34">
      <c r="A18" s="9"/>
      <c r="E18" s="242"/>
      <c r="F18" s="242"/>
      <c r="G18" s="242"/>
      <c r="H18" s="10"/>
      <c r="I18" s="10"/>
    </row>
    <row r="19" spans="1:34">
      <c r="A19" s="9">
        <v>3</v>
      </c>
      <c r="B19" s="233" t="s">
        <v>348</v>
      </c>
      <c r="E19" s="241">
        <f>+E15-E17</f>
        <v>27430518.438188743</v>
      </c>
      <c r="F19" s="241">
        <f>+F15-F17</f>
        <v>-2741333.6546824435</v>
      </c>
      <c r="G19" s="241">
        <f>+G15-G17</f>
        <v>24689184.783506297</v>
      </c>
      <c r="H19" s="10"/>
      <c r="I19" s="10"/>
    </row>
    <row r="20" spans="1:34">
      <c r="A20" s="9"/>
      <c r="E20" s="242"/>
      <c r="F20" s="242"/>
      <c r="G20" s="242"/>
      <c r="H20" s="10"/>
      <c r="I20" s="10"/>
    </row>
    <row r="21" spans="1:34">
      <c r="A21" s="9">
        <v>4</v>
      </c>
      <c r="B21" s="233" t="s">
        <v>349</v>
      </c>
      <c r="E21" s="244">
        <f>0.05+0.21*(1-0.05)</f>
        <v>0.2495</v>
      </c>
      <c r="F21" s="244"/>
      <c r="G21" s="244">
        <v>0.2495</v>
      </c>
      <c r="H21" s="10" t="s">
        <v>350</v>
      </c>
      <c r="I21" s="10"/>
    </row>
    <row r="22" spans="1:34">
      <c r="A22" s="9"/>
      <c r="E22" s="242"/>
      <c r="F22" s="242"/>
      <c r="G22" s="242"/>
      <c r="H22" s="10"/>
      <c r="I22" s="10"/>
    </row>
    <row r="23" spans="1:34" ht="16.5" thickBot="1">
      <c r="A23" s="9">
        <v>5</v>
      </c>
      <c r="B23" s="245" t="s">
        <v>351</v>
      </c>
      <c r="E23" s="246">
        <f>+E19*E21</f>
        <v>6843914.3503280915</v>
      </c>
      <c r="F23" s="246">
        <f>+G23-E23</f>
        <v>-683962.74684327096</v>
      </c>
      <c r="G23" s="247">
        <f>+G19*G21</f>
        <v>6159951.6034848206</v>
      </c>
      <c r="H23" s="10"/>
      <c r="I23" s="10"/>
    </row>
    <row r="24" spans="1:34" ht="16.5" thickTop="1">
      <c r="A24" s="9"/>
      <c r="B24" s="245"/>
      <c r="E24" s="248"/>
      <c r="F24" s="242"/>
      <c r="G24" s="249"/>
      <c r="H24" s="10"/>
      <c r="I24" s="10"/>
    </row>
    <row r="25" spans="1:34" ht="15.75">
      <c r="A25" s="9"/>
      <c r="B25" s="245"/>
      <c r="E25" s="248"/>
      <c r="F25" s="242"/>
      <c r="G25" s="249"/>
      <c r="H25" s="10"/>
      <c r="I25" s="10"/>
    </row>
    <row r="26" spans="1:34">
      <c r="A26" s="9"/>
      <c r="E26" s="242"/>
      <c r="F26" s="242"/>
      <c r="G26" s="242"/>
      <c r="H26" s="10"/>
      <c r="I26" s="10"/>
    </row>
    <row r="27" spans="1:34">
      <c r="A27" s="9"/>
      <c r="B27" s="250" t="s">
        <v>352</v>
      </c>
      <c r="E27" s="242"/>
      <c r="F27" s="242"/>
      <c r="G27" s="242"/>
      <c r="H27" s="10"/>
      <c r="I27" s="10"/>
    </row>
    <row r="28" spans="1:34" s="1" customFormat="1">
      <c r="A28" s="9">
        <v>6</v>
      </c>
      <c r="B28" s="251" t="s">
        <v>353</v>
      </c>
      <c r="E28" s="252">
        <v>414187472.09436655</v>
      </c>
      <c r="F28" s="253"/>
      <c r="G28" s="254">
        <v>496111427.09512687</v>
      </c>
      <c r="H28" s="9" t="s">
        <v>354</v>
      </c>
      <c r="J28" s="233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</row>
    <row r="29" spans="1:34" s="1" customFormat="1">
      <c r="A29" s="9"/>
      <c r="J29" s="233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</row>
    <row r="30" spans="1:34" s="1" customFormat="1">
      <c r="A30" s="9">
        <v>7</v>
      </c>
      <c r="B30" s="251" t="s">
        <v>355</v>
      </c>
      <c r="E30" s="255">
        <v>1.8909661130520276E-2</v>
      </c>
      <c r="G30" s="255">
        <v>1.8882319999999998E-2</v>
      </c>
      <c r="H30" s="9" t="s">
        <v>356</v>
      </c>
      <c r="I30" s="25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</row>
    <row r="31" spans="1:34" s="1" customFormat="1">
      <c r="A31" s="9"/>
      <c r="I31" s="75"/>
      <c r="J31" s="233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</row>
    <row r="32" spans="1:34" s="1" customFormat="1" ht="15.75" thickBot="1">
      <c r="A32" s="9">
        <v>8</v>
      </c>
      <c r="B32" s="257" t="s">
        <v>357</v>
      </c>
      <c r="E32" s="258">
        <f>+E28*E30</f>
        <v>7832144.741811295</v>
      </c>
      <c r="G32" s="258">
        <f>+G28*G30</f>
        <v>9367734.7220668551</v>
      </c>
      <c r="J32" s="233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</row>
    <row r="33" spans="1:34" s="1" customFormat="1" ht="15.75" thickTop="1">
      <c r="A33" s="9"/>
      <c r="J33" s="233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</row>
    <row r="34" spans="1:34" s="1" customFormat="1">
      <c r="A34" s="9"/>
      <c r="B34" s="17"/>
      <c r="C34" s="17"/>
      <c r="D34" s="17"/>
      <c r="E34" s="17"/>
      <c r="F34" s="17"/>
      <c r="J34" s="233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</row>
    <row r="35" spans="1:34" s="1" customFormat="1">
      <c r="A35" s="9">
        <v>9</v>
      </c>
      <c r="B35" s="259" t="s">
        <v>366</v>
      </c>
      <c r="C35" s="17"/>
      <c r="D35" s="17"/>
      <c r="E35" s="17"/>
      <c r="F35" s="17"/>
      <c r="I35" s="260"/>
      <c r="J35" s="25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</row>
    <row r="36" spans="1:34">
      <c r="A36" s="9">
        <v>10</v>
      </c>
      <c r="B36" s="261" t="s">
        <v>358</v>
      </c>
      <c r="C36" s="262"/>
      <c r="D36" s="262"/>
      <c r="E36" s="263">
        <v>0.05</v>
      </c>
      <c r="F36" s="262"/>
      <c r="I36" s="260"/>
      <c r="J36" s="256"/>
    </row>
    <row r="37" spans="1:34">
      <c r="A37" s="9">
        <v>11</v>
      </c>
      <c r="B37" s="261" t="s">
        <v>359</v>
      </c>
      <c r="C37" s="262"/>
      <c r="D37" s="262"/>
      <c r="E37" s="263">
        <v>0.21</v>
      </c>
      <c r="F37" s="262"/>
      <c r="I37" s="260"/>
      <c r="J37" s="256"/>
    </row>
    <row r="38" spans="1:34">
      <c r="B38" s="262"/>
      <c r="C38" s="262"/>
      <c r="D38" s="262"/>
      <c r="E38" s="263"/>
      <c r="F38" s="262"/>
      <c r="I38" s="256"/>
      <c r="J38" s="256"/>
    </row>
    <row r="39" spans="1:34">
      <c r="E39" s="264"/>
    </row>
    <row r="40" spans="1:34">
      <c r="E40" s="264"/>
    </row>
    <row r="41" spans="1:34">
      <c r="G41" s="265"/>
    </row>
    <row r="43" spans="1:34">
      <c r="E43" s="264"/>
    </row>
  </sheetData>
  <mergeCells count="5">
    <mergeCell ref="A1:H1"/>
    <mergeCell ref="A2:H2"/>
    <mergeCell ref="A3:H3"/>
    <mergeCell ref="A4:H4"/>
    <mergeCell ref="A5:H5"/>
  </mergeCells>
  <pageMargins left="1.05" right="0.5" top="0.95" bottom="0.5" header="0.25" footer="0.5"/>
  <pageSetup scale="80" orientation="portrait" verticalDpi="300" r:id="rId1"/>
  <headerFooter alignWithMargins="0">
    <oddHeader>&amp;R&amp;9CASE NO. 2018-00281
ATTACHMENT 1
TO STAFF DR NO. 1-46
(SUPPLEMENT 03-29-19)</oddHeader>
    <oddFooter>&amp;RSchedule 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C.1</vt:lpstr>
      <vt:lpstr>C.2</vt:lpstr>
      <vt:lpstr>C.2.1 B</vt:lpstr>
      <vt:lpstr>C.2.2 B 02</vt:lpstr>
      <vt:lpstr>C.2.2 B 09</vt:lpstr>
      <vt:lpstr>C.2.2 B 91</vt:lpstr>
      <vt:lpstr>C.2.2 B 12</vt:lpstr>
      <vt:lpstr>E</vt:lpstr>
      <vt:lpstr>C.1!Print_Area</vt:lpstr>
      <vt:lpstr>C.2!Print_Area</vt:lpstr>
      <vt:lpstr>'C.2.1 B'!Print_Area</vt:lpstr>
      <vt:lpstr>'C.2.2 B 02'!Print_Area</vt:lpstr>
      <vt:lpstr>'C.2.2 B 09'!Print_Area</vt:lpstr>
      <vt:lpstr>'C.2.2 B 12'!Print_Area</vt:lpstr>
      <vt:lpstr>'C.2.2 B 91'!Print_Area</vt:lpstr>
      <vt:lpstr>E!Print_Area</vt:lpstr>
      <vt:lpstr>'C.2.1 B'!Print_Titles</vt:lpstr>
      <vt:lpstr>'C.2.2 B 02'!Print_Titles</vt:lpstr>
      <vt:lpstr>'C.2.2 B 09'!Print_Titles</vt:lpstr>
      <vt:lpstr>'C.2.2 B 12'!Print_Titles</vt:lpstr>
      <vt:lpstr>'C.2.2 B 91'!Print_Titles</vt:lpstr>
    </vt:vector>
  </TitlesOfParts>
  <Company>Atmos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 C Taylor</dc:creator>
  <cp:lastModifiedBy>Eric J Wilen</cp:lastModifiedBy>
  <cp:lastPrinted>2019-03-29T16:09:47Z</cp:lastPrinted>
  <dcterms:created xsi:type="dcterms:W3CDTF">2018-11-28T15:24:25Z</dcterms:created>
  <dcterms:modified xsi:type="dcterms:W3CDTF">2019-03-29T16:09:52Z</dcterms:modified>
</cp:coreProperties>
</file>